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yuuji\Dropbox\Kaissa Consumer\Mosaic\buckets\AGENTICS\DOCU\source\"/>
    </mc:Choice>
  </mc:AlternateContent>
  <xr:revisionPtr revIDLastSave="0" documentId="8_{45749D24-47DB-4143-82E9-21A6041037DD}" xr6:coauthVersionLast="47" xr6:coauthVersionMax="47" xr10:uidLastSave="{00000000-0000-0000-0000-000000000000}"/>
  <bookViews>
    <workbookView xWindow="7140" yWindow="-12390" windowWidth="8100" windowHeight="4665" tabRatio="788" firstSheet="3" activeTab="7" xr2:uid="{00000000-000D-0000-FFFF-FFFF00000000}"/>
  </bookViews>
  <sheets>
    <sheet name="__FDSCACHE__" sheetId="29" state="veryHidden" r:id="rId1"/>
    <sheet name="Comparison" sheetId="15" r:id="rId2"/>
    <sheet name="G CHG" sheetId="36" r:id="rId3"/>
    <sheet name="IS" sheetId="12" r:id="rId4"/>
    <sheet name="BS" sheetId="14" r:id="rId5"/>
    <sheet name="CF" sheetId="13" r:id="rId6"/>
    <sheet name="DCF" sheetId="11" state="hidden" r:id="rId7"/>
    <sheet name="Metrics" sheetId="20" r:id="rId8"/>
    <sheet name="BM Upload" sheetId="35" r:id="rId9"/>
    <sheet name="Charts" sheetId="31" r:id="rId10"/>
    <sheet name="V" sheetId="33" r:id="rId11"/>
    <sheet name="V Sensitivity" sheetId="34" r:id="rId12"/>
    <sheet name="IOC Charts" sheetId="28" r:id="rId13"/>
    <sheet name="M&amp;A" sheetId="32"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P" localSheetId="8">#REF!</definedName>
    <definedName name="\P" localSheetId="10">#REF!</definedName>
    <definedName name="\P" localSheetId="11">#REF!</definedName>
    <definedName name="\P">#REF!</definedName>
    <definedName name="\Q" localSheetId="8">[1]TSFW!#REF!</definedName>
    <definedName name="\Q" localSheetId="10">[1]TSFW!#REF!</definedName>
    <definedName name="\Q" localSheetId="11">[1]TSFW!#REF!</definedName>
    <definedName name="\Q">[1]TSFW!#REF!</definedName>
    <definedName name="\S" localSheetId="8">'[2]US$'!#REF!</definedName>
    <definedName name="\S">'[2]US$'!#REF!</definedName>
    <definedName name="\X">[1]TSFW!#REF!</definedName>
    <definedName name="__FDS_HYPERLINK_TOGGLE_STATE__" hidden="1">"ON"</definedName>
    <definedName name="__FDS_UNIQUE_RANGE_ID_GENERATOR_COUNTER" hidden="1">1</definedName>
    <definedName name="__n324" hidden="1">"c39"</definedName>
    <definedName name="__new1" hidden="1">"c32"</definedName>
    <definedName name="__new2" hidden="1">"c8"</definedName>
    <definedName name="__new3" hidden="1">"c7"</definedName>
    <definedName name="__new5" hidden="1">"c1471"</definedName>
    <definedName name="_1997" localSheetId="8">#REF!</definedName>
    <definedName name="_1997" localSheetId="10">#REF!</definedName>
    <definedName name="_1997" localSheetId="11">#REF!</definedName>
    <definedName name="_1997">#REF!</definedName>
    <definedName name="_1998" localSheetId="10">#REF!</definedName>
    <definedName name="_1998" localSheetId="11">#REF!</definedName>
    <definedName name="_1998">#REF!</definedName>
    <definedName name="_1999" localSheetId="10">#REF!</definedName>
    <definedName name="_1999" localSheetId="11">#REF!</definedName>
    <definedName name="_1999">#REF!</definedName>
    <definedName name="_1st_year">'[3]LINKS&amp;INPUTS'!$D$52</definedName>
    <definedName name="_2000" localSheetId="8">#REF!</definedName>
    <definedName name="_2000" localSheetId="10">#REF!</definedName>
    <definedName name="_2000" localSheetId="11">#REF!</definedName>
    <definedName name="_2000">#REF!</definedName>
    <definedName name="_2000_EPS" localSheetId="10">#REF!</definedName>
    <definedName name="_2000_EPS" localSheetId="11">#REF!</definedName>
    <definedName name="_2000_EPS">#REF!</definedName>
    <definedName name="_2000_Rev" localSheetId="10">#REF!</definedName>
    <definedName name="_2000_Rev" localSheetId="11">#REF!</definedName>
    <definedName name="_2000_Rev">#REF!</definedName>
    <definedName name="_2001">#REF!</definedName>
    <definedName name="_2001_EPS">#REF!</definedName>
    <definedName name="_2001_Rev">#REF!</definedName>
    <definedName name="_2002">#REF!</definedName>
    <definedName name="_2002_EPS">#REF!</definedName>
    <definedName name="_2002_Rev">#REF!</definedName>
    <definedName name="_2003">#REF!</definedName>
    <definedName name="_2003_EPS">#REF!</definedName>
    <definedName name="_2003_Rev">#REF!</definedName>
    <definedName name="_2004">#REF!</definedName>
    <definedName name="_2004_EPS">#REF!</definedName>
    <definedName name="_2004_Rev">#REF!</definedName>
    <definedName name="_2005">#REF!</definedName>
    <definedName name="_2005_cfps">[4]NAV!#REF!</definedName>
    <definedName name="_2005_EPS" localSheetId="8">#REF!</definedName>
    <definedName name="_2005_EPS" localSheetId="10">#REF!</definedName>
    <definedName name="_2005_EPS" localSheetId="11">#REF!</definedName>
    <definedName name="_2005_EPS">#REF!</definedName>
    <definedName name="_2005_Rev" localSheetId="10">#REF!</definedName>
    <definedName name="_2005_Rev" localSheetId="11">#REF!</definedName>
    <definedName name="_2005_Rev">#REF!</definedName>
    <definedName name="_2006" localSheetId="10">#REF!</definedName>
    <definedName name="_2006" localSheetId="11">#REF!</definedName>
    <definedName name="_2006">#REF!</definedName>
    <definedName name="_2006_cfps" localSheetId="10">[4]NAV!#REF!</definedName>
    <definedName name="_2006_cfps" localSheetId="11">[4]NAV!#REF!</definedName>
    <definedName name="_2006_cfps">[4]NAV!#REF!</definedName>
    <definedName name="_2006_eps" localSheetId="10">[4]NAV!#REF!</definedName>
    <definedName name="_2006_eps" localSheetId="11">[4]NAV!#REF!</definedName>
    <definedName name="_2006_eps">[4]NAV!#REF!</definedName>
    <definedName name="_2007" localSheetId="8">#REF!</definedName>
    <definedName name="_2007" localSheetId="10">#REF!</definedName>
    <definedName name="_2007" localSheetId="11">#REF!</definedName>
    <definedName name="_2007">#REF!</definedName>
    <definedName name="_2008" localSheetId="10">#REF!</definedName>
    <definedName name="_2008" localSheetId="11">#REF!</definedName>
    <definedName name="_2008">#REF!</definedName>
    <definedName name="_2009" localSheetId="10">#REF!</definedName>
    <definedName name="_2009" localSheetId="11">#REF!</definedName>
    <definedName name="_2009">#REF!</definedName>
    <definedName name="_2010">#REF!</definedName>
    <definedName name="_2011">#REF!</definedName>
    <definedName name="_2012">#REF!</definedName>
    <definedName name="_2013">#REF!</definedName>
    <definedName name="_2014">#REF!</definedName>
    <definedName name="_2015">#REF!</definedName>
    <definedName name="_2016">#REF!</definedName>
    <definedName name="_2017">#REF!</definedName>
    <definedName name="_2018">#REF!</definedName>
    <definedName name="_2019">#REF!</definedName>
    <definedName name="_2020">#REF!</definedName>
    <definedName name="_300K">[5]MODEL!$485:$485</definedName>
    <definedName name="_3YR_EPS_GROWTH" localSheetId="8">#REF!</definedName>
    <definedName name="_3YR_EPS_GROWTH" localSheetId="10">#REF!</definedName>
    <definedName name="_3YR_EPS_GROWTH" localSheetId="11">#REF!</definedName>
    <definedName name="_3YR_EPS_GROWTH">#REF!</definedName>
    <definedName name="_bdm.A41748D8CDC148869DAC28F2A19A85E3.edm" localSheetId="10" hidden="1">#REF!</definedName>
    <definedName name="_bdm.A41748D8CDC148869DAC28F2A19A85E3.edm" localSheetId="11" hidden="1">#REF!</definedName>
    <definedName name="_bdm.A41748D8CDC148869DAC28F2A19A85E3.edm" hidden="1">#REF!</definedName>
    <definedName name="_dh6">[6]Model!#REF!</definedName>
    <definedName name="_div1995">[7]Model!#REF!</definedName>
    <definedName name="_div1996">[7]Model!#REF!</definedName>
    <definedName name="_div1998">[7]Model!#REF!</definedName>
    <definedName name="_eps01">[8]Model!#REF!</definedName>
    <definedName name="_eps02">[8]Model!#REF!</definedName>
    <definedName name="_eps03">[8]Model!#REF!</definedName>
    <definedName name="_EPS1998">[9]LaRonde!#REF!</definedName>
    <definedName name="_eps94">[7]Model!#REF!</definedName>
    <definedName name="_eps95">[7]Model!#REF!</definedName>
    <definedName name="_eps96">[8]Model!#REF!</definedName>
    <definedName name="_eps97">[8]Model!#REF!</definedName>
    <definedName name="_eps98">[8]Model!#REF!</definedName>
    <definedName name="_eps99">[8]Model!#REF!</definedName>
    <definedName name="_EXH1" localSheetId="8">#REF!</definedName>
    <definedName name="_EXH1" localSheetId="10">#REF!</definedName>
    <definedName name="_EXH1" localSheetId="11">#REF!</definedName>
    <definedName name="_EXH1">#REF!</definedName>
    <definedName name="_EXH2" localSheetId="10">#REF!</definedName>
    <definedName name="_EXH2" localSheetId="11">#REF!</definedName>
    <definedName name="_EXH2">#REF!</definedName>
    <definedName name="_EXH3" localSheetId="10">#REF!</definedName>
    <definedName name="_EXH3" localSheetId="11">#REF!</definedName>
    <definedName name="_EXH3">#REF!</definedName>
    <definedName name="_EXH4">#REF!</definedName>
    <definedName name="_EXH5">#REF!</definedName>
    <definedName name="_mac1">[6]Model!#REF!</definedName>
    <definedName name="_mac2">[6]Model!#REF!</definedName>
    <definedName name="_Max2">'[10]NA Tech Conference'!$D$183</definedName>
    <definedName name="_Min2">'[10]NA Tech Conference'!$D$185</definedName>
    <definedName name="_n324" hidden="1">"c39"</definedName>
    <definedName name="_new1" hidden="1">"c32"</definedName>
    <definedName name="_new2" hidden="1">"c8"</definedName>
    <definedName name="_new3" hidden="1">"c7"</definedName>
    <definedName name="_new5" hidden="1">"c1471"</definedName>
    <definedName name="_Order1" hidden="1">255</definedName>
    <definedName name="_PEG2" localSheetId="8">#REF!</definedName>
    <definedName name="_PEG2" localSheetId="10">#REF!</definedName>
    <definedName name="_PEG2" localSheetId="11">#REF!</definedName>
    <definedName name="_PEG2">#REF!</definedName>
    <definedName name="_REV1" localSheetId="8">[11]MODEL!#REF!</definedName>
    <definedName name="_REV1" localSheetId="10">[11]MODEL!#REF!</definedName>
    <definedName name="_REV1" localSheetId="11">[11]MODEL!#REF!</definedName>
    <definedName name="_REV1">[11]MODEL!#REF!</definedName>
    <definedName name="_REV2" localSheetId="10">[3]MODEL!#REF!</definedName>
    <definedName name="_REV2" localSheetId="11">[3]MODEL!#REF!</definedName>
    <definedName name="_REV2">[3]MODEL!#REF!</definedName>
    <definedName name="_REV3" localSheetId="10">[3]MODEL!#REF!</definedName>
    <definedName name="_REV3" localSheetId="11">[3]MODEL!#REF!</definedName>
    <definedName name="_REV3">[3]MODEL!#REF!</definedName>
    <definedName name="_REV4" localSheetId="10">[3]MODEL!#REF!</definedName>
    <definedName name="_REV4" localSheetId="11">[3]MODEL!#REF!</definedName>
    <definedName name="_REV4">[3]MODEL!#REF!</definedName>
    <definedName name="_REV5" localSheetId="10">[3]MODEL!#REF!</definedName>
    <definedName name="_REV5" localSheetId="11">[3]MODEL!#REF!</definedName>
    <definedName name="_REV5">[3]MODEL!#REF!</definedName>
    <definedName name="_REV6">[5]MODEL!$11:$11</definedName>
    <definedName name="_Table2_In2" localSheetId="8">[9]LaRonde!#REF!</definedName>
    <definedName name="_Table2_In2" localSheetId="10">[9]LaRonde!#REF!</definedName>
    <definedName name="_Table2_In2" localSheetId="11">[9]LaRonde!#REF!</definedName>
    <definedName name="_Table2_In2">[9]LaRonde!#REF!</definedName>
    <definedName name="_tui65" localSheetId="10">[6]Model!#REF!</definedName>
    <definedName name="_tui65" localSheetId="11">[6]Model!#REF!</definedName>
    <definedName name="_tui65">[6]Model!#REF!</definedName>
    <definedName name="_UUID_0" hidden="1">589638</definedName>
    <definedName name="_UUID_1" hidden="1">262297</definedName>
    <definedName name="_UUID_2" hidden="1">875385</definedName>
    <definedName name="_wt4" localSheetId="8">[6]Model!#REF!</definedName>
    <definedName name="_wt4" localSheetId="10">[6]Model!#REF!</definedName>
    <definedName name="_wt4" localSheetId="11">[6]Model!#REF!</definedName>
    <definedName name="_wt4">[6]Model!#REF!</definedName>
    <definedName name="AAR_P3" localSheetId="10">[3]MODEL!#REF!</definedName>
    <definedName name="AAR_P3" localSheetId="11">[3]MODEL!#REF!</definedName>
    <definedName name="AAR_P3">[3]MODEL!#REF!</definedName>
    <definedName name="AARPU" localSheetId="10">[3]MODEL!#REF!</definedName>
    <definedName name="AARPU" localSheetId="11">[3]MODEL!#REF!</definedName>
    <definedName name="AARPU">[3]MODEL!#REF!</definedName>
    <definedName name="Abnormals.Y1999D">'[12]Income Stmt'!$GW$34</definedName>
    <definedName name="Abnormals.Y2001D">'[12]Income Stmt'!$GY$34</definedName>
    <definedName name="Abnormals.Y2002D">'[12]Income Stmt'!$GZ$34</definedName>
    <definedName name="ACC_COMP">[13]MODEL!$421:$421</definedName>
    <definedName name="Acc_Sev_NCL" localSheetId="8">[14]MODEL!#REF!</definedName>
    <definedName name="Acc_Sev_NCL" localSheetId="10">[14]MODEL!#REF!</definedName>
    <definedName name="Acc_Sev_NCL" localSheetId="11">[14]MODEL!#REF!</definedName>
    <definedName name="Acc_Sev_NCL">[14]MODEL!#REF!</definedName>
    <definedName name="Accounts_payable">[11]MODEL!$575:$575</definedName>
    <definedName name="Accounts_receivable">[11]MODEL!$572:$572</definedName>
    <definedName name="ACCRUED_COMP">[3]MODEL!$529:$529</definedName>
    <definedName name="ACCRUED_EMPL_COM">[3]MODEL!$408:$408</definedName>
    <definedName name="ACCRUED_EXP" localSheetId="8">[3]MODEL!#REF!</definedName>
    <definedName name="ACCRUED_EXP" localSheetId="10">[3]MODEL!#REF!</definedName>
    <definedName name="ACCRUED_EXP" localSheetId="11">[3]MODEL!#REF!</definedName>
    <definedName name="ACCRUED_EXP">[3]MODEL!#REF!</definedName>
    <definedName name="ACCRUED_INT">[3]MODEL!$605:$605</definedName>
    <definedName name="ACCRUED_LIA">[15]MODEL!$445:$445</definedName>
    <definedName name="ACCRUED_OTHER">[3]MODEL!$530:$530</definedName>
    <definedName name="Accumulated_Deficit">[16]MODEL!$513:$513</definedName>
    <definedName name="Accured_liabilities">[11]MODEL!$576:$576</definedName>
    <definedName name="Ad_Rate__Cost_per_millions___CPM__Assumptions" localSheetId="8">#REF!</definedName>
    <definedName name="Ad_Rate__Cost_per_millions___CPM__Assumptions" localSheetId="10">#REF!</definedName>
    <definedName name="Ad_Rate__Cost_per_millions___CPM__Assumptions" localSheetId="11">#REF!</definedName>
    <definedName name="Ad_Rate__Cost_per_millions___CPM__Assumptions">#REF!</definedName>
    <definedName name="Additional_Paid_In_Capital">[16]MODEL!$511:$511</definedName>
    <definedName name="ADJMKTCAP" localSheetId="8">#REF!</definedName>
    <definedName name="ADJMKTCAP" localSheetId="10">#REF!</definedName>
    <definedName name="ADJMKTCAP" localSheetId="11">#REF!</definedName>
    <definedName name="ADJMKTCAP">#REF!</definedName>
    <definedName name="Admin" localSheetId="10">#REF!</definedName>
    <definedName name="Admin" localSheetId="11">#REF!</definedName>
    <definedName name="Admin">#REF!</definedName>
    <definedName name="adrev">[17]other!$G$10</definedName>
    <definedName name="aewrgtr" localSheetId="8">[6]Model!#REF!</definedName>
    <definedName name="aewrgtr" localSheetId="10">[6]Model!#REF!</definedName>
    <definedName name="aewrgtr" localSheetId="11">[6]Model!#REF!</definedName>
    <definedName name="aewrgtr">[6]Model!#REF!</definedName>
    <definedName name="ag" localSheetId="10">[6]Model!#REF!</definedName>
    <definedName name="ag" localSheetId="11">[6]Model!#REF!</definedName>
    <definedName name="ag">[6]Model!#REF!</definedName>
    <definedName name="ALL" localSheetId="8">#REF!</definedName>
    <definedName name="ALL" localSheetId="10">#REF!</definedName>
    <definedName name="ALL" localSheetId="11">#REF!</definedName>
    <definedName name="ALL">#REF!</definedName>
    <definedName name="AMC" localSheetId="8">[8]Model!#REF!</definedName>
    <definedName name="AMC" localSheetId="10">[8]Model!#REF!</definedName>
    <definedName name="AMC" localSheetId="11">[8]Model!#REF!</definedName>
    <definedName name="AMC">[8]Model!#REF!</definedName>
    <definedName name="AMC_98Prod" localSheetId="10">[8]Model!#REF!</definedName>
    <definedName name="AMC_98Prod" localSheetId="11">[8]Model!#REF!</definedName>
    <definedName name="AMC_98Prod">[8]Model!#REF!</definedName>
    <definedName name="AMC_99Prod" localSheetId="10">[8]Model!#REF!</definedName>
    <definedName name="AMC_99Prod" localSheetId="11">[8]Model!#REF!</definedName>
    <definedName name="AMC_99Prod">[8]Model!#REF!</definedName>
    <definedName name="amc97p" localSheetId="10">[8]Model!#REF!</definedName>
    <definedName name="amc97p" localSheetId="11">[8]Model!#REF!</definedName>
    <definedName name="amc97p">[8]Model!#REF!</definedName>
    <definedName name="amc97prod">'[18]NAV Summary'!#REF!</definedName>
    <definedName name="amc98p">[8]Model!#REF!</definedName>
    <definedName name="amc98prod">'[18]NAV Summary'!#REF!</definedName>
    <definedName name="AMC99PROD">'[18]NAV Summary'!#REF!</definedName>
    <definedName name="amcozprod" localSheetId="8">#REF!</definedName>
    <definedName name="amcozprod" localSheetId="10">#REF!</definedName>
    <definedName name="amcozprod" localSheetId="11">#REF!</definedName>
    <definedName name="amcozprod">#REF!</definedName>
    <definedName name="amcozreserve" localSheetId="10">#REF!</definedName>
    <definedName name="amcozreserve" localSheetId="11">#REF!</definedName>
    <definedName name="amcozreserve">#REF!</definedName>
    <definedName name="amcozresource" localSheetId="10">#REF!</definedName>
    <definedName name="amcozresource" localSheetId="11">#REF!</definedName>
    <definedName name="amcozresource">#REF!</definedName>
    <definedName name="amcpp" localSheetId="10">[8]Model!#REF!</definedName>
    <definedName name="amcpp" localSheetId="11">[8]Model!#REF!</definedName>
    <definedName name="amcpp">[8]Model!#REF!</definedName>
    <definedName name="amcppp" localSheetId="10">[8]Model!#REF!</definedName>
    <definedName name="amcppp" localSheetId="11">[8]Model!#REF!</definedName>
    <definedName name="amcppp">[8]Model!#REF!</definedName>
    <definedName name="AMORT_DC">[3]MODEL!$486:$486</definedName>
    <definedName name="AMORT_DEF_FIN">[3]MODEL!$603:$603</definedName>
    <definedName name="Amort_Other">[3]MODEL!$24:$24</definedName>
    <definedName name="AMORTIZATION" localSheetId="8">[3]MODEL!#REF!</definedName>
    <definedName name="AMORTIZATION" localSheetId="10">[3]MODEL!#REF!</definedName>
    <definedName name="AMORTIZATION" localSheetId="11">[3]MODEL!#REF!</definedName>
    <definedName name="AMORTIZATION">[3]MODEL!#REF!</definedName>
    <definedName name="Amortization_of_Deferred_Commissions_and_Other">[16]MODEL!$598:$598</definedName>
    <definedName name="ANNUAL_BALANCE" localSheetId="8">[19]Summary!#REF!</definedName>
    <definedName name="ANNUAL_BALANCE" localSheetId="10">[19]Summary!#REF!</definedName>
    <definedName name="ANNUAL_BALANCE" localSheetId="11">[19]Summary!#REF!</definedName>
    <definedName name="ANNUAL_BALANCE">[19]Summary!#REF!</definedName>
    <definedName name="aregh" localSheetId="10">[6]Model!#REF!</definedName>
    <definedName name="aregh" localSheetId="11">[6]Model!#REF!</definedName>
    <definedName name="aregh">[6]Model!#REF!</definedName>
    <definedName name="arg" localSheetId="10">[6]Model!#REF!</definedName>
    <definedName name="arg" localSheetId="11">[6]Model!#REF!</definedName>
    <definedName name="arg">[6]Model!#REF!</definedName>
    <definedName name="argt" localSheetId="10">[6]Model!#REF!</definedName>
    <definedName name="argt" localSheetId="11">[6]Model!#REF!</definedName>
    <definedName name="argt">[6]Model!#REF!</definedName>
    <definedName name="Arial">[20]Glossary!$A$6</definedName>
    <definedName name="as" hidden="1">"c2127"</definedName>
    <definedName name="asd" hidden="1">"c1630"</definedName>
    <definedName name="asdf">[21]Output!$Q$15</definedName>
    <definedName name="ASP" localSheetId="8">[3]MODEL!#REF!</definedName>
    <definedName name="ASP" localSheetId="10">[3]MODEL!#REF!</definedName>
    <definedName name="ASP" localSheetId="11">[3]MODEL!#REF!</definedName>
    <definedName name="ASP">[3]MODEL!#REF!</definedName>
    <definedName name="Asset_Amort" localSheetId="10">[3]MODEL!#REF!</definedName>
    <definedName name="Asset_Amort" localSheetId="11">[3]MODEL!#REF!</definedName>
    <definedName name="Asset_Amort">[3]MODEL!#REF!</definedName>
    <definedName name="ASSETTOEQUITY" localSheetId="8">#REF!</definedName>
    <definedName name="ASSETTOEQUITY" localSheetId="10">#REF!</definedName>
    <definedName name="ASSETTOEQUITY" localSheetId="11">#REF!</definedName>
    <definedName name="ASSETTOEQUITY">#REF!</definedName>
    <definedName name="ASSETTURNOVER" localSheetId="10">#REF!</definedName>
    <definedName name="ASSETTURNOVER" localSheetId="11">#REF!</definedName>
    <definedName name="ASSETTURNOVER">#REF!</definedName>
    <definedName name="ATRS">[5]MODEL!$9:$9</definedName>
    <definedName name="auprice97" localSheetId="8">[8]Model!#REF!</definedName>
    <definedName name="auprice97" localSheetId="10">[8]Model!#REF!</definedName>
    <definedName name="auprice97" localSheetId="11">[8]Model!#REF!</definedName>
    <definedName name="auprice97">[8]Model!#REF!</definedName>
    <definedName name="auprice98" localSheetId="10">[8]Model!#REF!</definedName>
    <definedName name="auprice98" localSheetId="11">[8]Model!#REF!</definedName>
    <definedName name="auprice98">[8]Model!#REF!</definedName>
    <definedName name="auprice99" localSheetId="10">[8]Model!#REF!</definedName>
    <definedName name="auprice99" localSheetId="11">[8]Model!#REF!</definedName>
    <definedName name="auprice99">[8]Model!#REF!</definedName>
    <definedName name="AuSensi">[22]Model!$D$3</definedName>
    <definedName name="Average_invested_capital_DCF">[23]Sheet1!$C$78:$AZ$78</definedName>
    <definedName name="Average_Monthly_Streams">[3]MODEL!$205:$205</definedName>
    <definedName name="AVG_DEAL">[24]MODEL!$40:$40</definedName>
    <definedName name="AVGAUPRICE_00" localSheetId="8">[8]Model!#REF!</definedName>
    <definedName name="AVGAUPRICE_00" localSheetId="10">[8]Model!#REF!</definedName>
    <definedName name="AVGAUPRICE_00" localSheetId="11">[8]Model!#REF!</definedName>
    <definedName name="AVGAUPRICE_00">[8]Model!#REF!</definedName>
    <definedName name="AVGAUPRICE_96" localSheetId="10">[7]Model!#REF!</definedName>
    <definedName name="AVGAUPRICE_96" localSheetId="11">[7]Model!#REF!</definedName>
    <definedName name="AVGAUPRICE_96">[7]Model!#REF!</definedName>
    <definedName name="AVGAUPRICE_97" localSheetId="10">[8]Model!#REF!</definedName>
    <definedName name="AVGAUPRICE_97" localSheetId="11">[8]Model!#REF!</definedName>
    <definedName name="AVGAUPRICE_97">[8]Model!#REF!</definedName>
    <definedName name="AVGAUPRICE_98" localSheetId="10">[8]Model!#REF!</definedName>
    <definedName name="AVGAUPRICE_98" localSheetId="11">[8]Model!#REF!</definedName>
    <definedName name="AVGAUPRICE_98">[8]Model!#REF!</definedName>
    <definedName name="AVGAUPRICE_99">[8]Model!#REF!</definedName>
    <definedName name="AVOPERATINGMARGIN" localSheetId="8">#REF!</definedName>
    <definedName name="AVOPERATINGMARGIN" localSheetId="10">#REF!</definedName>
    <definedName name="AVOPERATINGMARGIN" localSheetId="11">#REF!</definedName>
    <definedName name="AVOPERATINGMARGIN">#REF!</definedName>
    <definedName name="AWg" localSheetId="8">[6]Model!#REF!</definedName>
    <definedName name="AWg" localSheetId="10">[6]Model!#REF!</definedName>
    <definedName name="AWg" localSheetId="11">[6]Model!#REF!</definedName>
    <definedName name="AWg">[6]Model!#REF!</definedName>
    <definedName name="aWGV" localSheetId="8">[6]Model!#REF!</definedName>
    <definedName name="aWGV">[6]Model!#REF!</definedName>
    <definedName name="ayesha" localSheetId="8" hidden="1">{"p1TOC",#N/A,FALSE,"DCF_Summary";"p23summary",#N/A,FALSE,"DCF_Summary";"p4contact",#N/A,FALSE,"Contact Lake";"p5kumtor",#N/A,FALSE,"Kumtor";#N/A,#N/A,FALSE,"CCAU_NAV";"p8compdata",#N/A,FALSE,"Gold_Comps";#N/A,#N/A,FALSE,"Comp_Valuation"}</definedName>
    <definedName name="ayesha" localSheetId="10" hidden="1">{"p1TOC",#N/A,FALSE,"DCF_Summary";"p23summary",#N/A,FALSE,"DCF_Summary";"p4contact",#N/A,FALSE,"Contact Lake";"p5kumtor",#N/A,FALSE,"Kumtor";#N/A,#N/A,FALSE,"CCAU_NAV";"p8compdata",#N/A,FALSE,"Gold_Comps";#N/A,#N/A,FALSE,"Comp_Valuation"}</definedName>
    <definedName name="ayesha" localSheetId="11" hidden="1">{"p1TOC",#N/A,FALSE,"DCF_Summary";"p23summary",#N/A,FALSE,"DCF_Summary";"p4contact",#N/A,FALSE,"Contact Lake";"p5kumtor",#N/A,FALSE,"Kumtor";#N/A,#N/A,FALSE,"CCAU_NAV";"p8compdata",#N/A,FALSE,"Gold_Comps";#N/A,#N/A,FALSE,"Comp_Valuation"}</definedName>
    <definedName name="ayesha" hidden="1">{"p1TOC",#N/A,FALSE,"DCF_Summary";"p23summary",#N/A,FALSE,"DCF_Summary";"p4contact",#N/A,FALSE,"Contact Lake";"p5kumtor",#N/A,FALSE,"Kumtor";#N/A,#N/A,FALSE,"CCAU_NAV";"p8compdata",#N/A,FALSE,"Gold_Comps";#N/A,#N/A,FALSE,"Comp_Valuation"}</definedName>
    <definedName name="BACKLOG">[3]MODEL!#REF!</definedName>
    <definedName name="BAD_DEBT">[3]MODEL!#REF!</definedName>
    <definedName name="BALANCE_SHEET" localSheetId="8">#REF!</definedName>
    <definedName name="BALANCE_SHEET" localSheetId="10">#REF!</definedName>
    <definedName name="BALANCE_SHEET" localSheetId="11">#REF!</definedName>
    <definedName name="BALANCE_SHEET">#REF!</definedName>
    <definedName name="Balance_Sht" localSheetId="10">#REF!</definedName>
    <definedName name="Balance_Sht" localSheetId="11">#REF!</definedName>
    <definedName name="Balance_Sht">#REF!</definedName>
    <definedName name="balsheet" localSheetId="10">#REF!</definedName>
    <definedName name="balsheet" localSheetId="11">#REF!</definedName>
    <definedName name="balsheet">#REF!</definedName>
    <definedName name="BANK_SEG" localSheetId="10">[3]MODEL!#REF!</definedName>
    <definedName name="BANK_SEG" localSheetId="11">[3]MODEL!#REF!</definedName>
    <definedName name="BANK_SEG">[3]MODEL!#REF!</definedName>
    <definedName name="BANKS" localSheetId="10">[3]MODEL!#REF!</definedName>
    <definedName name="BANKS" localSheetId="11">[3]MODEL!#REF!</definedName>
    <definedName name="BANKS">[3]MODEL!#REF!</definedName>
    <definedName name="bc" localSheetId="10">[6]Model!#REF!</definedName>
    <definedName name="bc" localSheetId="11">[6]Model!#REF!</definedName>
    <definedName name="bc">[6]Model!#REF!</definedName>
    <definedName name="begins" localSheetId="8">#REF!</definedName>
    <definedName name="begins" localSheetId="10">#REF!</definedName>
    <definedName name="begins" localSheetId="11">#REF!</definedName>
    <definedName name="begins">#REF!</definedName>
    <definedName name="bf" localSheetId="8">[6]Model!#REF!</definedName>
    <definedName name="bf" localSheetId="10">[6]Model!#REF!</definedName>
    <definedName name="bf" localSheetId="11">[6]Model!#REF!</definedName>
    <definedName name="bf">[6]Model!#REF!</definedName>
    <definedName name="BILLINGS">[25]MODEL!$10:$10</definedName>
    <definedName name="blank" localSheetId="10">#REF!</definedName>
    <definedName name="blank" localSheetId="11">#REF!</definedName>
    <definedName name="blank">#REF!</definedName>
    <definedName name="Blyth">#REF!</definedName>
    <definedName name="Book_Value">'[18]NAV Summary'!#REF!</definedName>
    <definedName name="Bookvalue" localSheetId="8">#REF!</definedName>
    <definedName name="Bookvalue" localSheetId="10">#REF!</definedName>
    <definedName name="Bookvalue" localSheetId="11">#REF!</definedName>
    <definedName name="Bookvalue">#REF!</definedName>
    <definedName name="Bousquet" localSheetId="8">[7]Model!#REF!</definedName>
    <definedName name="Bousquet" localSheetId="10">[7]Model!#REF!</definedName>
    <definedName name="Bousquet" localSheetId="11">[7]Model!#REF!</definedName>
    <definedName name="Bousquet">[7]Model!#REF!</definedName>
    <definedName name="BQ">'[14]LINKS&amp;INPUTS'!$E$3</definedName>
    <definedName name="bs" localSheetId="8">#REF!</definedName>
    <definedName name="bs" localSheetId="10">#REF!</definedName>
    <definedName name="bs" localSheetId="11">#REF!</definedName>
    <definedName name="bs">#REF!</definedName>
    <definedName name="BS_D" localSheetId="10">#REF!</definedName>
    <definedName name="BS_D" localSheetId="11">#REF!</definedName>
    <definedName name="BS_D">#REF!</definedName>
    <definedName name="BuyBackToggle" localSheetId="10">#REF!</definedName>
    <definedName name="BuyBackToggle" localSheetId="11">#REF!</definedName>
    <definedName name="BuyBackToggle">#REF!</definedName>
    <definedName name="bv">#REF!</definedName>
    <definedName name="BY">'[14]LINKS&amp;INPUTS'!$E$4</definedName>
    <definedName name="CABLE" localSheetId="8">#REF!</definedName>
    <definedName name="CABLE" localSheetId="10">#REF!</definedName>
    <definedName name="CABLE" localSheetId="11">#REF!</definedName>
    <definedName name="CABLE">#REF!</definedName>
    <definedName name="CAL_88_EPS" localSheetId="8">[19]Summary!#REF!</definedName>
    <definedName name="CAL_88_EPS" localSheetId="10">[19]Summary!#REF!</definedName>
    <definedName name="CAL_88_EPS" localSheetId="11">[19]Summary!#REF!</definedName>
    <definedName name="CAL_88_EPS">[19]Summary!#REF!</definedName>
    <definedName name="CAL_89_EPS" localSheetId="8">[19]Summary!#REF!</definedName>
    <definedName name="CAL_89_EPS">[19]Summary!#REF!</definedName>
    <definedName name="cal_89_roe" localSheetId="8">ref</definedName>
    <definedName name="cal_89_roe" localSheetId="10">ref</definedName>
    <definedName name="cal_89_roe" localSheetId="11">ref</definedName>
    <definedName name="cal_89_roe">ref</definedName>
    <definedName name="CAL_90_EPS" localSheetId="8">[19]Summary!#REF!</definedName>
    <definedName name="CAL_90_EPS" localSheetId="10">[19]Summary!#REF!</definedName>
    <definedName name="CAL_90_EPS" localSheetId="11">[19]Summary!#REF!</definedName>
    <definedName name="CAL_90_EPS">[19]Summary!#REF!</definedName>
    <definedName name="cal_90_roe" localSheetId="10">[19]Summary!#REF!</definedName>
    <definedName name="cal_90_roe" localSheetId="11">[19]Summary!#REF!</definedName>
    <definedName name="cal_90_roe">[19]Summary!#REF!</definedName>
    <definedName name="CAL_91_ROE" localSheetId="8">ref</definedName>
    <definedName name="CAL_91_ROE" localSheetId="10">ref</definedName>
    <definedName name="CAL_91_ROE" localSheetId="11">ref</definedName>
    <definedName name="CAL_91_ROE">ref</definedName>
    <definedName name="cal_92_eps" localSheetId="8">[19]Summary!#REF!</definedName>
    <definedName name="cal_92_eps" localSheetId="10">[19]Summary!#REF!</definedName>
    <definedName name="cal_92_eps" localSheetId="11">[19]Summary!#REF!</definedName>
    <definedName name="cal_92_eps">[19]Summary!#REF!</definedName>
    <definedName name="CAL_ACC_LEGAL" localSheetId="10">[3]MODEL!#REF!</definedName>
    <definedName name="CAL_ACC_LEGAL" localSheetId="11">[3]MODEL!#REF!</definedName>
    <definedName name="CAL_ACC_LEGAL">[3]MODEL!#REF!</definedName>
    <definedName name="CAL_ACC_OTHER" localSheetId="10">[3]MODEL!#REF!</definedName>
    <definedName name="CAL_ACC_OTHER" localSheetId="11">[3]MODEL!#REF!</definedName>
    <definedName name="CAL_ACC_OTHER">[3]MODEL!#REF!</definedName>
    <definedName name="CAL_ACCRUED_COMP">[3]MODEL!$618:$618</definedName>
    <definedName name="CAL_AP" localSheetId="8">[3]MODEL!#REF!</definedName>
    <definedName name="CAL_AP" localSheetId="10">[3]MODEL!#REF!</definedName>
    <definedName name="CAL_AP" localSheetId="11">[3]MODEL!#REF!</definedName>
    <definedName name="CAL_AP">[3]MODEL!#REF!</definedName>
    <definedName name="CAL_AR" localSheetId="10">[3]MODEL!#REF!</definedName>
    <definedName name="CAL_AR" localSheetId="11">[3]MODEL!#REF!</definedName>
    <definedName name="CAL_AR">[3]MODEL!#REF!</definedName>
    <definedName name="CAL_COMMISSIONS">[3]MODEL!$619:$619</definedName>
    <definedName name="CAL_DEF_REV" localSheetId="8">[3]MODEL!#REF!</definedName>
    <definedName name="CAL_DEF_REV" localSheetId="10">[3]MODEL!#REF!</definedName>
    <definedName name="CAL_DEF_REV" localSheetId="11">[3]MODEL!#REF!</definedName>
    <definedName name="CAL_DEF_REV">[3]MODEL!#REF!</definedName>
    <definedName name="CAL_eps_97" localSheetId="10">[19]Summary!#REF!</definedName>
    <definedName name="CAL_eps_97" localSheetId="11">[19]Summary!#REF!</definedName>
    <definedName name="CAL_eps_97">[19]Summary!#REF!</definedName>
    <definedName name="CAL_INTANG">[3]MODEL!$616:$616</definedName>
    <definedName name="CAL_INVENTORIES" localSheetId="8">[3]MODEL!#REF!</definedName>
    <definedName name="CAL_INVENTORIES" localSheetId="10">[3]MODEL!#REF!</definedName>
    <definedName name="CAL_INVENTORIES" localSheetId="11">[3]MODEL!#REF!</definedName>
    <definedName name="CAL_INVENTORIES">[3]MODEL!#REF!</definedName>
    <definedName name="CAL_OTHER" localSheetId="10">[3]MODEL!#REF!</definedName>
    <definedName name="CAL_OTHER" localSheetId="11">[3]MODEL!#REF!</definedName>
    <definedName name="CAL_OTHER">[3]MODEL!#REF!</definedName>
    <definedName name="CAL_OTHER_LIAB" localSheetId="10">[3]MODEL!#REF!</definedName>
    <definedName name="CAL_OTHER_LIAB" localSheetId="11">[3]MODEL!#REF!</definedName>
    <definedName name="CAL_OTHER_LIAB">[3]MODEL!#REF!</definedName>
    <definedName name="CAL_OTHER_LTL">[3]MODEL!$501:$501</definedName>
    <definedName name="CAL_PREPAID">[3]MODEL!$491:$491</definedName>
    <definedName name="CAL_SEC_DEP" localSheetId="8">[3]MODEL!#REF!</definedName>
    <definedName name="CAL_SEC_DEP" localSheetId="10">[3]MODEL!#REF!</definedName>
    <definedName name="CAL_SEC_DEP" localSheetId="11">[3]MODEL!#REF!</definedName>
    <definedName name="CAL_SEC_DEP">[3]MODEL!#REF!</definedName>
    <definedName name="cal00_eps">'[26]Main Model'!$G$6</definedName>
    <definedName name="cal00_rev">'[26]Main Model'!$G$5</definedName>
    <definedName name="cal01_eps" localSheetId="8">#REF!</definedName>
    <definedName name="cal01_eps" localSheetId="10">#REF!</definedName>
    <definedName name="cal01_eps" localSheetId="11">#REF!</definedName>
    <definedName name="cal01_eps">#REF!</definedName>
    <definedName name="cal01_rev" localSheetId="10">#REF!</definedName>
    <definedName name="cal01_rev" localSheetId="11">#REF!</definedName>
    <definedName name="cal01_rev">#REF!</definedName>
    <definedName name="cal93_eps" localSheetId="10">#REF!</definedName>
    <definedName name="cal93_eps" localSheetId="11">#REF!</definedName>
    <definedName name="cal93_eps">#REF!</definedName>
    <definedName name="cal93_rev">#REF!</definedName>
    <definedName name="cal94_eps">#REF!</definedName>
    <definedName name="cal94_rev">#REF!</definedName>
    <definedName name="cal95_eps">#REF!</definedName>
    <definedName name="cal95_rev">#REF!</definedName>
    <definedName name="cal97_rev">#REF!</definedName>
    <definedName name="cal98_eps">#REF!</definedName>
    <definedName name="cal98_rev">#REF!</definedName>
    <definedName name="cal99_eps">'[26]Main Model'!$F$6</definedName>
    <definedName name="cal99_rev" localSheetId="8">#REF!</definedName>
    <definedName name="cal99_rev" localSheetId="10">#REF!</definedName>
    <definedName name="cal99_rev" localSheetId="11">#REF!</definedName>
    <definedName name="cal99_rev">#REF!</definedName>
    <definedName name="Call_Note" localSheetId="8">[27]Model!#REF!</definedName>
    <definedName name="Call_Note" localSheetId="10">[27]Model!#REF!</definedName>
    <definedName name="Call_Note" localSheetId="11">[27]Model!#REF!</definedName>
    <definedName name="Call_Note">[27]Model!#REF!</definedName>
    <definedName name="CAP_LEASE" localSheetId="8">[3]MODEL!#REF!</definedName>
    <definedName name="CAP_LEASE">[3]MODEL!#REF!</definedName>
    <definedName name="CAP_LEASE_LT">[3]MODEL!#REF!</definedName>
    <definedName name="Cap_Software">[16]MODEL!$484:$484</definedName>
    <definedName name="CAPEX">[28]MODEL!$546:$546</definedName>
    <definedName name="CapEx_Efficiency" localSheetId="8">[3]MODEL!#REF!</definedName>
    <definedName name="CapEx_Efficiency" localSheetId="10">[3]MODEL!#REF!</definedName>
    <definedName name="CapEx_Efficiency" localSheetId="11">[3]MODEL!#REF!</definedName>
    <definedName name="CapEx_Efficiency">[3]MODEL!#REF!</definedName>
    <definedName name="CapEx_Input">'[10]SENSITIVITY ANALYSIS'!$E$80</definedName>
    <definedName name="CapEx_Toggle">'[10]SENSITIVITY ANALYSIS'!$I$78</definedName>
    <definedName name="CapexAcq" localSheetId="8">#REF!</definedName>
    <definedName name="CapexAcq" localSheetId="10">#REF!</definedName>
    <definedName name="CapexAcq" localSheetId="11">#REF!</definedName>
    <definedName name="CapexAcq">#REF!</definedName>
    <definedName name="CapexMaint" localSheetId="10">#REF!</definedName>
    <definedName name="CapexMaint" localSheetId="11">#REF!</definedName>
    <definedName name="CapexMaint">#REF!</definedName>
    <definedName name="CAPITAL_EXP" localSheetId="10">[3]MODEL!#REF!</definedName>
    <definedName name="CAPITAL_EXP" localSheetId="11">[3]MODEL!#REF!</definedName>
    <definedName name="CAPITAL_EXP">[3]MODEL!#REF!</definedName>
    <definedName name="CAPITAL_LEASE">[3]MODEL!$532:$532</definedName>
    <definedName name="CAPITAL_LEASE_LT" localSheetId="8">[3]MODEL!#REF!</definedName>
    <definedName name="CAPITAL_LEASE_LT" localSheetId="10">[3]MODEL!#REF!</definedName>
    <definedName name="CAPITAL_LEASE_LT" localSheetId="11">[3]MODEL!#REF!</definedName>
    <definedName name="CAPITAL_LEASE_LT">[3]MODEL!#REF!</definedName>
    <definedName name="CaseTitle">[29]Input!$C$2</definedName>
    <definedName name="CASH">[14]MODEL!$97:$97</definedName>
    <definedName name="Cash_Costs.Y2000D">'[12]Gold production'!$GX$109</definedName>
    <definedName name="Cash_Costs.Y2001D">'[12]Gold production'!$GY$109</definedName>
    <definedName name="Cash_Costs.Y2002D">'[12]Gold production'!$GZ$109</definedName>
    <definedName name="cash_flow" localSheetId="8">#REF!</definedName>
    <definedName name="cash_flow" localSheetId="10">#REF!</definedName>
    <definedName name="cash_flow" localSheetId="11">#REF!</definedName>
    <definedName name="cash_flow">#REF!</definedName>
    <definedName name="CASHCOSTS" localSheetId="10">#REF!</definedName>
    <definedName name="CASHCOSTS" localSheetId="11">#REF!</definedName>
    <definedName name="CASHCOSTS">#REF!</definedName>
    <definedName name="CashTax" localSheetId="10">#REF!</definedName>
    <definedName name="CashTax" localSheetId="11">#REF!</definedName>
    <definedName name="CashTax">#REF!</definedName>
    <definedName name="ccost00" localSheetId="10">[8]Model!#REF!</definedName>
    <definedName name="ccost00" localSheetId="11">[8]Model!#REF!</definedName>
    <definedName name="ccost00">[8]Model!#REF!</definedName>
    <definedName name="ccost01">[30]Model!$AR$57</definedName>
    <definedName name="ccost02">[30]Model!$AS$57</definedName>
    <definedName name="ccost03">[30]Model!$AT$57</definedName>
    <definedName name="ccost96" localSheetId="8">[8]Model!#REF!</definedName>
    <definedName name="ccost96" localSheetId="10">[8]Model!#REF!</definedName>
    <definedName name="ccost96" localSheetId="11">[8]Model!#REF!</definedName>
    <definedName name="ccost96">[8]Model!#REF!</definedName>
    <definedName name="ccost97" localSheetId="10">[8]Model!#REF!</definedName>
    <definedName name="ccost97" localSheetId="11">[8]Model!#REF!</definedName>
    <definedName name="ccost97">[8]Model!#REF!</definedName>
    <definedName name="ccost98" localSheetId="10">[8]Model!#REF!</definedName>
    <definedName name="ccost98" localSheetId="11">[8]Model!#REF!</definedName>
    <definedName name="ccost98">[8]Model!#REF!</definedName>
    <definedName name="ccost99" localSheetId="10">[8]Model!#REF!</definedName>
    <definedName name="ccost99" localSheetId="11">[8]Model!#REF!</definedName>
    <definedName name="ccost99">[8]Model!#REF!</definedName>
    <definedName name="cdn">[31]Michelin!$F$673</definedName>
    <definedName name="cdn_s">[31]Michelin!$F$681</definedName>
    <definedName name="cf" localSheetId="8">#REF!</definedName>
    <definedName name="cf" localSheetId="10">#REF!</definedName>
    <definedName name="cf" localSheetId="11">#REF!</definedName>
    <definedName name="cf">#REF!</definedName>
    <definedName name="CF_DIT" localSheetId="8">[3]MODEL!#REF!</definedName>
    <definedName name="CF_DIT" localSheetId="10">[3]MODEL!#REF!</definedName>
    <definedName name="CF_DIT" localSheetId="11">[3]MODEL!#REF!</definedName>
    <definedName name="CF_DIT">[3]MODEL!#REF!</definedName>
    <definedName name="CF_DTA" localSheetId="8">[14]MODEL!#REF!</definedName>
    <definedName name="CF_DTA">[14]MODEL!#REF!</definedName>
    <definedName name="CF_NP" localSheetId="10">[3]MODEL!#REF!</definedName>
    <definedName name="CF_NP" localSheetId="11">[3]MODEL!#REF!</definedName>
    <definedName name="CF_NP">[3]MODEL!#REF!</definedName>
    <definedName name="CFO">[14]MODEL!$554:$554</definedName>
    <definedName name="CFO_Accrued_L">[11]MODEL!$576:$576</definedName>
    <definedName name="CFO_AEC">[3]MODEL!$499:$499</definedName>
    <definedName name="CFO_DC">[3]MODEL!$490:$490</definedName>
    <definedName name="CFO_Deferred_revenue">[11]MODEL!$577:$577</definedName>
    <definedName name="CFO_LTTP">[3]MODEL!$500:$500</definedName>
    <definedName name="CFO_MARGIN">[15]MODEL!$77:$77</definedName>
    <definedName name="CFO_Other_assets">[11]MODEL!$574:$574</definedName>
    <definedName name="CFPS">[14]MODEL!$106:$106</definedName>
    <definedName name="CFPS_1994" localSheetId="8">[9]LaRonde!#REF!</definedName>
    <definedName name="CFPS_1994" localSheetId="10">[9]LaRonde!#REF!</definedName>
    <definedName name="CFPS_1994" localSheetId="11">[9]LaRonde!#REF!</definedName>
    <definedName name="CFPS_1994">[9]LaRonde!#REF!</definedName>
    <definedName name="cfps00" localSheetId="10">[8]Model!#REF!</definedName>
    <definedName name="cfps00" localSheetId="11">[8]Model!#REF!</definedName>
    <definedName name="cfps00">[8]Model!#REF!</definedName>
    <definedName name="cfps01" localSheetId="10">[8]Model!#REF!</definedName>
    <definedName name="cfps01" localSheetId="11">[8]Model!#REF!</definedName>
    <definedName name="cfps01">[8]Model!#REF!</definedName>
    <definedName name="cfps02" localSheetId="10">[8]Model!#REF!</definedName>
    <definedName name="cfps02" localSheetId="11">[8]Model!#REF!</definedName>
    <definedName name="cfps02">[8]Model!#REF!</definedName>
    <definedName name="cfps03">[8]Model!#REF!</definedName>
    <definedName name="CFPS1998">[9]LaRonde!#REF!</definedName>
    <definedName name="cfps96">[8]Model!#REF!</definedName>
    <definedName name="cfps97">[8]Model!#REF!</definedName>
    <definedName name="cfps98">[8]Model!#REF!</definedName>
    <definedName name="cfps99">[8]Model!#REF!</definedName>
    <definedName name="Change_in_Accounts_Payable_and_Accruals">[16]MODEL!$604:$604</definedName>
    <definedName name="Change_in_Accounts_Receivable">[16]MODEL!$601:$601</definedName>
    <definedName name="Change_in_Accrued_Compensation">[16]MODEL!$608:$608</definedName>
    <definedName name="Change_in_Deferred_Revenue">[16]MODEL!$605:$605</definedName>
    <definedName name="Change_in_Income_Tax_Receivable">[16]MODEL!$603:$603</definedName>
    <definedName name="Change_in_Prepaid_Assets">[16]MODEL!$602:$602</definedName>
    <definedName name="Change_in_Prepaids_and_Other_Assets">[16]MODEL!$606:$606</definedName>
    <definedName name="channel" localSheetId="8">#REF!</definedName>
    <definedName name="channel" localSheetId="10">#REF!</definedName>
    <definedName name="channel" localSheetId="11">#REF!</definedName>
    <definedName name="channel">#REF!</definedName>
    <definedName name="CHECKSUM" localSheetId="10">#REF!</definedName>
    <definedName name="CHECKSUM" localSheetId="11">#REF!</definedName>
    <definedName name="CHECKSUM">#REF!</definedName>
    <definedName name="ChgWC" localSheetId="10">#REF!</definedName>
    <definedName name="ChgWC" localSheetId="11">#REF!</definedName>
    <definedName name="ChgWC">#REF!</definedName>
    <definedName name="Client_Server_Market">#REF!</definedName>
    <definedName name="closeoutvalue">#REF!</definedName>
    <definedName name="Closing_price">[23]Sheet1!$C$54:$G$54</definedName>
    <definedName name="COGS4" localSheetId="8">[15]MODEL!#REF!</definedName>
    <definedName name="COGS4" localSheetId="10">[15]MODEL!#REF!</definedName>
    <definedName name="COGS4" localSheetId="11">[15]MODEL!#REF!</definedName>
    <definedName name="COGS4">[15]MODEL!#REF!</definedName>
    <definedName name="ComCap" localSheetId="8">#REF!</definedName>
    <definedName name="ComCap" localSheetId="10">#REF!</definedName>
    <definedName name="ComCap" localSheetId="11">#REF!</definedName>
    <definedName name="ComCap">#REF!</definedName>
    <definedName name="COMMISSIONS_PAY" localSheetId="8">[32]MODEL!#REF!</definedName>
    <definedName name="COMMISSIONS_PAY" localSheetId="10">[32]MODEL!#REF!</definedName>
    <definedName name="COMMISSIONS_PAY" localSheetId="11">[32]MODEL!#REF!</definedName>
    <definedName name="COMMISSIONS_PAY">[32]MODEL!#REF!</definedName>
    <definedName name="common" localSheetId="8">#REF!</definedName>
    <definedName name="common" localSheetId="10">#REF!</definedName>
    <definedName name="common" localSheetId="11">#REF!</definedName>
    <definedName name="common">#REF!</definedName>
    <definedName name="CompanyData">'[33]Co.Data'!$6:$40</definedName>
    <definedName name="CompanyName">[29]Input!$C$1</definedName>
    <definedName name="Competition" localSheetId="8">[19]Summary!#REF!</definedName>
    <definedName name="Competition" localSheetId="10">[19]Summary!#REF!</definedName>
    <definedName name="Competition" localSheetId="11">[19]Summary!#REF!</definedName>
    <definedName name="Competition">[19]Summary!#REF!</definedName>
    <definedName name="ConsolidLine" localSheetId="8">#REF!</definedName>
    <definedName name="ConsolidLine" localSheetId="10">#REF!</definedName>
    <definedName name="ConsolidLine" localSheetId="11">#REF!</definedName>
    <definedName name="ConsolidLine">#REF!</definedName>
    <definedName name="Consumer_Revenue">[34]MODEL!$6:$6</definedName>
    <definedName name="conv" localSheetId="8">[23]Sheet1!#REF!</definedName>
    <definedName name="conv" localSheetId="10">[23]Sheet1!#REF!</definedName>
    <definedName name="conv" localSheetId="11">[23]Sheet1!#REF!</definedName>
    <definedName name="conv">[23]Sheet1!#REF!</definedName>
    <definedName name="Coporate.Y2001D">'[12]Income Stmt'!$GY$20</definedName>
    <definedName name="Coporate.Y2002D">'[12]Income Stmt'!$GZ$20</definedName>
    <definedName name="Cost_of_License">[3]MODEL!$10:$10</definedName>
    <definedName name="CPI" localSheetId="8">#REF!</definedName>
    <definedName name="CPI" localSheetId="10">#REF!</definedName>
    <definedName name="CPI" localSheetId="11">#REF!</definedName>
    <definedName name="CPI">#REF!</definedName>
    <definedName name="cpm">[17]other!$G$9</definedName>
    <definedName name="CPNFRP" localSheetId="8">[14]MODEL!#REF!</definedName>
    <definedName name="CPNFRP" localSheetId="10">[14]MODEL!#REF!</definedName>
    <definedName name="CPNFRP" localSheetId="11">[14]MODEL!#REF!</definedName>
    <definedName name="CPNFRP">[14]MODEL!#REF!</definedName>
    <definedName name="CPSWL" localSheetId="10">[14]MODEL!#REF!</definedName>
    <definedName name="CPSWL" localSheetId="11">[14]MODEL!#REF!</definedName>
    <definedName name="CPSWL">[14]MODEL!#REF!</definedName>
    <definedName name="CPT" localSheetId="10">[3]MODEL!#REF!</definedName>
    <definedName name="CPT" localSheetId="11">[3]MODEL!#REF!</definedName>
    <definedName name="CPT">[3]MODEL!#REF!</definedName>
    <definedName name="CQC" localSheetId="8">#REF!</definedName>
    <definedName name="CQC" localSheetId="10">#REF!</definedName>
    <definedName name="CQC" localSheetId="11">#REF!</definedName>
    <definedName name="CQC">#REF!</definedName>
    <definedName name="cratios" localSheetId="10">#REF!</definedName>
    <definedName name="cratios" localSheetId="11">#REF!</definedName>
    <definedName name="cratios">#REF!</definedName>
    <definedName name="CREV">[28]MODEL!$8:$8</definedName>
    <definedName name="csize" localSheetId="8">#REF!</definedName>
    <definedName name="csize" localSheetId="10">#REF!</definedName>
    <definedName name="csize" localSheetId="11">#REF!</definedName>
    <definedName name="csize">#REF!</definedName>
    <definedName name="CUR_DEF_REV">[15]MODEL!$446:$446</definedName>
    <definedName name="CUR_POR_CAP">[3]MODEL!$410:$410</definedName>
    <definedName name="CurrAssets" localSheetId="8">#REF!</definedName>
    <definedName name="CurrAssets" localSheetId="10">#REF!</definedName>
    <definedName name="CurrAssets" localSheetId="11">#REF!</definedName>
    <definedName name="CurrAssets">#REF!</definedName>
    <definedName name="CurrDebt" localSheetId="10">#REF!</definedName>
    <definedName name="CurrDebt" localSheetId="11">#REF!</definedName>
    <definedName name="CurrDebt">#REF!</definedName>
    <definedName name="CurrencyIndicator" localSheetId="10">#REF!</definedName>
    <definedName name="CurrencyIndicator" localSheetId="11">#REF!</definedName>
    <definedName name="CurrencyIndicator">#REF!</definedName>
    <definedName name="CurrencyNote">[29]Input!$C$4</definedName>
    <definedName name="Current_Forecast" localSheetId="8">#REF!</definedName>
    <definedName name="Current_Forecast" localSheetId="10">#REF!</definedName>
    <definedName name="Current_Forecast" localSheetId="11">#REF!</definedName>
    <definedName name="Current_Forecast">#REF!</definedName>
    <definedName name="CURRENT_LTD" localSheetId="8">[3]MODEL!#REF!</definedName>
    <definedName name="CURRENT_LTD" localSheetId="10">[3]MODEL!#REF!</definedName>
    <definedName name="CURRENT_LTD" localSheetId="11">[3]MODEL!#REF!</definedName>
    <definedName name="CURRENT_LTD">[3]MODEL!#REF!</definedName>
    <definedName name="Current_Q" localSheetId="10">#REF!</definedName>
    <definedName name="Current_Q" localSheetId="11">#REF!</definedName>
    <definedName name="Current_Q">#REF!</definedName>
    <definedName name="CURRENT_QTR_EPS" localSheetId="10">'[19]Local Voice'!#REF!</definedName>
    <definedName name="CURRENT_QTR_EPS" localSheetId="11">'[19]Local Voice'!#REF!</definedName>
    <definedName name="CURRENT_QTR_EPS">'[19]Local Voice'!#REF!</definedName>
    <definedName name="current_year">'[14]LINKS&amp;INPUTS'!$E$5</definedName>
    <definedName name="CurrentDebtToCapital" localSheetId="8">[29]ValuationInput!#REF!</definedName>
    <definedName name="CurrentDebtToCapital" localSheetId="10">[29]ValuationInput!#REF!</definedName>
    <definedName name="CurrentDebtToCapital" localSheetId="11">[29]ValuationInput!#REF!</definedName>
    <definedName name="CurrentDebtToCapital">[29]ValuationInput!#REF!</definedName>
    <definedName name="CURRENTRATIO" localSheetId="8">#REF!</definedName>
    <definedName name="CURRENTRATIO" localSheetId="10">#REF!</definedName>
    <definedName name="CURRENTRATIO" localSheetId="11">#REF!</definedName>
    <definedName name="CURRENTRATIO">#REF!</definedName>
    <definedName name="CurrLiab" localSheetId="10">#REF!</definedName>
    <definedName name="CurrLiab" localSheetId="11">#REF!</definedName>
    <definedName name="CurrLiab">#REF!</definedName>
    <definedName name="Customers" localSheetId="10">[3]MODEL!#REF!</definedName>
    <definedName name="Customers" localSheetId="11">[3]MODEL!#REF!</definedName>
    <definedName name="Customers">[3]MODEL!#REF!</definedName>
    <definedName name="Customers_Added" localSheetId="10">[3]MODEL!#REF!</definedName>
    <definedName name="Customers_Added" localSheetId="11">[3]MODEL!#REF!</definedName>
    <definedName name="Customers_Added">[3]MODEL!#REF!</definedName>
    <definedName name="DA">[3]MODEL!#REF!</definedName>
    <definedName name="Data_Centers">[3]MODEL!#REF!</definedName>
    <definedName name="_xlnm.Database" localSheetId="8">#REF!</definedName>
    <definedName name="_xlnm.Database" localSheetId="10">#REF!</definedName>
    <definedName name="_xlnm.Database" localSheetId="11">#REF!</definedName>
    <definedName name="_xlnm.Database">#REF!</definedName>
    <definedName name="dataID" localSheetId="10">#REF!</definedName>
    <definedName name="dataID" localSheetId="11">#REF!</definedName>
    <definedName name="dataID">#REF!</definedName>
    <definedName name="DCF_2000">[23]Sheet1!$H$3:$H$110</definedName>
    <definedName name="DCF_5" localSheetId="8">#REF!</definedName>
    <definedName name="DCF_5" localSheetId="10">#REF!</definedName>
    <definedName name="DCF_5" localSheetId="11">#REF!</definedName>
    <definedName name="DCF_5">#REF!</definedName>
    <definedName name="DCF_DEP">[3]MODEL!$483:$483</definedName>
    <definedName name="DCF_EY1">[23]Sheet1!$D:$D</definedName>
    <definedName name="DCF_EY2">[23]Sheet1!$E:$E</definedName>
    <definedName name="DCF_P">[23]Sheet1!$C:$C</definedName>
    <definedName name="DEALS">[35]MODEL!$304:$304</definedName>
    <definedName name="Debt">[14]MODEL!$100:$100</definedName>
    <definedName name="Debt_Market_Cap_Ratio" localSheetId="8">#REF!</definedName>
    <definedName name="Debt_Market_Cap_Ratio" localSheetId="10">#REF!</definedName>
    <definedName name="Debt_Market_Cap_Ratio" localSheetId="11">#REF!</definedName>
    <definedName name="Debt_Market_Cap_Ratio">#REF!</definedName>
    <definedName name="DEBT1995" localSheetId="8">[7]Model!#REF!</definedName>
    <definedName name="DEBT1995" localSheetId="10">[7]Model!#REF!</definedName>
    <definedName name="DEBT1995" localSheetId="11">[7]Model!#REF!</definedName>
    <definedName name="DEBT1995">[7]Model!#REF!</definedName>
    <definedName name="DebtInputAddressTable" localSheetId="8">[29]Storage!#REF!</definedName>
    <definedName name="DebtInputAddressTable">[29]Storage!#REF!</definedName>
    <definedName name="DEBTTOCAPITAL" localSheetId="8">#REF!</definedName>
    <definedName name="DEBTTOCAPITAL" localSheetId="10">#REF!</definedName>
    <definedName name="DEBTTOCAPITAL" localSheetId="11">#REF!</definedName>
    <definedName name="DEBTTOCAPITAL">#REF!</definedName>
    <definedName name="Def">[36]Market_Share!$A$12</definedName>
    <definedName name="DEF_CON_BUS_ACQ">[3]MODEL!$412:$412</definedName>
    <definedName name="DEF_REV" localSheetId="8">[3]MODEL!#REF!</definedName>
    <definedName name="DEF_REV" localSheetId="10">[3]MODEL!#REF!</definedName>
    <definedName name="DEF_REV" localSheetId="11">[3]MODEL!#REF!</definedName>
    <definedName name="DEF_REV">[3]MODEL!#REF!</definedName>
    <definedName name="DEF_TAX">[3]MODEL!$512:$512</definedName>
    <definedName name="DEF_TAX_ASSET" localSheetId="8">[3]MODEL!#REF!</definedName>
    <definedName name="DEF_TAX_ASSET" localSheetId="10">[3]MODEL!#REF!</definedName>
    <definedName name="DEF_TAX_ASSET" localSheetId="11">[3]MODEL!#REF!</definedName>
    <definedName name="DEF_TAX_ASSET">[3]MODEL!#REF!</definedName>
    <definedName name="DEF_TAX_CF">[3]MODEL!$606:$606</definedName>
    <definedName name="DEF_TAX_LIABILITY" localSheetId="8">[3]MODEL!#REF!</definedName>
    <definedName name="DEF_TAX_LIABILITY" localSheetId="10">[3]MODEL!#REF!</definedName>
    <definedName name="DEF_TAX_LIABILITY" localSheetId="11">[3]MODEL!#REF!</definedName>
    <definedName name="DEF_TAX_LIABILITY">[3]MODEL!#REF!</definedName>
    <definedName name="DEF_TAX_LIB" localSheetId="10">[3]MODEL!#REF!</definedName>
    <definedName name="DEF_TAX_LIB" localSheetId="11">[3]MODEL!#REF!</definedName>
    <definedName name="DEF_TAX_LIB">[3]MODEL!#REF!</definedName>
    <definedName name="Deferred_Comissions">[16]MODEL!$483:$483</definedName>
    <definedName name="DEFERRED_COMMISSIONS">[3]MODEL!$395:$395</definedName>
    <definedName name="Deferred_Costs">[16]MODEL!$482:$482</definedName>
    <definedName name="Deferred_Income_Taxes___Current">[16]MODEL!$476:$476</definedName>
    <definedName name="DEFERRED_LT" localSheetId="8">[3]MODEL!#REF!</definedName>
    <definedName name="DEFERRED_LT" localSheetId="10">[3]MODEL!#REF!</definedName>
    <definedName name="DEFERRED_LT" localSheetId="11">[3]MODEL!#REF!</definedName>
    <definedName name="DEFERRED_LT">[3]MODEL!#REF!</definedName>
    <definedName name="Deferred_Revenue">[3]MODEL!$484:$484</definedName>
    <definedName name="Deferred_Tax_Expenses__Benefit">[16]MODEL!$598:$598</definedName>
    <definedName name="DeferredTax" localSheetId="8">#REF!</definedName>
    <definedName name="DeferredTax" localSheetId="10">#REF!</definedName>
    <definedName name="DeferredTax" localSheetId="11">#REF!</definedName>
    <definedName name="DeferredTax">#REF!</definedName>
    <definedName name="DEFREV" localSheetId="10">#REF!</definedName>
    <definedName name="DEFREV" localSheetId="11">#REF!</definedName>
    <definedName name="DEFREV">#REF!</definedName>
    <definedName name="Dep_margin_fore" localSheetId="10">[23]Sheet1!#REF!</definedName>
    <definedName name="Dep_margin_fore" localSheetId="11">[23]Sheet1!#REF!</definedName>
    <definedName name="Dep_margin_fore">[23]Sheet1!#REF!</definedName>
    <definedName name="DeprAmort_Input">'[10]SENSITIVITY ANALYSIS'!$E$71</definedName>
    <definedName name="DeprAmort_Toggle">'[10]SENSITIVITY ANALYSIS'!$I$69</definedName>
    <definedName name="Depreciation" localSheetId="8">#REF!</definedName>
    <definedName name="Depreciation" localSheetId="10">#REF!</definedName>
    <definedName name="Depreciation" localSheetId="11">#REF!</definedName>
    <definedName name="Depreciation">#REF!</definedName>
    <definedName name="Depreciation.Y2001D">'[12]Income Stmt'!$GY$18</definedName>
    <definedName name="Depreciation.Y2002D">'[12]Income Stmt'!$GZ$18</definedName>
    <definedName name="DETAIL" localSheetId="8">#REF!</definedName>
    <definedName name="DETAIL" localSheetId="10">#REF!</definedName>
    <definedName name="DETAIL" localSheetId="11">#REF!</definedName>
    <definedName name="DETAIL">#REF!</definedName>
    <definedName name="DETAIL___CONF." localSheetId="10">#REF!</definedName>
    <definedName name="DETAIL___CONF." localSheetId="11">#REF!</definedName>
    <definedName name="DETAIL___CONF.">#REF!</definedName>
    <definedName name="DFgbvd" localSheetId="10">[6]Model!#REF!</definedName>
    <definedName name="DFgbvd" localSheetId="11">[6]Model!#REF!</definedName>
    <definedName name="DFgbvd">[6]Model!#REF!</definedName>
    <definedName name="Digital_Marketing">[37]MODEL!$277:$277</definedName>
    <definedName name="Digital_Media">[37]MODEL!$276:$276</definedName>
    <definedName name="Dilution_factor">[23]Sheet1!$S$62</definedName>
    <definedName name="DITLT">[16]MODEL!$488:$488</definedName>
    <definedName name="Dividend" localSheetId="8">[8]Model!#REF!</definedName>
    <definedName name="Dividend" localSheetId="10">[8]Model!#REF!</definedName>
    <definedName name="Dividend" localSheetId="11">[8]Model!#REF!</definedName>
    <definedName name="Dividend">[8]Model!#REF!</definedName>
    <definedName name="DIVPAYOUTRATIO" localSheetId="8">#REF!</definedName>
    <definedName name="DIVPAYOUTRATIO" localSheetId="10">#REF!</definedName>
    <definedName name="DIVPAYOUTRATIO" localSheetId="11">#REF!</definedName>
    <definedName name="DIVPAYOUTRATIO">#REF!</definedName>
    <definedName name="DIVYIELD" localSheetId="10">#REF!</definedName>
    <definedName name="DIVYIELD" localSheetId="11">#REF!</definedName>
    <definedName name="DIVYIELD">#REF!</definedName>
    <definedName name="dkmtu" localSheetId="10">[6]Model!#REF!</definedName>
    <definedName name="dkmtu" localSheetId="11">[6]Model!#REF!</definedName>
    <definedName name="dkmtu">[6]Model!#REF!</definedName>
    <definedName name="DMCR" localSheetId="8">#REF!</definedName>
    <definedName name="DMCR" localSheetId="10">#REF!</definedName>
    <definedName name="DMCR" localSheetId="11">#REF!</definedName>
    <definedName name="DMCR">#REF!</definedName>
    <definedName name="DomCapex06">[31]Michelin!$Q$110</definedName>
    <definedName name="DomCosts06">[31]Michelin!$Q$77</definedName>
    <definedName name="DomRev06">[31]Michelin!$Q$60</definedName>
    <definedName name="DorOpCost">[31]Michelin!$Q$186</definedName>
    <definedName name="DorRev">[31]Michelin!$Q$185</definedName>
    <definedName name="DorTax">[31]Michelin!$Q$188</definedName>
    <definedName name="DOUBTFUL_ACCT" localSheetId="8">[3]MODEL!#REF!</definedName>
    <definedName name="DOUBTFUL_ACCT" localSheetId="10">[3]MODEL!#REF!</definedName>
    <definedName name="DOUBTFUL_ACCT" localSheetId="11">[3]MODEL!#REF!</definedName>
    <definedName name="DOUBTFUL_ACCT">[3]MODEL!#REF!</definedName>
    <definedName name="Doyon" localSheetId="10">[7]Model!#REF!</definedName>
    <definedName name="Doyon" localSheetId="11">[7]Model!#REF!</definedName>
    <definedName name="Doyon">[7]Model!#REF!</definedName>
    <definedName name="DR_ACQUISITION" localSheetId="10">[3]MODEL!#REF!</definedName>
    <definedName name="DR_ACQUISITION" localSheetId="11">[3]MODEL!#REF!</definedName>
    <definedName name="DR_ACQUISITION">[3]MODEL!#REF!</definedName>
    <definedName name="Driver_2000" localSheetId="8">#REF!</definedName>
    <definedName name="Driver_2000" localSheetId="10">#REF!</definedName>
    <definedName name="Driver_2000" localSheetId="11">#REF!</definedName>
    <definedName name="Driver_2000">#REF!</definedName>
    <definedName name="Driver_2001" localSheetId="10">#REF!</definedName>
    <definedName name="Driver_2001" localSheetId="11">#REF!</definedName>
    <definedName name="Driver_2001">#REF!</definedName>
    <definedName name="Driver_2002" localSheetId="10">#REF!</definedName>
    <definedName name="Driver_2002" localSheetId="11">#REF!</definedName>
    <definedName name="Driver_2002">#REF!</definedName>
    <definedName name="DSCDSFG" localSheetId="10">[6]Model!#REF!</definedName>
    <definedName name="DSCDSFG" localSheetId="11">[6]Model!#REF!</definedName>
    <definedName name="DSCDSFG">[6]Model!#REF!</definedName>
    <definedName name="DSHiddenYear1" localSheetId="8" hidden="1">#REF!</definedName>
    <definedName name="DSHiddenYear1" localSheetId="10" hidden="1">#REF!</definedName>
    <definedName name="DSHiddenYear1" localSheetId="11" hidden="1">#REF!</definedName>
    <definedName name="DSHiddenYear1" hidden="1">#REF!</definedName>
    <definedName name="DSHiddenYear2" localSheetId="10" hidden="1">#REF!</definedName>
    <definedName name="DSHiddenYear2" localSheetId="11" hidden="1">#REF!</definedName>
    <definedName name="DSHiddenYear2" hidden="1">#REF!</definedName>
    <definedName name="DSHiddenYear3" localSheetId="10" hidden="1">#REF!</definedName>
    <definedName name="DSHiddenYear3" localSheetId="11"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TA_NC">[14]MODEL!#REF!</definedName>
    <definedName name="dtukmx">[6]Model!#REF!</definedName>
    <definedName name="e7jy">[6]Model!#REF!</definedName>
    <definedName name="EBIT_Input">'[10]SENSITIVITY ANALYSIS'!$E$61</definedName>
    <definedName name="EBIT_margin_fore" localSheetId="8">[23]Sheet1!#REF!</definedName>
    <definedName name="EBIT_margin_fore" localSheetId="10">[23]Sheet1!#REF!</definedName>
    <definedName name="EBIT_margin_fore" localSheetId="11">[23]Sheet1!#REF!</definedName>
    <definedName name="EBIT_margin_fore">[23]Sheet1!#REF!</definedName>
    <definedName name="EBIT_Toggle">'[10]SENSITIVITY ANALYSIS'!$I$59</definedName>
    <definedName name="EBITDA">[3]MODEL!$41:$41</definedName>
    <definedName name="EBITDA_DCF">[23]Sheet1!$C$15:$AZ$15</definedName>
    <definedName name="EBITDA_fore">[23]Sheet1!$E$17:$AW$17</definedName>
    <definedName name="EBITDA_growth_avg" localSheetId="8">[23]Sheet1!#REF!</definedName>
    <definedName name="EBITDA_growth_avg" localSheetId="10">[23]Sheet1!#REF!</definedName>
    <definedName name="EBITDA_growth_avg" localSheetId="11">[23]Sheet1!#REF!</definedName>
    <definedName name="EBITDA_growth_avg">[23]Sheet1!#REF!</definedName>
    <definedName name="EBITDA_PS" localSheetId="10">[3]MODEL!#REF!</definedName>
    <definedName name="EBITDA_PS" localSheetId="11">[3]MODEL!#REF!</definedName>
    <definedName name="EBITDA_PS">[3]MODEL!#REF!</definedName>
    <definedName name="EBITDA_Share" localSheetId="10">[23]Sheet1!#REF!</definedName>
    <definedName name="EBITDA_Share" localSheetId="11">[23]Sheet1!#REF!</definedName>
    <definedName name="EBITDA_Share">[23]Sheet1!#REF!</definedName>
    <definedName name="ebitda00">[38]Model!$L$336</definedName>
    <definedName name="ebitda01">[38]Model!$Q$336</definedName>
    <definedName name="ebitda02">[38]Model!$R$336</definedName>
    <definedName name="ebitda03">[38]Model!$W$336</definedName>
    <definedName name="ebitda99">[38]Model!$K$336</definedName>
    <definedName name="EBITDAPERSHARE" localSheetId="8">#REF!</definedName>
    <definedName name="EBITDAPERSHARE" localSheetId="10">#REF!</definedName>
    <definedName name="EBITDAPERSHARE" localSheetId="11">#REF!</definedName>
    <definedName name="EBITDAPERSHARE">#REF!</definedName>
    <definedName name="EBITDAREV" localSheetId="10">#REF!</definedName>
    <definedName name="EBITDAREV" localSheetId="11">#REF!</definedName>
    <definedName name="EBITDAREV">#REF!</definedName>
    <definedName name="EBITINTEXP" localSheetId="10">#REF!</definedName>
    <definedName name="EBITINTEXP" localSheetId="11">#REF!</definedName>
    <definedName name="EBITINTEXP">#REF!</definedName>
    <definedName name="EBITTAXADJ">#REF!</definedName>
    <definedName name="efQFQA" hidden="1">[6]DS_Industry_Specif!#REF!</definedName>
    <definedName name="El_Indio">[7]Model!#REF!</definedName>
    <definedName name="employee">[39]BAANF!#REF!</definedName>
    <definedName name="end_of_first_period">'[14]LINKS&amp;INPUTS'!$D$48</definedName>
    <definedName name="ENT_SEG" localSheetId="8">[3]MODEL!#REF!</definedName>
    <definedName name="ENT_SEG" localSheetId="10">[3]MODEL!#REF!</definedName>
    <definedName name="ENT_SEG" localSheetId="11">[3]MODEL!#REF!</definedName>
    <definedName name="ENT_SEG">[3]MODEL!#REF!</definedName>
    <definedName name="ENTERPRISE" localSheetId="10">[3]MODEL!#REF!</definedName>
    <definedName name="ENTERPRISE" localSheetId="11">[3]MODEL!#REF!</definedName>
    <definedName name="ENTERPRISE">[3]MODEL!#REF!</definedName>
    <definedName name="Enterprise_Revenue">[34]MODEL!$7:$7</definedName>
    <definedName name="ENTERPRISEVAL" localSheetId="8">#REF!</definedName>
    <definedName name="ENTERPRISEVAL" localSheetId="10">#REF!</definedName>
    <definedName name="ENTERPRISEVAL" localSheetId="11">#REF!</definedName>
    <definedName name="ENTERPRISEVAL">#REF!</definedName>
    <definedName name="EPS">[28]MODEL!$26:$26</definedName>
    <definedName name="EPS.Y2001D">'[12]Income Stmt'!$GY$44</definedName>
    <definedName name="EPS.Y2002D">'[12]Income Stmt'!$GZ$44</definedName>
    <definedName name="EPS_1994" localSheetId="8">[9]LaRonde!#REF!</definedName>
    <definedName name="EPS_1994" localSheetId="10">[9]LaRonde!#REF!</definedName>
    <definedName name="EPS_1994" localSheetId="11">[9]LaRonde!#REF!</definedName>
    <definedName name="EPS_1994">[9]LaRonde!#REF!</definedName>
    <definedName name="EPS_1996">[23]Sheet1!$G$20</definedName>
    <definedName name="EPS_1997">[23]Sheet1!$G$19</definedName>
    <definedName name="EPS_88" localSheetId="8">[19]Summary!#REF!</definedName>
    <definedName name="EPS_88" localSheetId="10">[19]Summary!#REF!</definedName>
    <definedName name="EPS_88" localSheetId="11">[19]Summary!#REF!</definedName>
    <definedName name="EPS_88">[19]Summary!#REF!</definedName>
    <definedName name="EPS_89" localSheetId="10">[19]Summary!#REF!</definedName>
    <definedName name="EPS_89" localSheetId="11">[19]Summary!#REF!</definedName>
    <definedName name="EPS_89">[19]Summary!#REF!</definedName>
    <definedName name="EPS_90" localSheetId="10">[19]Summary!#REF!</definedName>
    <definedName name="EPS_90" localSheetId="11">[19]Summary!#REF!</definedName>
    <definedName name="EPS_90">[19]Summary!#REF!</definedName>
    <definedName name="eps_92" localSheetId="10">[19]Summary!#REF!</definedName>
    <definedName name="eps_92" localSheetId="11">[19]Summary!#REF!</definedName>
    <definedName name="eps_92">[19]Summary!#REF!</definedName>
    <definedName name="EPS_97">[19]Summary!#REF!</definedName>
    <definedName name="EPS_excluding_loss_for_non_controlling_interest">[14]MODEL!#REF!</definedName>
    <definedName name="EPS_growth_avg">[23]Sheet1!#REF!</definedName>
    <definedName name="EPS_Model" localSheetId="8">#REF!</definedName>
    <definedName name="EPS_Model" localSheetId="10">#REF!</definedName>
    <definedName name="EPS_Model" localSheetId="11">#REF!</definedName>
    <definedName name="EPS_Model">#REF!</definedName>
    <definedName name="EPS_PF_SBC">[3]MODEL!$32:$32</definedName>
    <definedName name="eps_year_ago" localSheetId="8">[19]Summary!#REF!</definedName>
    <definedName name="eps_year_ago" localSheetId="10">[19]Summary!#REF!</definedName>
    <definedName name="eps_year_ago" localSheetId="11">[19]Summary!#REF!</definedName>
    <definedName name="eps_year_ago">[19]Summary!#REF!</definedName>
    <definedName name="eps00" localSheetId="10">[8]Model!#REF!</definedName>
    <definedName name="eps00" localSheetId="11">[8]Model!#REF!</definedName>
    <definedName name="eps00">[8]Model!#REF!</definedName>
    <definedName name="EPSBasic" localSheetId="8">#REF!</definedName>
    <definedName name="EPSBasic" localSheetId="10">#REF!</definedName>
    <definedName name="EPSBasic" localSheetId="11">#REF!</definedName>
    <definedName name="EPSBasic">#REF!</definedName>
    <definedName name="EPSBeforeExtFD" localSheetId="10">#REF!</definedName>
    <definedName name="EPSBeforeExtFD" localSheetId="11">#REF!</definedName>
    <definedName name="EPSBeforeExtFD">#REF!</definedName>
    <definedName name="EPSFD" localSheetId="10">#REF!</definedName>
    <definedName name="EPSFD" localSheetId="11">#REF!</definedName>
    <definedName name="EPSFD">#REF!</definedName>
    <definedName name="epsnav">[31]Michelin!$F$683</definedName>
    <definedName name="EPSPreExBasic" localSheetId="8">#REF!</definedName>
    <definedName name="EPSPreExBasic" localSheetId="10">#REF!</definedName>
    <definedName name="EPSPreExBasic" localSheetId="11">#REF!</definedName>
    <definedName name="EPSPreExBasic">#REF!</definedName>
    <definedName name="epsr1995" localSheetId="8">[9]LaRonde!#REF!</definedName>
    <definedName name="epsr1995" localSheetId="10">[9]LaRonde!#REF!</definedName>
    <definedName name="epsr1995" localSheetId="11">[9]LaRonde!#REF!</definedName>
    <definedName name="epsr1995">[9]LaRonde!#REF!</definedName>
    <definedName name="epsr1996" localSheetId="8">[9]LaRonde!#REF!</definedName>
    <definedName name="epsr1996">[9]LaRonde!#REF!</definedName>
    <definedName name="epsr1997" localSheetId="10">[9]LaRonde!#REF!</definedName>
    <definedName name="epsr1997" localSheetId="11">[9]LaRonde!#REF!</definedName>
    <definedName name="epsr1997">[9]LaRonde!#REF!</definedName>
    <definedName name="epsr1998">[9]LaRonde!#REF!</definedName>
    <definedName name="Equity" localSheetId="8">#REF!</definedName>
    <definedName name="Equity" localSheetId="10">#REF!</definedName>
    <definedName name="Equity" localSheetId="11">#REF!</definedName>
    <definedName name="Equity">#REF!</definedName>
    <definedName name="Equity_Production.Y2000D">'[12]Gold production'!$GX$104</definedName>
    <definedName name="Equity_Production.Y2001D">'[12]Gold production'!$GY$104</definedName>
    <definedName name="Equity_Production.Y2002D">'[12]Gold production'!$GZ$104</definedName>
    <definedName name="er" localSheetId="8" hidden="1">[6]DS_Industry_Specif!#REF!</definedName>
    <definedName name="er" localSheetId="10" hidden="1">[6]DS_Industry_Specif!#REF!</definedName>
    <definedName name="er" localSheetId="11" hidden="1">[6]DS_Industry_Specif!#REF!</definedName>
    <definedName name="er" hidden="1">[6]DS_Industry_Specif!#REF!</definedName>
    <definedName name="ESD">[5]MODEL!$386:$386</definedName>
    <definedName name="EV_TO_PE_LTM">[3]MODEL!$557:$557</definedName>
    <definedName name="EV_TO_PE_TTM">[3]MODEL!$556:$556</definedName>
    <definedName name="EV_TO_REV_LTM">[3]MODEL!$555:$555</definedName>
    <definedName name="EV_TO_REV_TTM">[3]MODEL!$554:$554</definedName>
    <definedName name="EX_28">[3]MODEL!$CZ$3</definedName>
    <definedName name="EX_29">[3]MODEL!$BT$4</definedName>
    <definedName name="EX_30">[3]MODEL!$BT$180</definedName>
    <definedName name="EX_31">[3]MODEL!$BQ$116</definedName>
    <definedName name="EX_33" localSheetId="8">[3]MODEL!#REF!</definedName>
    <definedName name="EX_33" localSheetId="10">[3]MODEL!#REF!</definedName>
    <definedName name="EX_33" localSheetId="11">[3]MODEL!#REF!</definedName>
    <definedName name="EX_33">[3]MODEL!#REF!</definedName>
    <definedName name="EX_34">[3]MODEL!$BQ$86</definedName>
    <definedName name="EX_35">[3]MODEL!$CB$94</definedName>
    <definedName name="EX_52">[3]DCF!$B$3</definedName>
    <definedName name="ExchangeRatio" localSheetId="8">#REF!</definedName>
    <definedName name="ExchangeRatio" localSheetId="10">#REF!</definedName>
    <definedName name="ExchangeRatio" localSheetId="11">#REF!</definedName>
    <definedName name="ExchangeRatio">#REF!</definedName>
    <definedName name="EXH_1" localSheetId="10">#REF!</definedName>
    <definedName name="EXH_1" localSheetId="11">#REF!</definedName>
    <definedName name="EXH_1">#REF!</definedName>
    <definedName name="EXH_2" localSheetId="10">#REF!</definedName>
    <definedName name="EXH_2" localSheetId="11">#REF!</definedName>
    <definedName name="EXH_2">#REF!</definedName>
    <definedName name="EXH_3">#REF!</definedName>
    <definedName name="EXH_4">#REF!</definedName>
    <definedName name="EXP_COG_REV_A">#REF!</definedName>
    <definedName name="EXP_COG_REV_B">#REF!</definedName>
    <definedName name="EXP_GandA">#REF!</definedName>
    <definedName name="EXP_oth">#REF!</definedName>
    <definedName name="EXP_RandD">#REF!</definedName>
    <definedName name="EXP_SandM">#REF!</definedName>
    <definedName name="EXP_TOT" localSheetId="8">#REF!,#REF!</definedName>
    <definedName name="EXP_TOT" localSheetId="10">#REF!,#REF!</definedName>
    <definedName name="EXP_TOT" localSheetId="11">#REF!,#REF!</definedName>
    <definedName name="EXP_TOT">#REF!,#REF!</definedName>
    <definedName name="Expl_forecast_1st_yr">[23]Sheet1!$E:$E</definedName>
    <definedName name="Expl_forecast_2nd_yr">[23]Sheet1!$F:$F</definedName>
    <definedName name="Exploration" localSheetId="8">#REF!</definedName>
    <definedName name="Exploration" localSheetId="10">#REF!</definedName>
    <definedName name="Exploration" localSheetId="11">#REF!</definedName>
    <definedName name="Exploration">#REF!</definedName>
    <definedName name="Exploration.Y2001D">'[12]Income Stmt'!$GY$19</definedName>
    <definedName name="Exploration.Y2002D">'[12]Income Stmt'!$GZ$19</definedName>
    <definedName name="export" localSheetId="8">#REF!</definedName>
    <definedName name="export">#REF!</definedName>
    <definedName name="ExportFile" localSheetId="8">'BM Upload'!ExportFile</definedName>
    <definedName name="ExportFile" localSheetId="10">V!ExportFile</definedName>
    <definedName name="ExportFile" localSheetId="11">'V Sensitivity'!ExportFile</definedName>
    <definedName name="ExportFile">[0]!ExportFile</definedName>
    <definedName name="exrate1995" localSheetId="8">[7]Model!#REF!</definedName>
    <definedName name="exrate1995" localSheetId="10">[7]Model!#REF!</definedName>
    <definedName name="exrate1995" localSheetId="11">[7]Model!#REF!</definedName>
    <definedName name="exrate1995">[7]Model!#REF!</definedName>
    <definedName name="exrate1996" localSheetId="10">[7]Model!#REF!</definedName>
    <definedName name="exrate1996" localSheetId="11">[7]Model!#REF!</definedName>
    <definedName name="exrate1996">[7]Model!#REF!</definedName>
    <definedName name="exrate1997">[38]Model!$I$51</definedName>
    <definedName name="EXT_ITEMS" localSheetId="8">#REF!</definedName>
    <definedName name="EXT_ITEMS" localSheetId="10">#REF!</definedName>
    <definedName name="EXT_ITEMS" localSheetId="11">#REF!</definedName>
    <definedName name="EXT_ITEMS">#REF!</definedName>
    <definedName name="extraordinaries.Y1999D">'[12]Income Stmt'!$GW$37</definedName>
    <definedName name="extraordinaries.Y2001D">'[12]Income Stmt'!$GY$37</definedName>
    <definedName name="extraordinaries.Y2002D">'[12]Income Stmt'!$GZ$37</definedName>
    <definedName name="eyr" localSheetId="8">[6]Model!#REF!</definedName>
    <definedName name="eyr" localSheetId="10">[6]Model!#REF!</definedName>
    <definedName name="eyr" localSheetId="11">[6]Model!#REF!</definedName>
    <definedName name="eyr">[6]Model!#REF!</definedName>
    <definedName name="f" localSheetId="10">[6]Model!#REF!</definedName>
    <definedName name="f" localSheetId="11">[6]Model!#REF!</definedName>
    <definedName name="f">[6]Model!#REF!</definedName>
    <definedName name="FAMERangeDJ_BALAL28" localSheetId="8">#REF!</definedName>
    <definedName name="FAMERangeDJ_BALAL28" localSheetId="10">#REF!</definedName>
    <definedName name="FAMERangeDJ_BALAL28" localSheetId="11">#REF!</definedName>
    <definedName name="FAMERangeDJ_BALAL28">#REF!</definedName>
    <definedName name="FAMERangeDJ_BALAM28" localSheetId="10">#REF!</definedName>
    <definedName name="FAMERangeDJ_BALAM28" localSheetId="11">#REF!</definedName>
    <definedName name="FAMERangeDJ_BALAM28">#REF!</definedName>
    <definedName name="FAMERangeDJ_BALAN28" localSheetId="10">#REF!</definedName>
    <definedName name="FAMERangeDJ_BALAN28" localSheetId="11">#REF!</definedName>
    <definedName name="FAMERangeDJ_BALAN28">#REF!</definedName>
    <definedName name="FAMERangeGCI_BALD62">#REF!</definedName>
    <definedName name="FAMERangeGCI_BALD63">#REF!</definedName>
    <definedName name="FAMERangeKRI_BALAL99">#REF!</definedName>
    <definedName name="FAMERangeKRI_BALAM99">#REF!</definedName>
    <definedName name="FAMERangeKRI_BALAN99">#REF!</definedName>
    <definedName name="FAMERangeValuationC8">#REF!</definedName>
    <definedName name="FAMERangeValuationO13">#REF!</definedName>
    <definedName name="FAMERangeValuationS13">#REF!</definedName>
    <definedName name="fb">[6]Model!#REF!</definedName>
    <definedName name="fbv">[6]Model!#REF!</definedName>
    <definedName name="FC_MARGIN">[15]MODEL!$80:$80</definedName>
    <definedName name="FCF">[3]MODEL!$106:$106</definedName>
    <definedName name="FCFBASIC" localSheetId="8">#REF!</definedName>
    <definedName name="FCFBASIC" localSheetId="10">#REF!</definedName>
    <definedName name="FCFBASIC" localSheetId="11">#REF!</definedName>
    <definedName name="FCFBASIC">#REF!</definedName>
    <definedName name="FCFFD" localSheetId="10">#REF!</definedName>
    <definedName name="FCFFD" localSheetId="11">#REF!</definedName>
    <definedName name="FCFFD">#REF!</definedName>
    <definedName name="fds" hidden="1">"c275"</definedName>
    <definedName name="fdsa" hidden="1">"c301"</definedName>
    <definedName name="fgh" hidden="1">"c118"</definedName>
    <definedName name="fgyu8kdf" localSheetId="8">[6]Model!#REF!</definedName>
    <definedName name="fgyu8kdf" localSheetId="10">[6]Model!#REF!</definedName>
    <definedName name="fgyu8kdf" localSheetId="11">[6]Model!#REF!</definedName>
    <definedName name="fgyu8kdf">[6]Model!#REF!</definedName>
    <definedName name="FinCF" localSheetId="8">#REF!</definedName>
    <definedName name="FinCF" localSheetId="10">#REF!</definedName>
    <definedName name="FinCF" localSheetId="11">#REF!</definedName>
    <definedName name="FinCF">#REF!</definedName>
    <definedName name="FirstCall" localSheetId="10">#REF!</definedName>
    <definedName name="FirstCall" localSheetId="11">#REF!</definedName>
    <definedName name="FirstCall">#REF!</definedName>
    <definedName name="fiscal1995" localSheetId="8">[19]Summary!#REF!</definedName>
    <definedName name="fiscal1995" localSheetId="10">[19]Summary!#REF!</definedName>
    <definedName name="fiscal1995" localSheetId="11">[19]Summary!#REF!</definedName>
    <definedName name="fiscal1995">[19]Summary!#REF!</definedName>
    <definedName name="fiscal1996" localSheetId="10">[19]Summary!#REF!</definedName>
    <definedName name="fiscal1996" localSheetId="11">[19]Summary!#REF!</definedName>
    <definedName name="fiscal1996">[19]Summary!#REF!</definedName>
    <definedName name="fiscal1997" localSheetId="10">'[19]IncomeStatement-save'!#REF!</definedName>
    <definedName name="fiscal1997" localSheetId="11">'[19]IncomeStatement-save'!#REF!</definedName>
    <definedName name="fiscal1997">'[19]IncomeStatement-save'!#REF!</definedName>
    <definedName name="FISCAL93" localSheetId="10">[7]Model!#REF!</definedName>
    <definedName name="FISCAL93" localSheetId="11">[7]Model!#REF!</definedName>
    <definedName name="FISCAL93">[7]Model!#REF!</definedName>
    <definedName name="FISCAL94" localSheetId="10">[7]Model!#REF!</definedName>
    <definedName name="FISCAL94" localSheetId="11">[7]Model!#REF!</definedName>
    <definedName name="FISCAL94">[7]Model!#REF!</definedName>
    <definedName name="FISCAL95">[7]Model!#REF!</definedName>
    <definedName name="FISCAL96">[7]Model!#REF!</definedName>
    <definedName name="FISCAL97">[7]Model!#REF!</definedName>
    <definedName name="FISCAL98">[7]Model!#REF!</definedName>
    <definedName name="float" localSheetId="8">#REF!</definedName>
    <definedName name="float" localSheetId="10">#REF!</definedName>
    <definedName name="float" localSheetId="11">#REF!</definedName>
    <definedName name="float">#REF!</definedName>
    <definedName name="footnote" localSheetId="10">#REF!</definedName>
    <definedName name="footnote" localSheetId="11">#REF!</definedName>
    <definedName name="footnote">#REF!</definedName>
    <definedName name="FootNoteID" localSheetId="10">#REF!</definedName>
    <definedName name="FootNoteID" localSheetId="11">#REF!</definedName>
    <definedName name="FootNoteID">#REF!</definedName>
    <definedName name="fratios">#REF!</definedName>
    <definedName name="freedcf0">#REF!</definedName>
    <definedName name="freedcf10">#REF!</definedName>
    <definedName name="freedcf10negsens">#REF!</definedName>
    <definedName name="freedcf10possens">#REF!</definedName>
    <definedName name="freedcf5">#REF!</definedName>
    <definedName name="FRG_Px">[31]OptionsWarrants!$B$4</definedName>
    <definedName name="fsda" localSheetId="8">[6]Model!#REF!</definedName>
    <definedName name="fsda" localSheetId="10">[6]Model!#REF!</definedName>
    <definedName name="fsda" localSheetId="11">[6]Model!#REF!</definedName>
    <definedName name="fsda">[6]Model!#REF!</definedName>
    <definedName name="FSR" localSheetId="8">#REF!</definedName>
    <definedName name="FSR" localSheetId="10">#REF!</definedName>
    <definedName name="FSR" localSheetId="11">#REF!</definedName>
    <definedName name="FSR">#REF!</definedName>
    <definedName name="FTM_PE_AVG">[32]MULTIPLES!$X$2052</definedName>
    <definedName name="FTM_PE_CURRENT">[32]MULTIPLES!$X$2046</definedName>
    <definedName name="FTM_PE_HIGH">[32]MULTIPLES!$X$2050</definedName>
    <definedName name="FTM_PE_LOW">[32]MULTIPLES!$X$2051</definedName>
    <definedName name="FTM_PE_MODE">[32]MULTIPLES!$X$2055</definedName>
    <definedName name="FTM_PS_AVG">[32]MULTIPLES!$Z$2052</definedName>
    <definedName name="FTM_PS_CURRENT">[32]MULTIPLES!$Z$2046</definedName>
    <definedName name="FTM_PS_HIGH">[32]MULTIPLES!$Z$2050</definedName>
    <definedName name="FTM_PS_LOW">[32]MULTIPLES!$Z$2051</definedName>
    <definedName name="FTM_PS_MODE">[32]MULTIPLES!$Z$2055</definedName>
    <definedName name="FTNT_ADJ_EPS">[40]MODEL!$24:$24</definedName>
    <definedName name="FTNT_ADJ_GA">[40]MODEL!$17:$17</definedName>
    <definedName name="FTNT_ADJ_GA_PC">[40]MODEL!$81:$81</definedName>
    <definedName name="FTNT_ADJ_OM">[40]MODEL!$19:$19</definedName>
    <definedName name="FTNT_ADJ_OM_PC">[40]MODEL!$82:$82</definedName>
    <definedName name="FTNT_ADJ_OTHERINC">[40]MODEL!$20:$20</definedName>
    <definedName name="FTNT_ADJ_RD">[40]MODEL!$16:$16</definedName>
    <definedName name="FTNT_ADJ_RD_PC">[40]MODEL!$80:$80</definedName>
    <definedName name="FTNT_ADJ_SM">[40]MODEL!$15:$15</definedName>
    <definedName name="FTNT_ADJ_SM_PC">[40]MODEL!$79:$79</definedName>
    <definedName name="FTNT_ADJ_TAXES">[40]MODEL!$22:$22</definedName>
    <definedName name="FTNT_ADJ_TAXRATE">[40]MODEL!$85:$85</definedName>
    <definedName name="FTNT_BOOKINGS">[40]MODEL!$55:$55</definedName>
    <definedName name="FTNT_CAPEX">[40]MODEL!$475:$475</definedName>
    <definedName name="FTNT_CFO">[40]MODEL!$56:$56</definedName>
    <definedName name="FTNT_CFO_PS">[40]MODEL!$57:$57</definedName>
    <definedName name="FTNT_DEF_REV">[40]MODEL!$54:$54</definedName>
    <definedName name="FTNT_DIL_SHA">[40]MODEL!$25:$25</definedName>
    <definedName name="FTNT_DSO">[40]MODEL!$51:$51</definedName>
    <definedName name="FTNT_FCF">[40]MODEL!$59:$59</definedName>
    <definedName name="FTNT_FCF_PS">[40]MODEL!$60:$60</definedName>
    <definedName name="FTNT_REV">[40]MODEL!$9:$9</definedName>
    <definedName name="FX_DI_QQ">[3]MODEL!$445:$445</definedName>
    <definedName name="FX_DI_YY">[3]MODEL!$430:$430</definedName>
    <definedName name="FX_Gain">[41]MODEL!$22:$22</definedName>
    <definedName name="FX_PI_QQ">[3]MODEL!$446:$446</definedName>
    <definedName name="FX_PI_YY">[3]MODEL!$431:$431</definedName>
    <definedName name="FX_REV_CC">[3]MODEL!$357:$357</definedName>
    <definedName name="FX_REV_CC_FTM">[3]MODEL!$359:$359</definedName>
    <definedName name="FX_REV_CC_TTM">[3]MODEL!$358:$358</definedName>
    <definedName name="fy_00">'[26]Newer version'!$BD$38</definedName>
    <definedName name="fy_01">'[42]QPL (before FC-matching adjs)'!$AC$75</definedName>
    <definedName name="FY_87" localSheetId="8">#REF!</definedName>
    <definedName name="FY_87" localSheetId="10">#REF!</definedName>
    <definedName name="FY_87" localSheetId="11">#REF!</definedName>
    <definedName name="FY_87">#REF!</definedName>
    <definedName name="FY_88" localSheetId="10">#REF!</definedName>
    <definedName name="FY_88" localSheetId="11">#REF!</definedName>
    <definedName name="FY_88">#REF!</definedName>
    <definedName name="FY_89" localSheetId="10">#REF!</definedName>
    <definedName name="FY_89" localSheetId="11">#REF!</definedName>
    <definedName name="FY_89">#REF!</definedName>
    <definedName name="FY_90">#REF!</definedName>
    <definedName name="FY_91">#REF!</definedName>
    <definedName name="FY_92" localSheetId="10">#REF!</definedName>
    <definedName name="FY_92" localSheetId="11">#REF!</definedName>
    <definedName name="FY_92">#REF!</definedName>
    <definedName name="FY_93">#REF!</definedName>
    <definedName name="FY_94">#REF!</definedName>
    <definedName name="FY_95">#REF!</definedName>
    <definedName name="FY_96">#REF!</definedName>
    <definedName name="fy_98">#REF!</definedName>
    <definedName name="fy_99">'[26]Newer version'!$BC$38</definedName>
    <definedName name="fy00_eps" localSheetId="8">#REF!</definedName>
    <definedName name="fy00_eps" localSheetId="10">#REF!</definedName>
    <definedName name="fy00_eps" localSheetId="11">#REF!</definedName>
    <definedName name="fy00_eps">#REF!</definedName>
    <definedName name="fy00_rev" localSheetId="10">#REF!</definedName>
    <definedName name="fy00_rev" localSheetId="11">#REF!</definedName>
    <definedName name="fy00_rev">#REF!</definedName>
    <definedName name="fy96_rev" localSheetId="10">#REF!</definedName>
    <definedName name="fy96_rev" localSheetId="11">#REF!</definedName>
    <definedName name="fy96_rev">#REF!</definedName>
    <definedName name="fy98_eps">#REF!</definedName>
    <definedName name="fy99_eps">#REF!</definedName>
    <definedName name="fy99_rev">#REF!</definedName>
    <definedName name="GA_SBC">[3]MODEL!#REF!</definedName>
    <definedName name="GAAP_OM">[3]MODEL!#REF!</definedName>
    <definedName name="gager">[6]Model!#REF!</definedName>
    <definedName name="GAIN_ON_ASSET">[3]MODEL!$485:$485</definedName>
    <definedName name="GDW">[16]MODEL!$486:$486</definedName>
    <definedName name="GEO_AMER_PCT">[14]MODEL!$274:$274</definedName>
    <definedName name="gf" hidden="1">"c247"</definedName>
    <definedName name="gfdfsa" hidden="1">"c261"</definedName>
    <definedName name="gh" localSheetId="8">[6]Model!#REF!</definedName>
    <definedName name="gh" localSheetId="10">[6]Model!#REF!</definedName>
    <definedName name="gh" localSheetId="11">[6]Model!#REF!</definedName>
    <definedName name="gh">[6]Model!#REF!</definedName>
    <definedName name="Gold_production__Net_Koz" localSheetId="10">[7]Model!#REF!</definedName>
    <definedName name="Gold_production__Net_Koz" localSheetId="11">[7]Model!#REF!</definedName>
    <definedName name="Gold_production__Net_Koz">[7]Model!#REF!</definedName>
    <definedName name="GoldEqPr">'[31]Val Detail'!$F$5</definedName>
    <definedName name="goldprice" localSheetId="8">#REF!</definedName>
    <definedName name="goldprice" localSheetId="10">#REF!</definedName>
    <definedName name="goldprice" localSheetId="11">#REF!</definedName>
    <definedName name="goldprice">#REF!</definedName>
    <definedName name="GoldRev" localSheetId="10">#REF!</definedName>
    <definedName name="GoldRev" localSheetId="11">#REF!</definedName>
    <definedName name="GoldRev">#REF!</definedName>
    <definedName name="Goldstrike" localSheetId="10">[7]Model!#REF!</definedName>
    <definedName name="Goldstrike" localSheetId="11">[7]Model!#REF!</definedName>
    <definedName name="Goldstrike">[7]Model!#REF!</definedName>
    <definedName name="Goodwill">[11]MODEL!$467:$467</definedName>
    <definedName name="GOODWILL_INTANG" localSheetId="8">[3]MODEL!#REF!</definedName>
    <definedName name="GOODWILL_INTANG" localSheetId="10">[3]MODEL!#REF!</definedName>
    <definedName name="GOODWILL_INTANG" localSheetId="11">[3]MODEL!#REF!</definedName>
    <definedName name="GOODWILL_INTANG">[3]MODEL!#REF!</definedName>
    <definedName name="gpo">'[31]Long Canyon'!$F$7</definedName>
    <definedName name="GRate" localSheetId="8">#REF!</definedName>
    <definedName name="GRate" localSheetId="10">#REF!</definedName>
    <definedName name="GRate" localSheetId="11">#REF!</definedName>
    <definedName name="GRate">#REF!</definedName>
    <definedName name="Gross_inc_growth" localSheetId="8">[23]Sheet1!#REF!</definedName>
    <definedName name="Gross_inc_growth" localSheetId="10">[23]Sheet1!#REF!</definedName>
    <definedName name="Gross_inc_growth" localSheetId="11">[23]Sheet1!#REF!</definedName>
    <definedName name="Gross_inc_growth">[23]Sheet1!#REF!</definedName>
    <definedName name="GROSS_INCOME">[15]MODEL!$12:$12</definedName>
    <definedName name="Gross_margin_fore" localSheetId="8">[23]Sheet1!#REF!</definedName>
    <definedName name="Gross_margin_fore" localSheetId="10">[23]Sheet1!#REF!</definedName>
    <definedName name="Gross_margin_fore" localSheetId="11">[23]Sheet1!#REF!</definedName>
    <definedName name="Gross_margin_fore">[23]Sheet1!#REF!</definedName>
    <definedName name="Gross_Profit_License">[3]MODEL!$14:$14</definedName>
    <definedName name="Gross_Profit_Services">[3]MODEL!$15:$15</definedName>
    <definedName name="growth" localSheetId="8">[19]Summary!#REF!</definedName>
    <definedName name="growth" localSheetId="10">[19]Summary!#REF!</definedName>
    <definedName name="growth" localSheetId="11">[19]Summary!#REF!</definedName>
    <definedName name="growth">[19]Summary!#REF!</definedName>
    <definedName name="Growth_Rate" localSheetId="8">#REF!</definedName>
    <definedName name="Growth_Rate" localSheetId="10">#REF!</definedName>
    <definedName name="Growth_Rate" localSheetId="11">#REF!</definedName>
    <definedName name="Growth_Rate">#REF!</definedName>
    <definedName name="grwth">'[26]Main Model'!$R$3</definedName>
    <definedName name="Gupta" localSheetId="8">#REF!</definedName>
    <definedName name="Gupta" localSheetId="10">#REF!</definedName>
    <definedName name="Gupta" localSheetId="11">#REF!</definedName>
    <definedName name="Gupta">#REF!</definedName>
    <definedName name="HEADCOUNT">[25]MODEL!$349:$349</definedName>
    <definedName name="Header" localSheetId="8">[19]Summary!#REF!</definedName>
    <definedName name="Header" localSheetId="10">[19]Summary!#REF!</definedName>
    <definedName name="Header" localSheetId="11">[19]Summary!#REF!</definedName>
    <definedName name="Header">[19]Summary!#REF!</definedName>
    <definedName name="HeadingsAddressTable" localSheetId="10">[29]Storage!#REF!</definedName>
    <definedName name="HeadingsAddressTable" localSheetId="11">[29]Storage!#REF!</definedName>
    <definedName name="HeadingsAddressTable">[29]Storage!#REF!</definedName>
    <definedName name="Headnew" localSheetId="10">[19]Summary!#REF!</definedName>
    <definedName name="Headnew" localSheetId="11">[19]Summary!#REF!</definedName>
    <definedName name="Headnew">[19]Summary!#REF!</definedName>
    <definedName name="hedgeprice" localSheetId="8">#REF!</definedName>
    <definedName name="hedgeprice" localSheetId="10">#REF!</definedName>
    <definedName name="hedgeprice" localSheetId="11">#REF!</definedName>
    <definedName name="hedgeprice">#REF!</definedName>
    <definedName name="HEDGEPROD_00" localSheetId="8">[8]Model!#REF!</definedName>
    <definedName name="HEDGEPROD_00" localSheetId="10">[8]Model!#REF!</definedName>
    <definedName name="HEDGEPROD_00" localSheetId="11">[8]Model!#REF!</definedName>
    <definedName name="HEDGEPROD_00">[8]Model!#REF!</definedName>
    <definedName name="HEDGEPROD_98" localSheetId="10">[8]Model!#REF!</definedName>
    <definedName name="HEDGEPROD_98" localSheetId="11">[8]Model!#REF!</definedName>
    <definedName name="HEDGEPROD_98">[8]Model!#REF!</definedName>
    <definedName name="HEDGEPROD_99" localSheetId="10">[8]Model!#REF!</definedName>
    <definedName name="HEDGEPROD_99" localSheetId="11">[8]Model!#REF!</definedName>
    <definedName name="HEDGEPROD_99">[8]Model!#REF!</definedName>
    <definedName name="HI_LO" localSheetId="10">[19]Summary!#REF!</definedName>
    <definedName name="HI_LO" localSheetId="11">[19]Summary!#REF!</definedName>
    <definedName name="HI_LO">[19]Summary!#REF!</definedName>
    <definedName name="hide" localSheetId="8">#REF!</definedName>
    <definedName name="hide" localSheetId="10">#REF!</definedName>
    <definedName name="hide" localSheetId="11">#REF!</definedName>
    <definedName name="hide">#REF!</definedName>
    <definedName name="hidebs" localSheetId="10">#REF!</definedName>
    <definedName name="hidebs" localSheetId="11">#REF!</definedName>
    <definedName name="hidebs">#REF!</definedName>
    <definedName name="hjm" localSheetId="10">[6]Model!#REF!</definedName>
    <definedName name="hjm" localSheetId="11">[6]Model!#REF!</definedName>
    <definedName name="hjm">[6]Model!#REF!</definedName>
    <definedName name="Holt_McDermott" localSheetId="10">[7]Model!#REF!</definedName>
    <definedName name="Holt_McDermott" localSheetId="11">[7]Model!#REF!</definedName>
    <definedName name="Holt_McDermott">[7]Model!#REF!</definedName>
    <definedName name="HPRICE1998" localSheetId="10">[7]Model!#REF!</definedName>
    <definedName name="HPRICE1998" localSheetId="11">[7]Model!#REF!</definedName>
    <definedName name="HPRICE1998">[7]Model!#REF!</definedName>
    <definedName name="Identifier">'[10]NA Tech Conference'!$D$2</definedName>
    <definedName name="ImportFile" localSheetId="8">'BM Upload'!ImportFile</definedName>
    <definedName name="ImportFile" localSheetId="10">V!ImportFile</definedName>
    <definedName name="ImportFile" localSheetId="11">'V Sensitivity'!ImportFile</definedName>
    <definedName name="ImportFile">[0]!ImportFile</definedName>
    <definedName name="ImportFile2" localSheetId="8">'BM Upload'!ImportFile2</definedName>
    <definedName name="ImportFile2" localSheetId="10">V!ImportFile2</definedName>
    <definedName name="ImportFile2" localSheetId="11">'V Sensitivity'!ImportFile2</definedName>
    <definedName name="ImportFile2">[0]!ImportFile2</definedName>
    <definedName name="INC_CONT_OP" localSheetId="8">#REF!</definedName>
    <definedName name="INC_CONT_OP" localSheetId="10">#REF!</definedName>
    <definedName name="INC_CONT_OP" localSheetId="11">#REF!</definedName>
    <definedName name="INC_CONT_OP">#REF!</definedName>
    <definedName name="INC_TAX_PAY">[3]MODEL!$483:$483</definedName>
    <definedName name="IncHedgeValue" localSheetId="8">#REF!</definedName>
    <definedName name="IncHedgeValue" localSheetId="10">#REF!</definedName>
    <definedName name="IncHedgeValue" localSheetId="11">#REF!</definedName>
    <definedName name="IncHedgeValue">#REF!</definedName>
    <definedName name="Income">'[26]Main Model'!$A$9:$CF$75</definedName>
    <definedName name="Income_before_taxes" localSheetId="8">[23]Sheet1!#REF!</definedName>
    <definedName name="Income_before_taxes" localSheetId="10">[23]Sheet1!#REF!</definedName>
    <definedName name="Income_before_taxes" localSheetId="11">[23]Sheet1!#REF!</definedName>
    <definedName name="Income_before_taxes">[23]Sheet1!#REF!</definedName>
    <definedName name="INCOME_STATEMENT" localSheetId="8">#REF!</definedName>
    <definedName name="INCOME_STATEMENT" localSheetId="10">#REF!</definedName>
    <definedName name="INCOME_STATEMENT" localSheetId="11">#REF!</definedName>
    <definedName name="INCOME_STATEMENT">#REF!</definedName>
    <definedName name="Income_Stmt" localSheetId="10">#REF!</definedName>
    <definedName name="Income_Stmt" localSheetId="11">#REF!</definedName>
    <definedName name="Income_Stmt">#REF!</definedName>
    <definedName name="Income_Tax_Receivables">[16]MODEL!$475:$475</definedName>
    <definedName name="Income_Taxes_Payable">[16]MODEL!$495:$495</definedName>
    <definedName name="Increase_in_other_liabilities" localSheetId="8">[23]Sheet1!#REF!</definedName>
    <definedName name="Increase_in_other_liabilities" localSheetId="10">[23]Sheet1!#REF!</definedName>
    <definedName name="Increase_in_other_liabilities" localSheetId="11">[23]Sheet1!#REF!</definedName>
    <definedName name="Increase_in_other_liabilities">[23]Sheet1!#REF!</definedName>
    <definedName name="Incremental_ROIC" localSheetId="10">[23]Sheet1!#REF!</definedName>
    <definedName name="Incremental_ROIC" localSheetId="11">[23]Sheet1!#REF!</definedName>
    <definedName name="Incremental_ROIC">[23]Sheet1!#REF!</definedName>
    <definedName name="Incremental_ROIC_DCF" localSheetId="10">[23]Sheet1!#REF!</definedName>
    <definedName name="Incremental_ROIC_DCF" localSheetId="11">[23]Sheet1!#REF!</definedName>
    <definedName name="Incremental_ROIC_DCF">[23]Sheet1!#REF!</definedName>
    <definedName name="IncStatTax">[31]Michelin!$L$365:$BM$365</definedName>
    <definedName name="Infrastructure_costs" localSheetId="8">[3]MODEL!#REF!</definedName>
    <definedName name="Infrastructure_costs" localSheetId="10">[3]MODEL!#REF!</definedName>
    <definedName name="Infrastructure_costs" localSheetId="11">[3]MODEL!#REF!</definedName>
    <definedName name="Infrastructure_costs">[3]MODEL!#REF!</definedName>
    <definedName name="InputAddressTable" localSheetId="10">[29]Storage!#REF!</definedName>
    <definedName name="InputAddressTable" localSheetId="11">[29]Storage!#REF!</definedName>
    <definedName name="InputAddressTable">[29]Storage!#REF!</definedName>
    <definedName name="INT_EXP">[3]MODEL!$600:$600</definedName>
    <definedName name="Interest.Y2001D">'[12]Income Stmt'!$GY$24</definedName>
    <definedName name="Interest.Y2002D">'[12]Income Stmt'!$GZ$24</definedName>
    <definedName name="Interest_Expense">[15]MODEL!$19:$19</definedName>
    <definedName name="Interest_expense_oper_leases">[23]Sheet1!$D$63:$AZ$63</definedName>
    <definedName name="Interest_Income">[15]MODEL!$18:$18</definedName>
    <definedName name="interl" localSheetId="8">#REF!</definedName>
    <definedName name="interl" localSheetId="10">#REF!</definedName>
    <definedName name="interl" localSheetId="11">#REF!</definedName>
    <definedName name="interl">#REF!</definedName>
    <definedName name="IntExpense" localSheetId="10">#REF!</definedName>
    <definedName name="IntExpense" localSheetId="11">#REF!</definedName>
    <definedName name="IntExpense">#REF!</definedName>
    <definedName name="IntIncome" localSheetId="10">#REF!</definedName>
    <definedName name="IntIncome" localSheetId="11">#REF!</definedName>
    <definedName name="IntIncome">#REF!</definedName>
    <definedName name="InvCF">#REF!</definedName>
    <definedName name="INVEST_ACQUISITIONS">[3]MODEL!$600:$600</definedName>
    <definedName name="INVEST_OTHER" localSheetId="8">[3]MODEL!#REF!</definedName>
    <definedName name="INVEST_OTHER" localSheetId="10">[3]MODEL!#REF!</definedName>
    <definedName name="INVEST_OTHER" localSheetId="11">[3]MODEL!#REF!</definedName>
    <definedName name="INVEST_OTHER">[3]MODEL!#REF!</definedName>
    <definedName name="Investment" localSheetId="8">#REF!</definedName>
    <definedName name="Investment" localSheetId="10">#REF!</definedName>
    <definedName name="Investment" localSheetId="11">#REF!</definedName>
    <definedName name="Investment">#REF!</definedName>
    <definedName name="INVESTMENTS">[37]MODEL!$24:$24</definedName>
    <definedName name="InvIncome" localSheetId="8">#REF!</definedName>
    <definedName name="InvIncome" localSheetId="10">#REF!</definedName>
    <definedName name="InvIncome" localSheetId="11">#REF!</definedName>
    <definedName name="InvIncome">#REF!</definedName>
    <definedName name="INVOICED_SUBSCRIPTION" localSheetId="8">[3]MODEL!#REF!</definedName>
    <definedName name="INVOICED_SUBSCRIPTION" localSheetId="10">[3]MODEL!#REF!</definedName>
    <definedName name="INVOICED_SUBSCRIPTION" localSheetId="11">[3]MODEL!#REF!</definedName>
    <definedName name="INVOICED_SUBSCRIPTION">[3]MODEL!#REF!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NUM_EST_REUT" hidden="1">"c5451"</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_ACT_OR_EST" hidden="1">"c4446"</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40073.4698842593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39286.2329861111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iQShowHideColumns" hidden="1">"iQShowAll"</definedName>
    <definedName name="IRRGuess" localSheetId="8">[29]ValuationSummary!#REF!</definedName>
    <definedName name="IRRGuess" localSheetId="10">[29]ValuationSummary!#REF!</definedName>
    <definedName name="IRRGuess" localSheetId="11">[29]ValuationSummary!#REF!</definedName>
    <definedName name="IRRGuess">[29]ValuationSummary!#REF!</definedName>
    <definedName name="IS" localSheetId="8">#REF!</definedName>
    <definedName name="IS" localSheetId="10">#REF!</definedName>
    <definedName name="IS" localSheetId="11">#REF!</definedName>
    <definedName name="IS">#REF!</definedName>
    <definedName name="IT_REC" localSheetId="8">[15]MODEL!#REF!</definedName>
    <definedName name="IT_REC" localSheetId="10">[15]MODEL!#REF!</definedName>
    <definedName name="IT_REC" localSheetId="11">[15]MODEL!#REF!</definedName>
    <definedName name="IT_REC">[15]MODEL!#REF!</definedName>
    <definedName name="jfgnm" localSheetId="10">[6]Model!#REF!</definedName>
    <definedName name="jfgnm" localSheetId="11">[6]Model!#REF!</definedName>
    <definedName name="jfgnm">[6]Model!#REF!</definedName>
    <definedName name="jgkj" localSheetId="10">[6]Model!#REF!</definedName>
    <definedName name="jgkj" localSheetId="11">[6]Model!#REF!</definedName>
    <definedName name="jgkj">[6]Model!#REF!</definedName>
    <definedName name="jk" localSheetId="10">[6]Model!#REF!</definedName>
    <definedName name="jk" localSheetId="11">[6]Model!#REF!</definedName>
    <definedName name="jk">[6]Model!#REF!</definedName>
    <definedName name="junk" localSheetId="8">#REF!</definedName>
    <definedName name="junk" localSheetId="10">#REF!</definedName>
    <definedName name="junk" localSheetId="11">#REF!</definedName>
    <definedName name="junk">#REF!</definedName>
    <definedName name="JV">[5]MODEL!$33:$33</definedName>
    <definedName name="k">[23]Sheet1!$B$3</definedName>
    <definedName name="Kd" localSheetId="8">[23]Sheet1!#REF!</definedName>
    <definedName name="Kd" localSheetId="10">[23]Sheet1!#REF!</definedName>
    <definedName name="Kd" localSheetId="11">[23]Sheet1!#REF!</definedName>
    <definedName name="Kd">[23]Sheet1!#REF!</definedName>
    <definedName name="kjt" localSheetId="10">[6]Model!#REF!</definedName>
    <definedName name="kjt" localSheetId="11">[6]Model!#REF!</definedName>
    <definedName name="kjt">[6]Model!#REF!</definedName>
    <definedName name="L_T_Debt" localSheetId="8">#REF!</definedName>
    <definedName name="L_T_Debt" localSheetId="10">#REF!</definedName>
    <definedName name="L_T_Debt" localSheetId="11">#REF!</definedName>
    <definedName name="L_T_Debt">#REF!</definedName>
    <definedName name="LARGE_DEALS">[37]MODEL!$167:$167</definedName>
    <definedName name="LCMineYr">'[31]Long Canyon'!$H$10:$W$10</definedName>
    <definedName name="leftcol" localSheetId="8">#REF!</definedName>
    <definedName name="leftcol" localSheetId="10">#REF!</definedName>
    <definedName name="leftcol" localSheetId="11">#REF!</definedName>
    <definedName name="leftcol">#REF!</definedName>
    <definedName name="Level0">'[22]NAV-Valuation'!$I$36:$L$36</definedName>
    <definedName name="Level1">'[22]NAV-Valuation'!$I$37:$L$37</definedName>
    <definedName name="Level1.1">'[22]NAV-Valuation'!$I$38:$L$38</definedName>
    <definedName name="Level2">'[22]NAV-Valuation'!$I$39:$L$39</definedName>
    <definedName name="Level3">'[22]NAV-Valuation'!$I$40:$L$40</definedName>
    <definedName name="Level4">'[22]NAV-Valuation'!$I$41:$L$41</definedName>
    <definedName name="levered_beta">[3]WACC!$B$10</definedName>
    <definedName name="LIBOR">[31]Michelin!$L$13:$BA$13</definedName>
    <definedName name="lk" hidden="1">"c147"</definedName>
    <definedName name="Loan_Loss_Provision_fore" localSheetId="8">[23]Sheet1!#REF!</definedName>
    <definedName name="Loan_Loss_Provision_fore" localSheetId="10">[23]Sheet1!#REF!</definedName>
    <definedName name="Loan_Loss_Provision_fore" localSheetId="11">[23]Sheet1!#REF!</definedName>
    <definedName name="Loan_Loss_Provision_fore">[23]Sheet1!#REF!</definedName>
    <definedName name="LOC" localSheetId="10">[14]MODEL!#REF!</definedName>
    <definedName name="LOC" localSheetId="11">[14]MODEL!#REF!</definedName>
    <definedName name="LOC">[14]MODEL!#REF!</definedName>
    <definedName name="Long_Term_Debt">[11]MODEL!$467:$467</definedName>
    <definedName name="Long_Term_Investments">[11]MODEL!$450:$450</definedName>
    <definedName name="Loss_attributable_to_non_controlling_interest" localSheetId="8">[14]MODEL!#REF!</definedName>
    <definedName name="Loss_attributable_to_non_controlling_interest" localSheetId="10">[14]MODEL!#REF!</definedName>
    <definedName name="Loss_attributable_to_non_controlling_interest" localSheetId="11">[14]MODEL!#REF!</definedName>
    <definedName name="Loss_attributable_to_non_controlling_interest">[14]MODEL!#REF!</definedName>
    <definedName name="LOSS_ON_DISP" localSheetId="10">[3]MODEL!#REF!</definedName>
    <definedName name="LOSS_ON_DISP" localSheetId="11">[3]MODEL!#REF!</definedName>
    <definedName name="LOSS_ON_DISP">[3]MODEL!#REF!</definedName>
    <definedName name="LQC" localSheetId="8">#REF!</definedName>
    <definedName name="LQC" localSheetId="10">#REF!</definedName>
    <definedName name="LQC" localSheetId="11">#REF!</definedName>
    <definedName name="LQC">#REF!</definedName>
    <definedName name="LREV">[14]MODEL!$6:$6</definedName>
    <definedName name="LT_CLO">[3]MODEL!$415:$415</definedName>
    <definedName name="LT_debt" localSheetId="8">[8]Model!#REF!</definedName>
    <definedName name="LT_debt" localSheetId="10">[8]Model!#REF!</definedName>
    <definedName name="LT_debt" localSheetId="11">[8]Model!#REF!</definedName>
    <definedName name="LT_debt">[8]Model!#REF!</definedName>
    <definedName name="LT_DEF_INC_TAX" localSheetId="10">[3]MODEL!#REF!</definedName>
    <definedName name="LT_DEF_INC_TAX" localSheetId="11">[3]MODEL!#REF!</definedName>
    <definedName name="LT_DEF_INC_TAX">[3]MODEL!#REF!</definedName>
    <definedName name="LT_Investments">[3]MODEL!$402:$402</definedName>
    <definedName name="LTD_CL">[15]MODEL!$447:$447</definedName>
    <definedName name="LTD_Net">[34]MODEL!$428:$428</definedName>
    <definedName name="LTDA">[16]MODEL!$487:$487</definedName>
    <definedName name="LTDD">[16]MODEL!$504:$504</definedName>
    <definedName name="LTDebt" localSheetId="8">#REF!</definedName>
    <definedName name="LTDebt" localSheetId="10">#REF!</definedName>
    <definedName name="LTDebt" localSheetId="11">#REF!</definedName>
    <definedName name="LTDebt">#REF!</definedName>
    <definedName name="LTDT" localSheetId="8">[3]MODEL!#REF!</definedName>
    <definedName name="LTDT" localSheetId="10">[3]MODEL!#REF!</definedName>
    <definedName name="LTDT" localSheetId="11">[3]MODEL!#REF!</definedName>
    <definedName name="LTDT">[3]MODEL!#REF!</definedName>
    <definedName name="LTGold">[22]Donlin!$I$40:$AJ$40</definedName>
    <definedName name="LTM_Revenues" localSheetId="8">[19]Summary!#REF!</definedName>
    <definedName name="LTM_Revenues" localSheetId="10">[19]Summary!#REF!</definedName>
    <definedName name="LTM_Revenues" localSheetId="11">[19]Summary!#REF!</definedName>
    <definedName name="LTM_Revenues">[19]Summary!#REF!</definedName>
    <definedName name="LTOAO">[16]MODEL!$501:$501</definedName>
    <definedName name="LTTP">[3]MODEL!$417:$417</definedName>
    <definedName name="mac" localSheetId="8">[6]Model!#REF!</definedName>
    <definedName name="mac" localSheetId="10">[6]Model!#REF!</definedName>
    <definedName name="mac" localSheetId="11">[6]Model!#REF!</definedName>
    <definedName name="mac">[6]Model!#REF!</definedName>
    <definedName name="Magic_Number" localSheetId="10">[3]MODEL!#REF!</definedName>
    <definedName name="Magic_Number" localSheetId="11">[3]MODEL!#REF!</definedName>
    <definedName name="Magic_Number">[3]MODEL!#REF!</definedName>
    <definedName name="Market_capitalization" localSheetId="10">[23]Sheet1!#REF!</definedName>
    <definedName name="Market_capitalization" localSheetId="11">[23]Sheet1!#REF!</definedName>
    <definedName name="Market_capitalization">[23]Sheet1!#REF!</definedName>
    <definedName name="MARKETCAP" localSheetId="8">#REF!</definedName>
    <definedName name="MARKETCAP" localSheetId="10">#REF!</definedName>
    <definedName name="MARKETCAP" localSheetId="11">#REF!</definedName>
    <definedName name="MARKETCAP">#REF!</definedName>
    <definedName name="MARKETFLOAT" localSheetId="10">#REF!</definedName>
    <definedName name="MARKETFLOAT" localSheetId="11">#REF!</definedName>
    <definedName name="MARKETFLOAT">#REF!</definedName>
    <definedName name="MaxPrice">'[10]NA Tech Conference'!$C$183</definedName>
    <definedName name="me">"Button 5"</definedName>
    <definedName name="Meikle">'[38]Meikle-Rodeo'!$A$1</definedName>
    <definedName name="Mercur">[7]Model!#REF!</definedName>
    <definedName name="Microsoft_FY_June" localSheetId="8">#REF!</definedName>
    <definedName name="Microsoft_FY_June" localSheetId="10">#REF!</definedName>
    <definedName name="Microsoft_FY_June" localSheetId="11">#REF!</definedName>
    <definedName name="Microsoft_FY_June">#REF!</definedName>
    <definedName name="MILLION">[5]MODEL!$483:$483</definedName>
    <definedName name="Mine1">[31]Michelin!$A$29</definedName>
    <definedName name="MineYr">[31]Michelin!$Q$45:$BM$45</definedName>
    <definedName name="Minorities.Y2001D">'[12]Income Stmt'!$GY$30</definedName>
    <definedName name="Minorities.Y2002D">'[12]Income Stmt'!$GZ$30</definedName>
    <definedName name="MinorityInterest" localSheetId="8">#REF!</definedName>
    <definedName name="MinorityInterest" localSheetId="10">#REF!</definedName>
    <definedName name="MinorityInterest" localSheetId="11">#REF!</definedName>
    <definedName name="MinorityInterest">#REF!</definedName>
    <definedName name="MinPrice">'[10]NA Tech Conference'!$C$185</definedName>
    <definedName name="MKTO_ADJ_EPS">[43]MODEL!$58:$58</definedName>
    <definedName name="MKTO_ADJ_GA">[43]MODEL!$37:$37</definedName>
    <definedName name="MKTO_ADJ_GA_PC">[43]MODEL!$267:$267</definedName>
    <definedName name="MKTO_ADJ_GM_PC">[43]MODEL!$262:$262</definedName>
    <definedName name="MKTO_ADJ_OM">[43]MODEL!$47:$47</definedName>
    <definedName name="MKTO_ADJ_OM_PC">[43]MODEL!$277:$277</definedName>
    <definedName name="MKTO_ADJ_OTHERINC">[43]MODEL!$48:$48</definedName>
    <definedName name="MKTO_ADJ_RD">[43]MODEL!$36:$36</definedName>
    <definedName name="MKTO_ADJ_RD_PC">[43]MODEL!$266:$266</definedName>
    <definedName name="MKTO_ADJ_SM">[43]MODEL!$35:$35</definedName>
    <definedName name="MKTO_ADJ_SM_PC">[43]MODEL!$265:$265</definedName>
    <definedName name="MKTO_ADJ_TAXES">[43]MODEL!$55:$55</definedName>
    <definedName name="MKTO_ADJ_TAXRATE">[43]MODEL!$287:$287</definedName>
    <definedName name="MKTO_BOOKINGS">[43]MODEL!$191:$191</definedName>
    <definedName name="MKTO_CAPEX">[43]MODEL!$162:$162</definedName>
    <definedName name="MKTO_CFO">[43]MODEL!$193:$193</definedName>
    <definedName name="MKTO_CFO_PS">[43]MODEL!$194:$194</definedName>
    <definedName name="MKTO_DEF_REV">[43]MODEL!$190:$190</definedName>
    <definedName name="MKTO_DIL_SHA">[43]MODEL!$60:$60</definedName>
    <definedName name="MKTO_DSO">[43]MODEL!$184:$184</definedName>
    <definedName name="MKTO_FCF">[43]MODEL!$163:$163</definedName>
    <definedName name="MKTO_FCF_PS">[43]MODEL!$164:$164</definedName>
    <definedName name="MKTO_QTR">[43]MODEL!$9:$9</definedName>
    <definedName name="MKTO_REV">[43]MODEL!$22:$22</definedName>
    <definedName name="MktValueAcquirer" localSheetId="8">#REF!</definedName>
    <definedName name="MktValueAcquirer" localSheetId="10">#REF!</definedName>
    <definedName name="MktValueAcquirer" localSheetId="11">#REF!</definedName>
    <definedName name="MktValueAcquirer">#REF!</definedName>
    <definedName name="MktValueTarget" localSheetId="10">#REF!</definedName>
    <definedName name="MktValueTarget" localSheetId="11">#REF!</definedName>
    <definedName name="MktValueTarget">#REF!</definedName>
    <definedName name="mn" hidden="1">"c315"</definedName>
    <definedName name="Mod1Man2Mer3" localSheetId="8">#REF!</definedName>
    <definedName name="Mod1Man2Mer3" localSheetId="10">#REF!</definedName>
    <definedName name="Mod1Man2Mer3" localSheetId="11">#REF!</definedName>
    <definedName name="Mod1Man2Mer3">#REF!</definedName>
    <definedName name="MonitorCol">1</definedName>
    <definedName name="MonitorRow">1</definedName>
    <definedName name="MonthsInPeriod1" localSheetId="8">[29]Input!#REF!</definedName>
    <definedName name="MonthsInPeriod1" localSheetId="10">[29]Input!#REF!</definedName>
    <definedName name="MonthsInPeriod1" localSheetId="11">[29]Input!#REF!</definedName>
    <definedName name="MonthsInPeriod1">[29]Input!#REF!</definedName>
    <definedName name="MOUs" localSheetId="10">[3]MODEL!#REF!</definedName>
    <definedName name="MOUs" localSheetId="11">[3]MODEL!#REF!</definedName>
    <definedName name="MOUs">[3]MODEL!#REF!</definedName>
    <definedName name="MREV" localSheetId="10">[14]MODEL!#REF!</definedName>
    <definedName name="MREV" localSheetId="11">[14]MODEL!#REF!</definedName>
    <definedName name="MREV">[14]MODEL!#REF!</definedName>
    <definedName name="MRIN_ADJ_EPS">[44]MODEL!$59:$59</definedName>
    <definedName name="MRIN_ADJ_GA">[44]MODEL!$39:$39</definedName>
    <definedName name="MRIN_ADJ_GA_PC">[44]MODEL!$271:$271</definedName>
    <definedName name="MRIN_ADJ_GM_PC">[44]MODEL!$266:$266</definedName>
    <definedName name="MRIN_ADJ_MININT" localSheetId="8">[44]MODEL!#REF!</definedName>
    <definedName name="MRIN_ADJ_MININT" localSheetId="10">[44]MODEL!#REF!</definedName>
    <definedName name="MRIN_ADJ_MININT" localSheetId="11">[44]MODEL!#REF!</definedName>
    <definedName name="MRIN_ADJ_MININT">[44]MODEL!#REF!</definedName>
    <definedName name="MRIN_ADJ_OM">[44]MODEL!$49:$49</definedName>
    <definedName name="MRIN_ADJ_OM_PC">[44]MODEL!$281:$281</definedName>
    <definedName name="MRIN_ADJ_OTHERINC">[44]MODEL!$50:$50</definedName>
    <definedName name="MRIN_ADJ_RD">[44]MODEL!$38:$38</definedName>
    <definedName name="MRIN_ADJ_RD_PC">[44]MODEL!$270:$270</definedName>
    <definedName name="MRIN_ADJ_SM">[44]MODEL!$37:$37</definedName>
    <definedName name="MRIN_ADJ_SM_PC">[44]MODEL!$269:$269</definedName>
    <definedName name="MRIN_ADJ_TAXES">[44]MODEL!$57:$57</definedName>
    <definedName name="MRIN_ADJ_TAXRATE">[44]MODEL!$291:$291</definedName>
    <definedName name="MRIN_BOOKINGS">[44]MODEL!$192:$192</definedName>
    <definedName name="MRIN_CAPEX">[44]MODEL!$163:$163</definedName>
    <definedName name="MRIN_CFO">[44]MODEL!$194:$194</definedName>
    <definedName name="MRIN_CFO_PS">[44]MODEL!$195:$195</definedName>
    <definedName name="MRIN_DEF_REV">[44]MODEL!$191:$191</definedName>
    <definedName name="MRIN_DIL_SHA">[44]MODEL!$61:$61</definedName>
    <definedName name="MRIN_DSO">[44]MODEL!$185:$185</definedName>
    <definedName name="MRIN_FCF">[44]MODEL!$164:$164</definedName>
    <definedName name="MRIN_FCF_PS">[44]MODEL!$165:$165</definedName>
    <definedName name="MRIN_GAAP_MININT" localSheetId="8">[44]MODEL!#REF!</definedName>
    <definedName name="MRIN_GAAP_MININT" localSheetId="10">[44]MODEL!#REF!</definedName>
    <definedName name="MRIN_GAAP_MININT" localSheetId="11">[44]MODEL!#REF!</definedName>
    <definedName name="MRIN_GAAP_MININT">[44]MODEL!#REF!</definedName>
    <definedName name="MRIN_QTR">[44]MODEL!$9:$9</definedName>
    <definedName name="MRIN_REV">[44]MODEL!$24:$24</definedName>
    <definedName name="MRIN_REV_GR">[44]MODEL!$310:$310</definedName>
    <definedName name="Mt.Todd" localSheetId="8" hidden="1">{"p1TOC",#N/A,FALSE,"DCF_Summary";"p23summary",#N/A,FALSE,"DCF_Summary";"p4contact",#N/A,FALSE,"Contact Lake";"p5kumtor",#N/A,FALSE,"Kumtor";#N/A,#N/A,FALSE,"CCAU_NAV";"p8compdata",#N/A,FALSE,"Gold_Comps";#N/A,#N/A,FALSE,"Comp_Valuation"}</definedName>
    <definedName name="Mt.Todd" localSheetId="10" hidden="1">{"p1TOC",#N/A,FALSE,"DCF_Summary";"p23summary",#N/A,FALSE,"DCF_Summary";"p4contact",#N/A,FALSE,"Contact Lake";"p5kumtor",#N/A,FALSE,"Kumtor";#N/A,#N/A,FALSE,"CCAU_NAV";"p8compdata",#N/A,FALSE,"Gold_Comps";#N/A,#N/A,FALSE,"Comp_Valuation"}</definedName>
    <definedName name="Mt.Todd" localSheetId="11" hidden="1">{"p1TOC",#N/A,FALSE,"DCF_Summary";"p23summary",#N/A,FALSE,"DCF_Summary";"p4contact",#N/A,FALSE,"Contact Lake";"p5kumtor",#N/A,FALSE,"Kumtor";#N/A,#N/A,FALSE,"CCAU_NAV";"p8compdata",#N/A,FALSE,"Gold_Comps";#N/A,#N/A,FALSE,"Comp_Valuation"}</definedName>
    <definedName name="Mt.Todd" hidden="1">{"p1TOC",#N/A,FALSE,"DCF_Summary";"p23summary",#N/A,FALSE,"DCF_Summary";"p4contact",#N/A,FALSE,"Contact Lake";"p5kumtor",#N/A,FALSE,"Kumtor";#N/A,#N/A,FALSE,"CCAU_NAV";"p8compdata",#N/A,FALSE,"Gold_Comps";#N/A,#N/A,FALSE,"Comp_Valuation"}</definedName>
    <definedName name="N_A" localSheetId="10">#REF!</definedName>
    <definedName name="N_A" localSheetId="11">#REF!</definedName>
    <definedName name="N_A">#REF!</definedName>
    <definedName name="N_M">#REF!</definedName>
    <definedName name="N601_">#N/A</definedName>
    <definedName name="NAV">[8]Model!#REF!</definedName>
    <definedName name="NAV_0">[4]NAV!#REF!</definedName>
    <definedName name="NAV_5">[4]NAV!#REF!</definedName>
    <definedName name="NAV_radj">[4]NAV!#REF!</definedName>
    <definedName name="NAV_US">[45]Valuation!$E$40</definedName>
    <definedName name="NCAssets" localSheetId="8">#REF!</definedName>
    <definedName name="NCAssets" localSheetId="10">#REF!</definedName>
    <definedName name="NCAssets" localSheetId="11">#REF!</definedName>
    <definedName name="NCAssets">#REF!</definedName>
    <definedName name="NCLiab" localSheetId="10">#REF!</definedName>
    <definedName name="NCLiab" localSheetId="11">#REF!</definedName>
    <definedName name="NCLiab">#REF!</definedName>
    <definedName name="nert" hidden="1">"c88"</definedName>
    <definedName name="NET_INC" localSheetId="8">#REF!</definedName>
    <definedName name="NET_INC" localSheetId="10">#REF!</definedName>
    <definedName name="NET_INC" localSheetId="11">#REF!</definedName>
    <definedName name="NET_INC">#REF!</definedName>
    <definedName name="Net_income_growth_avg" localSheetId="8">[23]Sheet1!#REF!</definedName>
    <definedName name="Net_income_growth_avg" localSheetId="10">[23]Sheet1!#REF!</definedName>
    <definedName name="Net_income_growth_avg" localSheetId="11">[23]Sheet1!#REF!</definedName>
    <definedName name="Net_income_growth_avg">[23]Sheet1!#REF!</definedName>
    <definedName name="Net_margin_fore" localSheetId="10">[23]Sheet1!#REF!</definedName>
    <definedName name="Net_margin_fore" localSheetId="11">[23]Sheet1!#REF!</definedName>
    <definedName name="Net_margin_fore">[23]Sheet1!#REF!</definedName>
    <definedName name="NET_RECIVABLES" localSheetId="10">[3]MODEL!#REF!</definedName>
    <definedName name="NET_RECIVABLES" localSheetId="11">[3]MODEL!#REF!</definedName>
    <definedName name="NET_RECIVABLES">[3]MODEL!#REF!</definedName>
    <definedName name="Net_Revenues" localSheetId="8">#REF!</definedName>
    <definedName name="Net_Revenues" localSheetId="10">#REF!</definedName>
    <definedName name="Net_Revenues" localSheetId="11">#REF!</definedName>
    <definedName name="Net_Revenues">#REF!</definedName>
    <definedName name="Net_sales_DCF">[23]Sheet1!$C$9:$AZ$9</definedName>
    <definedName name="NETCASHCOST" localSheetId="8">#REF!</definedName>
    <definedName name="NETCASHCOST" localSheetId="10">#REF!</definedName>
    <definedName name="NETCASHCOST" localSheetId="11">#REF!</definedName>
    <definedName name="NETCASHCOST">#REF!</definedName>
    <definedName name="NETDEBT" localSheetId="10">#REF!</definedName>
    <definedName name="NETDEBT" localSheetId="11">#REF!</definedName>
    <definedName name="NETDEBT">#REF!</definedName>
    <definedName name="NETDEBTEBITDA" localSheetId="10">#REF!</definedName>
    <definedName name="NETDEBTEBITDA" localSheetId="11">#REF!</definedName>
    <definedName name="NETDEBTEBITDA">#REF!</definedName>
    <definedName name="NetIncome">#REF!</definedName>
    <definedName name="new" hidden="1">"c413"</definedName>
    <definedName name="NEW_CUST">[24]MODEL!$37:$37</definedName>
    <definedName name="NEW_CUSTOMERS" localSheetId="8">[3]MODEL!#REF!</definedName>
    <definedName name="NEW_CUSTOMERS" localSheetId="10">[3]MODEL!#REF!</definedName>
    <definedName name="NEW_CUSTOMERS" localSheetId="11">[3]MODEL!#REF!</definedName>
    <definedName name="NEW_CUSTOMERS">[3]MODEL!#REF!</definedName>
    <definedName name="NEW_PP" localSheetId="10">[3]MODEL!#REF!</definedName>
    <definedName name="NEW_PP" localSheetId="11">[3]MODEL!#REF!</definedName>
    <definedName name="NEW_PP">[3]MODEL!#REF!</definedName>
    <definedName name="Newdevcapex" localSheetId="8">#REF!</definedName>
    <definedName name="Newdevcapex" localSheetId="10">#REF!</definedName>
    <definedName name="Newdevcapex" localSheetId="11">#REF!</definedName>
    <definedName name="Newdevcapex">#REF!</definedName>
    <definedName name="Next_Actual_Period_Range">'[46]Income Statement'!$D$3:$BE$6</definedName>
    <definedName name="next_qtr_eps" localSheetId="8">#REF!</definedName>
    <definedName name="next_qtr_eps" localSheetId="10">#REF!</definedName>
    <definedName name="next_qtr_eps" localSheetId="11">#REF!</definedName>
    <definedName name="next_qtr_eps">#REF!</definedName>
    <definedName name="next_qtr_rev" localSheetId="10">#REF!</definedName>
    <definedName name="next_qtr_rev" localSheetId="11">#REF!</definedName>
    <definedName name="next_qtr_rev">#REF!</definedName>
    <definedName name="ngv" localSheetId="10">[7]Model!#REF!</definedName>
    <definedName name="ngv" localSheetId="11">[7]Model!#REF!</definedName>
    <definedName name="ngv">[7]Model!#REF!</definedName>
    <definedName name="NI_Acquirer" localSheetId="8">#REF!</definedName>
    <definedName name="NI_Acquirer" localSheetId="10">#REF!</definedName>
    <definedName name="NI_Acquirer" localSheetId="11">#REF!</definedName>
    <definedName name="NI_Acquirer">#REF!</definedName>
    <definedName name="NI_Target" localSheetId="10">#REF!</definedName>
    <definedName name="NI_Target" localSheetId="11">#REF!</definedName>
    <definedName name="NI_Target">#REF!</definedName>
    <definedName name="NM_T" localSheetId="10">#REF!</definedName>
    <definedName name="NM_T" localSheetId="11">#REF!</definedName>
    <definedName name="NM_T">#REF!</definedName>
    <definedName name="no" hidden="1">38995.2790740741</definedName>
    <definedName name="NON_INT_CL">[3]MODEL!$462:$462</definedName>
    <definedName name="NON_OP_INC_EXP" localSheetId="8">#REF!</definedName>
    <definedName name="NON_OP_INC_EXP" localSheetId="10">#REF!</definedName>
    <definedName name="NON_OP_INC_EXP" localSheetId="11">#REF!</definedName>
    <definedName name="NON_OP_INC_EXP">#REF!</definedName>
    <definedName name="NOOFYR" localSheetId="10">#REF!</definedName>
    <definedName name="NOOFYR" localSheetId="11">#REF!</definedName>
    <definedName name="NOOFYR">#REF!</definedName>
    <definedName name="NOPAT_DCF">[23]Sheet1!$C$12:$AZ$12</definedName>
    <definedName name="NOPAT_growth_avg" localSheetId="8">[23]Sheet1!#REF!</definedName>
    <definedName name="NOPAT_growth_avg" localSheetId="10">[23]Sheet1!#REF!</definedName>
    <definedName name="NOPAT_growth_avg" localSheetId="11">[23]Sheet1!#REF!</definedName>
    <definedName name="NOPAT_growth_avg">[23]Sheet1!#REF!</definedName>
    <definedName name="NOPAT_Share" localSheetId="10">[23]Sheet1!#REF!</definedName>
    <definedName name="NOPAT_Share" localSheetId="11">[23]Sheet1!#REF!</definedName>
    <definedName name="NOPAT_Share">[23]Sheet1!#REF!</definedName>
    <definedName name="NorthOwnership">'[31]Val Detail'!$F$71</definedName>
    <definedName name="NOTES" localSheetId="8">[3]MODEL!#REF!</definedName>
    <definedName name="NOTES" localSheetId="10">[3]MODEL!#REF!</definedName>
    <definedName name="NOTES" localSheetId="11">[3]MODEL!#REF!</definedName>
    <definedName name="NOTES">[3]MODEL!#REF!</definedName>
    <definedName name="NOTES_LT" localSheetId="10">[3]MODEL!#REF!</definedName>
    <definedName name="NOTES_LT" localSheetId="11">[3]MODEL!#REF!</definedName>
    <definedName name="NOTES_LT">[3]MODEL!#REF!</definedName>
    <definedName name="NOTES_PAY" localSheetId="10">[3]MODEL!#REF!</definedName>
    <definedName name="NOTES_PAY" localSheetId="11">[3]MODEL!#REF!</definedName>
    <definedName name="NOTES_PAY">[3]MODEL!#REF!</definedName>
    <definedName name="NPM">[3]MODEL!$128:$128</definedName>
    <definedName name="npv" localSheetId="8">'[18]NAV Summary'!#REF!</definedName>
    <definedName name="npv" localSheetId="10">'[18]NAV Summary'!#REF!</definedName>
    <definedName name="npv" localSheetId="11">'[18]NAV Summary'!#REF!</definedName>
    <definedName name="npv">'[18]NAV Summary'!#REF!</definedName>
    <definedName name="NPVpershare" localSheetId="8">#REF!</definedName>
    <definedName name="NPVpershare" localSheetId="10">#REF!</definedName>
    <definedName name="NPVpershare" localSheetId="11">#REF!</definedName>
    <definedName name="NPVpershare">#REF!</definedName>
    <definedName name="NS" localSheetId="10">#REF!</definedName>
    <definedName name="NS" localSheetId="11">#REF!</definedName>
    <definedName name="NS">#REF!</definedName>
    <definedName name="NTM" localSheetId="10">[19]Summary!#REF!</definedName>
    <definedName name="NTM" localSheetId="11">[19]Summary!#REF!</definedName>
    <definedName name="NTM">[19]Summary!#REF!</definedName>
    <definedName name="Number_of_Shares" localSheetId="8">#REF!</definedName>
    <definedName name="Number_of_Shares" localSheetId="10">#REF!</definedName>
    <definedName name="Number_of_Shares" localSheetId="11">#REF!</definedName>
    <definedName name="Number_of_Shares">#REF!</definedName>
    <definedName name="nwer" hidden="1">"c65"</definedName>
    <definedName name="Offermatica" localSheetId="8">[3]MODEL!#REF!</definedName>
    <definedName name="Offermatica" localSheetId="10">[3]MODEL!#REF!</definedName>
    <definedName name="Offermatica" localSheetId="11">[3]MODEL!#REF!</definedName>
    <definedName name="Offermatica">[3]MODEL!#REF!</definedName>
    <definedName name="oiu" hidden="1">"c313"</definedName>
    <definedName name="oiul" localSheetId="8">[6]Model!#REF!</definedName>
    <definedName name="oiul" localSheetId="10">[6]Model!#REF!</definedName>
    <definedName name="oiul" localSheetId="11">[6]Model!#REF!</definedName>
    <definedName name="oiul">[6]Model!#REF!</definedName>
    <definedName name="OL_1">[23]Sheet1!$AD:$AD</definedName>
    <definedName name="OL_10">[23]Sheet1!$L:$L</definedName>
    <definedName name="OL_11">[23]Sheet1!$J:$J</definedName>
    <definedName name="OL_12">[23]Sheet1!$H:$H</definedName>
    <definedName name="OL_13">[23]Sheet1!$F:$F</definedName>
    <definedName name="OL_14">[23]Sheet1!$D:$D</definedName>
    <definedName name="OL_2">[23]Sheet1!$AB:$AB</definedName>
    <definedName name="OL_3">[23]Sheet1!$Z:$Z</definedName>
    <definedName name="OL_4">[23]Sheet1!$X:$X</definedName>
    <definedName name="OL_5">[23]Sheet1!$V:$V</definedName>
    <definedName name="OL_6">[23]Sheet1!$T:$T</definedName>
    <definedName name="OL_7">[23]Sheet1!$R:$R</definedName>
    <definedName name="OL_8">[23]Sheet1!$P:$P</definedName>
    <definedName name="OL_9">[23]Sheet1!$N:$N</definedName>
    <definedName name="OL_P">[23]Sheet1!$AF:$AF</definedName>
    <definedName name="ONE_TIME">[47]MODEL!$13:$13</definedName>
    <definedName name="oneyearpricetarget" localSheetId="8">#REF!</definedName>
    <definedName name="oneyearpricetarget" localSheetId="10">#REF!</definedName>
    <definedName name="oneyearpricetarget" localSheetId="11">#REF!</definedName>
    <definedName name="oneyearpricetarget">#REF!</definedName>
    <definedName name="oneyearreturn" localSheetId="10">#REF!</definedName>
    <definedName name="oneyearreturn" localSheetId="11">#REF!</definedName>
    <definedName name="oneyearreturn">#REF!</definedName>
    <definedName name="Op.Costs.Y2001D">'[12]Income Stmt'!$GY$17</definedName>
    <definedName name="Op.Costs.Y2002D">'[12]Income Stmt'!$GZ$17</definedName>
    <definedName name="OPCFBasic" localSheetId="8">#REF!</definedName>
    <definedName name="OPCFBasic" localSheetId="10">#REF!</definedName>
    <definedName name="OPCFBasic" localSheetId="11">#REF!</definedName>
    <definedName name="OPCFBasic">#REF!</definedName>
    <definedName name="OPCFFD" localSheetId="10">#REF!</definedName>
    <definedName name="OPCFFD" localSheetId="11">#REF!</definedName>
    <definedName name="OPCFFD">#REF!</definedName>
    <definedName name="OPCST1998" localSheetId="10">[9]LaRonde!#REF!</definedName>
    <definedName name="OPCST1998" localSheetId="11">[9]LaRonde!#REF!</definedName>
    <definedName name="OPCST1998">[9]LaRonde!#REF!</definedName>
    <definedName name="opdcf0" localSheetId="8">#REF!</definedName>
    <definedName name="opdcf0" localSheetId="10">#REF!</definedName>
    <definedName name="opdcf0" localSheetId="11">#REF!</definedName>
    <definedName name="opdcf0">#REF!</definedName>
    <definedName name="opdcf10" localSheetId="10">#REF!</definedName>
    <definedName name="opdcf10" localSheetId="11">#REF!</definedName>
    <definedName name="opdcf10">#REF!</definedName>
    <definedName name="opdcf5" localSheetId="10">#REF!</definedName>
    <definedName name="opdcf5" localSheetId="11">#REF!</definedName>
    <definedName name="opdcf5">#REF!</definedName>
    <definedName name="Operatingexp">#REF!</definedName>
    <definedName name="OperatingInc">#REF!</definedName>
    <definedName name="operatingNPV">#REF!</definedName>
    <definedName name="Operations">[3]MODEL!#REF!</definedName>
    <definedName name="OPPortion">[31]Michelin!$E$64</definedName>
    <definedName name="OpStrip">[31]Michelin!$E$65</definedName>
    <definedName name="Oracle" localSheetId="8">#REF!</definedName>
    <definedName name="Oracle" localSheetId="10">#REF!</definedName>
    <definedName name="Oracle" localSheetId="11">#REF!</definedName>
    <definedName name="Oracle">#REF!</definedName>
    <definedName name="OREV">[37]MODEL!$8:$8</definedName>
    <definedName name="OTHER" localSheetId="8">#REF!</definedName>
    <definedName name="OTHER" localSheetId="10">#REF!</definedName>
    <definedName name="OTHER" localSheetId="11">#REF!</definedName>
    <definedName name="OTHER">#REF!</definedName>
    <definedName name="Other.Y2001D">'[12]Income Stmt'!$GY$21</definedName>
    <definedName name="Other.Y2002D">'[12]Income Stmt'!$GZ$21</definedName>
    <definedName name="OTHER_ACC_LIB" localSheetId="8">[14]MODEL!#REF!</definedName>
    <definedName name="OTHER_ACC_LIB" localSheetId="10">[14]MODEL!#REF!</definedName>
    <definedName name="OTHER_ACC_LIB" localSheetId="11">[14]MODEL!#REF!</definedName>
    <definedName name="OTHER_ACC_LIB">[14]MODEL!#REF!</definedName>
    <definedName name="OTHER_ASSETS">[3]MODEL!$403:$403</definedName>
    <definedName name="Other_dividends" localSheetId="8">[23]Sheet1!#REF!</definedName>
    <definedName name="Other_dividends" localSheetId="10">[23]Sheet1!#REF!</definedName>
    <definedName name="Other_dividends" localSheetId="11">[23]Sheet1!#REF!</definedName>
    <definedName name="Other_dividends">[23]Sheet1!#REF!</definedName>
    <definedName name="OTHER_EXPENSES">[37]MODEL!$20:$20</definedName>
    <definedName name="Other_income">[14]MODEL!$22:$22</definedName>
    <definedName name="Other_Liabilities">[11]MODEL!$468:$468</definedName>
    <definedName name="OTHER_LT">[3]MODEL!$418:$418</definedName>
    <definedName name="OTHER_LT_LIABILITIES" localSheetId="8">[3]MODEL!#REF!</definedName>
    <definedName name="OTHER_LT_LIABILITIES" localSheetId="10">[3]MODEL!#REF!</definedName>
    <definedName name="OTHER_LT_LIABILITIES" localSheetId="11">[3]MODEL!#REF!</definedName>
    <definedName name="OTHER_LT_LIABILITIES">[3]MODEL!#REF!</definedName>
    <definedName name="OTHER_NCL" localSheetId="10">[14]MODEL!#REF!</definedName>
    <definedName name="OTHER_NCL" localSheetId="11">[14]MODEL!#REF!</definedName>
    <definedName name="OTHER_NCL">[14]MODEL!#REF!</definedName>
    <definedName name="Other_Segment_Revenues" localSheetId="10">[23]Sheet1!#REF!</definedName>
    <definedName name="Other_Segment_Revenues" localSheetId="11">[23]Sheet1!#REF!</definedName>
    <definedName name="Other_Segment_Revenues">[23]Sheet1!#REF!</definedName>
    <definedName name="OtherCost" localSheetId="8">#REF!</definedName>
    <definedName name="OtherCost" localSheetId="10">#REF!</definedName>
    <definedName name="OtherCost" localSheetId="11">#REF!</definedName>
    <definedName name="OtherCost">#REF!</definedName>
    <definedName name="OtherLTDebt" localSheetId="8">[8]Model!#REF!</definedName>
    <definedName name="OtherLTDebt" localSheetId="10">[8]Model!#REF!</definedName>
    <definedName name="OtherLTDebt" localSheetId="11">[8]Model!#REF!</definedName>
    <definedName name="OtherLTDebt">[8]Model!#REF!</definedName>
    <definedName name="othermetalrev" localSheetId="8">#REF!</definedName>
    <definedName name="othermetalrev" localSheetId="10">#REF!</definedName>
    <definedName name="othermetalrev" localSheetId="11">#REF!</definedName>
    <definedName name="othermetalrev">#REF!</definedName>
    <definedName name="Others" localSheetId="10">#REF!</definedName>
    <definedName name="Others" localSheetId="11">#REF!</definedName>
    <definedName name="Others">#REF!</definedName>
    <definedName name="Output" localSheetId="10">#REF!</definedName>
    <definedName name="Output" localSheetId="11">#REF!</definedName>
    <definedName name="Output">#REF!</definedName>
    <definedName name="P_CFx" localSheetId="10">[7]Model!#REF!</definedName>
    <definedName name="P_CFx" localSheetId="11">[7]Model!#REF!</definedName>
    <definedName name="P_CFx">[7]Model!#REF!</definedName>
    <definedName name="P_EPSx" localSheetId="10">[7]Model!#REF!</definedName>
    <definedName name="P_EPSx" localSheetId="11">[7]Model!#REF!</definedName>
    <definedName name="P_EPSx">[7]Model!#REF!</definedName>
    <definedName name="PALLADIUM">[48]Input!$5:$5</definedName>
    <definedName name="PANW_ADJ_EPS" localSheetId="8">[14]MODEL!#REF!</definedName>
    <definedName name="PANW_ADJ_EPS" localSheetId="10">[14]MODEL!#REF!</definedName>
    <definedName name="PANW_ADJ_EPS" localSheetId="11">[14]MODEL!#REF!</definedName>
    <definedName name="PANW_ADJ_EPS">[14]MODEL!#REF!</definedName>
    <definedName name="PANW_QTR" localSheetId="10">[14]MODEL!#REF!</definedName>
    <definedName name="PANW_QTR" localSheetId="11">[14]MODEL!#REF!</definedName>
    <definedName name="PANW_QTR">[14]MODEL!#REF!</definedName>
    <definedName name="PANW_REV" localSheetId="10">[14]MODEL!#REF!</definedName>
    <definedName name="PANW_REV" localSheetId="11">[14]MODEL!#REF!</definedName>
    <definedName name="PANW_REV">[14]MODEL!#REF!</definedName>
    <definedName name="PBV" localSheetId="8">#REF!</definedName>
    <definedName name="PBV" localSheetId="10">#REF!</definedName>
    <definedName name="PBV" localSheetId="11">#REF!</definedName>
    <definedName name="PBV">#REF!</definedName>
    <definedName name="PCF" localSheetId="10">#REF!</definedName>
    <definedName name="PCF" localSheetId="11">#REF!</definedName>
    <definedName name="PCF">#REF!</definedName>
    <definedName name="Peering_partner_compensation" localSheetId="10">[3]MODEL!#REF!</definedName>
    <definedName name="Peering_partner_compensation" localSheetId="11">[3]MODEL!#REF!</definedName>
    <definedName name="Peering_partner_compensation">[3]MODEL!#REF!</definedName>
    <definedName name="Peoplesoft__Inc." localSheetId="10">[39]BAANF!#REF!</definedName>
    <definedName name="Peoplesoft__Inc." localSheetId="11">[39]BAANF!#REF!</definedName>
    <definedName name="Peoplesoft__Inc.">[39]BAANF!#REF!</definedName>
    <definedName name="PERatio" localSheetId="8">#REF!</definedName>
    <definedName name="PERatio" localSheetId="10">#REF!</definedName>
    <definedName name="PERatio" localSheetId="11">#REF!</definedName>
    <definedName name="PERatio">#REF!</definedName>
    <definedName name="percent_change" localSheetId="10">#REF!</definedName>
    <definedName name="percent_change" localSheetId="11">#REF!</definedName>
    <definedName name="percent_change">#REF!</definedName>
    <definedName name="PERCENT90_91" localSheetId="10">#REF!</definedName>
    <definedName name="PERCENT90_91" localSheetId="11">#REF!</definedName>
    <definedName name="PERCENT90_91">#REF!</definedName>
    <definedName name="percentage_cut_off">[44]MODEL!$C$3</definedName>
    <definedName name="percentprodhedged" localSheetId="8">#REF!</definedName>
    <definedName name="percentprodhedged" localSheetId="10">#REF!</definedName>
    <definedName name="percentprodhedged" localSheetId="11">#REF!</definedName>
    <definedName name="percentprodhedged">#REF!</definedName>
    <definedName name="percentreservehedged" localSheetId="10">#REF!</definedName>
    <definedName name="percentreservehedged" localSheetId="11">#REF!</definedName>
    <definedName name="percentreservehedged">#REF!</definedName>
    <definedName name="PERCENTSPREADVSSHARE" localSheetId="10">#REF!</definedName>
    <definedName name="PERCENTSPREADVSSHARE" localSheetId="11">#REF!</definedName>
    <definedName name="PERCENTSPREADVSSHARE">#REF!</definedName>
    <definedName name="PFCF">#REF!</definedName>
    <definedName name="PfdCap">#REF!</definedName>
    <definedName name="PfdDividends">#REF!</definedName>
    <definedName name="PFPT_ADJ_EPS">[14]MODEL!$27:$27</definedName>
    <definedName name="PFPT_ADJ_GA">[14]MODEL!$18:$18</definedName>
    <definedName name="PFPT_ADJ_GA_PC">[14]MODEL!$132:$132</definedName>
    <definedName name="PFPT_ADJ_GM_PC">[14]MODEL!$129:$129</definedName>
    <definedName name="PFPT_ADJ_OM">[14]MODEL!$21:$21</definedName>
    <definedName name="PFPT_ADJ_OM_PC">[14]MODEL!$135:$135</definedName>
    <definedName name="PFPT_ADJ_OTHERINC">[14]MODEL!$23:$23</definedName>
    <definedName name="PFPT_ADJ_RD">[14]MODEL!$16:$16</definedName>
    <definedName name="PFPT_ADJ_RD_PC">[14]MODEL!$130:$130</definedName>
    <definedName name="PFPT_ADJ_SM">[14]MODEL!$17:$17</definedName>
    <definedName name="PFPT_ADJ_SM_PC">[14]MODEL!$131:$131</definedName>
    <definedName name="PFPT_ADJ_TAXES">[14]MODEL!$25:$25</definedName>
    <definedName name="PFpT_ADJ_TAXRATE">[14]MODEL!$138:$138</definedName>
    <definedName name="PFPT_BOOKINGS">[14]MODEL!$103:$103</definedName>
    <definedName name="PFPT_CAPEX">[14]MODEL!$559:$559</definedName>
    <definedName name="PFPT_CFO">[14]MODEL!$105:$105</definedName>
    <definedName name="PFPT_CFO_PS">[14]MODEL!$106:$106</definedName>
    <definedName name="PFPT_DEF_REV">[14]MODEL!$102:$102</definedName>
    <definedName name="PFPT_DIL_SHA">[14]MODEL!$28:$28</definedName>
    <definedName name="PFPT_DSO">[14]MODEL!$96:$96</definedName>
    <definedName name="PFPT_FCF">[14]MODEL!$108:$108</definedName>
    <definedName name="PFPT_FCF_PS">[14]MODEL!$109:$109</definedName>
    <definedName name="PFPT_QTR">[14]MODEL!$2:$2</definedName>
    <definedName name="PFPT_REV">[14]MODEL!$8:$8</definedName>
    <definedName name="PICACHO" localSheetId="8">#REF!</definedName>
    <definedName name="PICACHO" localSheetId="10">#REF!</definedName>
    <definedName name="PICACHO" localSheetId="11">#REF!</definedName>
    <definedName name="PICACHO">#REF!</definedName>
    <definedName name="PLATINUM">[48]Input!$4:$4</definedName>
    <definedName name="po" hidden="1">"c182"</definedName>
    <definedName name="poir" hidden="1">"c322"</definedName>
    <definedName name="PowerSoft" localSheetId="8">#REF!</definedName>
    <definedName name="PowerSoft" localSheetId="10">#REF!</definedName>
    <definedName name="PowerSoft" localSheetId="11">#REF!</definedName>
    <definedName name="PowerSoft">#REF!</definedName>
    <definedName name="pp" localSheetId="8">[8]Model!#REF!</definedName>
    <definedName name="pp" localSheetId="10">[8]Model!#REF!</definedName>
    <definedName name="pp" localSheetId="11">[8]Model!#REF!</definedName>
    <definedName name="pp">[8]Model!#REF!</definedName>
    <definedName name="ppp" localSheetId="10">[8]Model!#REF!</definedName>
    <definedName name="ppp" localSheetId="11">[8]Model!#REF!</definedName>
    <definedName name="ppp">[8]Model!#REF!</definedName>
    <definedName name="ppprecoverable" localSheetId="10">[8]Model!#REF!</definedName>
    <definedName name="ppprecoverable" localSheetId="11">[8]Model!#REF!</definedName>
    <definedName name="ppprecoverable">[8]Model!#REF!</definedName>
    <definedName name="ppprecres" localSheetId="10">[8]Model!#REF!</definedName>
    <definedName name="ppprecres" localSheetId="11">[8]Model!#REF!</definedName>
    <definedName name="ppprecres">[8]Model!#REF!</definedName>
    <definedName name="pppres" localSheetId="10">[8]Model!#REF!</definedName>
    <definedName name="pppres" localSheetId="11">[8]Model!#REF!</definedName>
    <definedName name="pppres">[8]Model!#REF!</definedName>
    <definedName name="pprecreser">[8]Model!#REF!</definedName>
    <definedName name="ppres">'[18]NAV Summary'!#REF!</definedName>
    <definedName name="ppt">[49]Assumptions!$D$4</definedName>
    <definedName name="PREPAID_EXP" localSheetId="8">[3]MODEL!#REF!</definedName>
    <definedName name="PREPAID_EXP" localSheetId="10">[3]MODEL!#REF!</definedName>
    <definedName name="PREPAID_EXP" localSheetId="11">[3]MODEL!#REF!</definedName>
    <definedName name="PREPAID_EXP">[3]MODEL!#REF!</definedName>
    <definedName name="Prepaid_expenses_and_other_current_assets">[11]MODEL!$573:$573</definedName>
    <definedName name="Present_Value_Oper_lease">[23]Sheet1!$C$62:$AW$62</definedName>
    <definedName name="PRETAX_INC" localSheetId="8">#REF!</definedName>
    <definedName name="PRETAX_INC" localSheetId="10">#REF!</definedName>
    <definedName name="PRETAX_INC" localSheetId="11">#REF!</definedName>
    <definedName name="PRETAX_INC">#REF!</definedName>
    <definedName name="Previous_Forecast" localSheetId="10">#REF!</definedName>
    <definedName name="Previous_Forecast" localSheetId="11">#REF!</definedName>
    <definedName name="Previous_Forecast">#REF!</definedName>
    <definedName name="price">#N/A</definedName>
    <definedName name="Price_Achieved.Y2000D">'[12]Gold production'!$GX$108</definedName>
    <definedName name="Price_Achieved.Y2001D">'[12]Gold production'!$GY$108</definedName>
    <definedName name="Price_Target" localSheetId="8">[19]Summary!#REF!</definedName>
    <definedName name="Price_Target" localSheetId="10">[19]Summary!#REF!</definedName>
    <definedName name="Price_Target" localSheetId="11">[19]Summary!#REF!</definedName>
    <definedName name="Price_Target">[19]Summary!#REF!</definedName>
    <definedName name="Price1" localSheetId="8">#REF!</definedName>
    <definedName name="Price1" localSheetId="10">#REF!</definedName>
    <definedName name="Price1" localSheetId="11">#REF!</definedName>
    <definedName name="Price1">#REF!</definedName>
    <definedName name="Price2" localSheetId="10">#REF!</definedName>
    <definedName name="Price2" localSheetId="11">#REF!</definedName>
    <definedName name="Price2">#REF!</definedName>
    <definedName name="PriceAcquirer" localSheetId="10">#REF!</definedName>
    <definedName name="PriceAcquirer" localSheetId="11">#REF!</definedName>
    <definedName name="PriceAcquirer">#REF!</definedName>
    <definedName name="PRICEDCF">#REF!</definedName>
    <definedName name="PriceTarget">#REF!</definedName>
    <definedName name="PriceTarget2">#REF!</definedName>
    <definedName name="Print___Publishing">[37]MODEL!$278:$278</definedName>
    <definedName name="_xlnm.Print_Area" localSheetId="8">#REF!</definedName>
    <definedName name="_xlnm.Print_Area" localSheetId="4">BS!$B$4:$BB$42</definedName>
    <definedName name="_xlnm.Print_Area" localSheetId="5">CF!$B$4:$BB$73</definedName>
    <definedName name="_xlnm.Print_Area" localSheetId="1">Comparison!$B$2:$O$37</definedName>
    <definedName name="_xlnm.Print_Area" localSheetId="2">'G CHG'!$C$5:$J$12</definedName>
    <definedName name="_xlnm.Print_Area" localSheetId="3">IS!$B$4:$BV$87</definedName>
    <definedName name="_xlnm.Print_Area" localSheetId="13">'M&amp;A'!$B$2:$G$11</definedName>
    <definedName name="_xlnm.Print_Area" localSheetId="10">#REF!</definedName>
    <definedName name="_xlnm.Print_Area" localSheetId="11">#REF!</definedName>
    <definedName name="_xlnm.Print_Area">#REF!</definedName>
    <definedName name="Print_Area_MI" localSheetId="10">#REF!</definedName>
    <definedName name="Print_Area_MI" localSheetId="11">#REF!</definedName>
    <definedName name="Print_Area_MI">#REF!</definedName>
    <definedName name="_xlnm.Print_Titles">'[26]Main Model'!$A:$A</definedName>
    <definedName name="printmodel" localSheetId="8">#REF!</definedName>
    <definedName name="printmodel" localSheetId="10">#REF!</definedName>
    <definedName name="printmodel" localSheetId="11">#REF!</definedName>
    <definedName name="printmodel">#REF!</definedName>
    <definedName name="Prior_Q" localSheetId="10">#REF!</definedName>
    <definedName name="Prior_Q" localSheetId="11">#REF!</definedName>
    <definedName name="Prior_Q">#REF!</definedName>
    <definedName name="PriorToValPeriod" localSheetId="8">[29]Storage!#REF!</definedName>
    <definedName name="PriorToValPeriod" localSheetId="10">[29]Storage!#REF!</definedName>
    <definedName name="PriorToValPeriod" localSheetId="11">[29]Storage!#REF!</definedName>
    <definedName name="PriorToValPeriod">[29]Storage!#REF!</definedName>
    <definedName name="Pro_forma_net_loss_attributable_to_Imperva_shareholders" localSheetId="10">[14]MODEL!#REF!</definedName>
    <definedName name="Pro_forma_net_loss_attributable_to_Imperva_shareholders" localSheetId="11">[14]MODEL!#REF!</definedName>
    <definedName name="Pro_forma_net_loss_attributable_to_Imperva_shareholders">[14]MODEL!#REF!</definedName>
    <definedName name="prod00" localSheetId="10">[8]Model!#REF!</definedName>
    <definedName name="prod00" localSheetId="11">[8]Model!#REF!</definedName>
    <definedName name="prod00">[8]Model!#REF!</definedName>
    <definedName name="prod01">[38]Model!$Q$139</definedName>
    <definedName name="prod02">[38]Model!$R$139</definedName>
    <definedName name="PROD1">[37]MODEL!$424:$424</definedName>
    <definedName name="PROD1A">[37]MODEL!$425:$425</definedName>
    <definedName name="PROD1B">[37]MODEL!$426:$426</definedName>
    <definedName name="PROD2">[37]MODEL!$427:$427</definedName>
    <definedName name="PROD2A">[37]MODEL!$428:$428</definedName>
    <definedName name="PROD2B">[37]MODEL!$429:$429</definedName>
    <definedName name="PROD3">[37]MODEL!$430:$430</definedName>
    <definedName name="PROD4">[37]MODEL!$431:$431</definedName>
    <definedName name="PROD4A">[37]MODEL!$432:$432</definedName>
    <definedName name="PROD4B">[37]MODEL!$436:$436</definedName>
    <definedName name="PROD5">[37]MODEL!$437:$437</definedName>
    <definedName name="prod93" localSheetId="8">[7]Model!#REF!</definedName>
    <definedName name="prod93" localSheetId="10">[7]Model!#REF!</definedName>
    <definedName name="prod93" localSheetId="11">[7]Model!#REF!</definedName>
    <definedName name="prod93">[7]Model!#REF!</definedName>
    <definedName name="prod94" localSheetId="10">[7]Model!#REF!</definedName>
    <definedName name="prod94" localSheetId="11">[7]Model!#REF!</definedName>
    <definedName name="prod94">[7]Model!#REF!</definedName>
    <definedName name="prod95" localSheetId="10">[7]Model!#REF!</definedName>
    <definedName name="prod95" localSheetId="11">[7]Model!#REF!</definedName>
    <definedName name="prod95">[7]Model!#REF!</definedName>
    <definedName name="prod96" localSheetId="10">[8]Model!#REF!</definedName>
    <definedName name="prod96" localSheetId="11">[8]Model!#REF!</definedName>
    <definedName name="prod96">[8]Model!#REF!</definedName>
    <definedName name="prod97" localSheetId="10">[8]Model!#REF!</definedName>
    <definedName name="prod97" localSheetId="11">[8]Model!#REF!</definedName>
    <definedName name="prod97">[8]Model!#REF!</definedName>
    <definedName name="prod98">[8]Model!#REF!</definedName>
    <definedName name="prod99">[8]Model!#REF!</definedName>
    <definedName name="PRODN" localSheetId="8">#REF!</definedName>
    <definedName name="PRODN" localSheetId="10">#REF!</definedName>
    <definedName name="PRODN" localSheetId="11">#REF!</definedName>
    <definedName name="PRODN">#REF!</definedName>
    <definedName name="prodn1998" localSheetId="8">[7]Model!#REF!</definedName>
    <definedName name="prodn1998" localSheetId="10">[7]Model!#REF!</definedName>
    <definedName name="prodn1998" localSheetId="11">[7]Model!#REF!</definedName>
    <definedName name="prodn1998">[7]Model!#REF!</definedName>
    <definedName name="Product_Revenue_Model" localSheetId="8">#REF!</definedName>
    <definedName name="Product_Revenue_Model" localSheetId="10">#REF!</definedName>
    <definedName name="Product_Revenue_Model" localSheetId="11">#REF!</definedName>
    <definedName name="Product_Revenue_Model">#REF!</definedName>
    <definedName name="Production" localSheetId="10">#REF!</definedName>
    <definedName name="Production" localSheetId="11">#REF!</definedName>
    <definedName name="Production">#REF!</definedName>
    <definedName name="Production_2000" localSheetId="10">#REF!</definedName>
    <definedName name="Production_2000" localSheetId="11">#REF!</definedName>
    <definedName name="Production_2000">#REF!</definedName>
    <definedName name="ProImportExport.ImportFile" localSheetId="8">'BM Upload'!ProImportExport.ImportFile</definedName>
    <definedName name="ProImportExport.ImportFile" localSheetId="10">V!ProImportExport.ImportFile</definedName>
    <definedName name="ProImportExport.ImportFile" localSheetId="11">'V Sensitivity'!ProImportExport.ImportFile</definedName>
    <definedName name="ProImportExport.ImportFile">[0]!ProImportExport.ImportFile</definedName>
    <definedName name="ProImportExport.SaveNewFile" localSheetId="8">'BM Upload'!ProImportExport.SaveNewFile</definedName>
    <definedName name="ProImportExport.SaveNewFile" localSheetId="10">V!ProImportExport.SaveNewFile</definedName>
    <definedName name="ProImportExport.SaveNewFile" localSheetId="11">'V Sensitivity'!ProImportExport.SaveNewFile</definedName>
    <definedName name="ProImportExport.SaveNewFile">[0]!ProImportExport.SaveNewFile</definedName>
    <definedName name="ProjectData">[33]Project.Data!$4:$76</definedName>
    <definedName name="ProjectionsTest" localSheetId="8">[29]Storage!#REF!</definedName>
    <definedName name="ProjectionsTest" localSheetId="10">[29]Storage!#REF!</definedName>
    <definedName name="ProjectionsTest" localSheetId="11">[29]Storage!#REF!</definedName>
    <definedName name="ProjectionsTest">[29]Storage!#REF!</definedName>
    <definedName name="Provisions_for__reduction">[11]MODEL!$566:$566</definedName>
    <definedName name="Purchased_software">[3]MODEL!$779:$779</definedName>
    <definedName name="pvpq">[17]other!$G$7</definedName>
    <definedName name="Q">[50]MODEL!$3:$3</definedName>
    <definedName name="Q_92" localSheetId="8">#REF!</definedName>
    <definedName name="Q_92" localSheetId="10">#REF!</definedName>
    <definedName name="Q_92" localSheetId="11">#REF!</definedName>
    <definedName name="Q_92">#REF!</definedName>
    <definedName name="Q_93" localSheetId="10">#REF!</definedName>
    <definedName name="Q_93" localSheetId="11">#REF!</definedName>
    <definedName name="Q_93">#REF!</definedName>
    <definedName name="Q_94" localSheetId="10">#REF!</definedName>
    <definedName name="Q_94" localSheetId="11">#REF!</definedName>
    <definedName name="Q_94">#REF!</definedName>
    <definedName name="Q_95">#REF!</definedName>
    <definedName name="Q_96">#REF!</definedName>
    <definedName name="Q1_87">[51]CAQPL!#REF!</definedName>
    <definedName name="Q1_88">[51]CAQPL!#REF!</definedName>
    <definedName name="Q1_89" localSheetId="8">#REF!</definedName>
    <definedName name="Q1_89" localSheetId="10">#REF!</definedName>
    <definedName name="Q1_89" localSheetId="11">#REF!</definedName>
    <definedName name="Q1_89">#REF!</definedName>
    <definedName name="Q1_90" localSheetId="10">#REF!</definedName>
    <definedName name="Q1_90" localSheetId="11">#REF!</definedName>
    <definedName name="Q1_90">#REF!</definedName>
    <definedName name="Q1_91" localSheetId="10">#REF!</definedName>
    <definedName name="Q1_91" localSheetId="11">#REF!</definedName>
    <definedName name="Q1_91">#REF!</definedName>
    <definedName name="Q1_92">#REF!</definedName>
    <definedName name="Q1_93">#REF!</definedName>
    <definedName name="Q1_94">#REF!</definedName>
    <definedName name="Q1_95">#N/A</definedName>
    <definedName name="Q1_96">#N/A</definedName>
    <definedName name="q1_98" localSheetId="8">#REF!</definedName>
    <definedName name="q1_98" localSheetId="10">#REF!</definedName>
    <definedName name="q1_98" localSheetId="11">#REF!</definedName>
    <definedName name="q1_98">#REF!</definedName>
    <definedName name="q1_99">'[26]Main Model'!$BI$48</definedName>
    <definedName name="q100_rev" localSheetId="8">#REF!</definedName>
    <definedName name="q100_rev" localSheetId="10">#REF!</definedName>
    <definedName name="q100_rev" localSheetId="11">#REF!</definedName>
    <definedName name="q100_rev">#REF!</definedName>
    <definedName name="q197_rev" localSheetId="10">#REF!</definedName>
    <definedName name="q197_rev" localSheetId="11">#REF!</definedName>
    <definedName name="q197_rev">#REF!</definedName>
    <definedName name="q198_rev" localSheetId="10">#REF!</definedName>
    <definedName name="q198_rev" localSheetId="11">#REF!</definedName>
    <definedName name="q198_rev">#REF!</definedName>
    <definedName name="q199_rev">#REF!</definedName>
    <definedName name="Q2_02">[48]Input!$AF:$AF</definedName>
    <definedName name="Q2_87" localSheetId="8">[51]CAQPL!#REF!</definedName>
    <definedName name="Q2_87" localSheetId="10">[51]CAQPL!#REF!</definedName>
    <definedName name="Q2_87" localSheetId="11">[51]CAQPL!#REF!</definedName>
    <definedName name="Q2_87">[51]CAQPL!#REF!</definedName>
    <definedName name="Q2_88" localSheetId="10">[51]CAQPL!#REF!</definedName>
    <definedName name="Q2_88" localSheetId="11">[51]CAQPL!#REF!</definedName>
    <definedName name="Q2_88">[51]CAQPL!#REF!</definedName>
    <definedName name="Q2_89" localSheetId="8">#REF!</definedName>
    <definedName name="Q2_89" localSheetId="10">#REF!</definedName>
    <definedName name="Q2_89" localSheetId="11">#REF!</definedName>
    <definedName name="Q2_89">#REF!</definedName>
    <definedName name="Q2_90" localSheetId="10">#REF!</definedName>
    <definedName name="Q2_90" localSheetId="11">#REF!</definedName>
    <definedName name="Q2_90">#REF!</definedName>
    <definedName name="Q2_91" localSheetId="10">#REF!</definedName>
    <definedName name="Q2_91" localSheetId="11">#REF!</definedName>
    <definedName name="Q2_91">#REF!</definedName>
    <definedName name="Q2_92">#REF!</definedName>
    <definedName name="Q2_93">#REF!</definedName>
    <definedName name="Q2_94">#REF!</definedName>
    <definedName name="Q2_95">#N/A</definedName>
    <definedName name="Q2_96">#N/A</definedName>
    <definedName name="q2_98" localSheetId="8">#REF!</definedName>
    <definedName name="q2_98" localSheetId="10">#REF!</definedName>
    <definedName name="q2_98" localSheetId="11">#REF!</definedName>
    <definedName name="q2_98">#REF!</definedName>
    <definedName name="q2_99">'[26]Main Model'!$BJ$48</definedName>
    <definedName name="q200_rev" localSheetId="8">#REF!</definedName>
    <definedName name="q200_rev" localSheetId="10">#REF!</definedName>
    <definedName name="q200_rev" localSheetId="11">#REF!</definedName>
    <definedName name="q200_rev">#REF!</definedName>
    <definedName name="q297_rev" localSheetId="10">#REF!</definedName>
    <definedName name="q297_rev" localSheetId="11">#REF!</definedName>
    <definedName name="q297_rev">#REF!</definedName>
    <definedName name="q298_rev" localSheetId="10">#REF!</definedName>
    <definedName name="q298_rev" localSheetId="11">#REF!</definedName>
    <definedName name="q298_rev">#REF!</definedName>
    <definedName name="q299_rev">#REF!</definedName>
    <definedName name="Q2EPS1998">[18]Model!#REF!</definedName>
    <definedName name="Q3_02">[48]Input!$AG:$AG</definedName>
    <definedName name="Q3_87" localSheetId="8">[51]CAQPL!#REF!</definedName>
    <definedName name="Q3_87" localSheetId="10">[51]CAQPL!#REF!</definedName>
    <definedName name="Q3_87" localSheetId="11">[51]CAQPL!#REF!</definedName>
    <definedName name="Q3_87">[51]CAQPL!#REF!</definedName>
    <definedName name="Q3_88" localSheetId="10">[51]CAQPL!#REF!</definedName>
    <definedName name="Q3_88" localSheetId="11">[51]CAQPL!#REF!</definedName>
    <definedName name="Q3_88">[51]CAQPL!#REF!</definedName>
    <definedName name="Q3_89" localSheetId="8">#REF!</definedName>
    <definedName name="Q3_89" localSheetId="10">#REF!</definedName>
    <definedName name="Q3_89" localSheetId="11">#REF!</definedName>
    <definedName name="Q3_89">#REF!</definedName>
    <definedName name="Q3_90" localSheetId="10">#REF!</definedName>
    <definedName name="Q3_90" localSheetId="11">#REF!</definedName>
    <definedName name="Q3_90">#REF!</definedName>
    <definedName name="Q3_91" localSheetId="10">#REF!</definedName>
    <definedName name="Q3_91" localSheetId="11">#REF!</definedName>
    <definedName name="Q3_91">#REF!</definedName>
    <definedName name="Q3_92">#REF!</definedName>
    <definedName name="Q3_93">#REF!</definedName>
    <definedName name="Q3_94">#REF!</definedName>
    <definedName name="Q3_95">#N/A</definedName>
    <definedName name="Q3_96">#N/A</definedName>
    <definedName name="q3_98" localSheetId="8">#REF!</definedName>
    <definedName name="q3_98" localSheetId="10">#REF!</definedName>
    <definedName name="q3_98" localSheetId="11">#REF!</definedName>
    <definedName name="q3_98">#REF!</definedName>
    <definedName name="q3_98.">'[42]QPL (before FC-matching adjs)'!$I$50</definedName>
    <definedName name="q3_99">'[26]Main Model'!$BK$48</definedName>
    <definedName name="q300_rev" localSheetId="8">#REF!</definedName>
    <definedName name="q300_rev" localSheetId="10">#REF!</definedName>
    <definedName name="q300_rev" localSheetId="11">#REF!</definedName>
    <definedName name="q300_rev">#REF!</definedName>
    <definedName name="q397_rev" localSheetId="10">#REF!</definedName>
    <definedName name="q397_rev" localSheetId="11">#REF!</definedName>
    <definedName name="q397_rev">#REF!</definedName>
    <definedName name="q398_rev" localSheetId="10">#REF!</definedName>
    <definedName name="q398_rev" localSheetId="11">#REF!</definedName>
    <definedName name="q398_rev">#REF!</definedName>
    <definedName name="q399_rev">#REF!</definedName>
    <definedName name="Q4_02">[48]Input!$AH:$AH</definedName>
    <definedName name="Q4_87" localSheetId="8">[51]CAQPL!#REF!</definedName>
    <definedName name="Q4_87" localSheetId="10">[51]CAQPL!#REF!</definedName>
    <definedName name="Q4_87" localSheetId="11">[51]CAQPL!#REF!</definedName>
    <definedName name="Q4_87">[51]CAQPL!#REF!</definedName>
    <definedName name="Q4_88" localSheetId="10">[51]CAQPL!#REF!</definedName>
    <definedName name="Q4_88" localSheetId="11">[51]CAQPL!#REF!</definedName>
    <definedName name="Q4_88">[51]CAQPL!#REF!</definedName>
    <definedName name="Q4_89" localSheetId="8">#REF!</definedName>
    <definedName name="Q4_89" localSheetId="10">#REF!</definedName>
    <definedName name="Q4_89" localSheetId="11">#REF!</definedName>
    <definedName name="Q4_89">#REF!</definedName>
    <definedName name="Q4_90" localSheetId="10">#REF!</definedName>
    <definedName name="Q4_90" localSheetId="11">#REF!</definedName>
    <definedName name="Q4_90">#REF!</definedName>
    <definedName name="Q4_91" localSheetId="10">#REF!</definedName>
    <definedName name="Q4_91" localSheetId="11">#REF!</definedName>
    <definedName name="Q4_91">#REF!</definedName>
    <definedName name="Q4_92">#REF!</definedName>
    <definedName name="Q4_93">#REF!</definedName>
    <definedName name="Q4_94">#REF!</definedName>
    <definedName name="Q4_95">#N/A</definedName>
    <definedName name="Q4_96">#N/A</definedName>
    <definedName name="q4_98" localSheetId="8">#REF!</definedName>
    <definedName name="q4_98" localSheetId="10">#REF!</definedName>
    <definedName name="q4_98" localSheetId="11">#REF!</definedName>
    <definedName name="q4_98">#REF!</definedName>
    <definedName name="q4_99">'[26]Main Model'!$BL$48</definedName>
    <definedName name="q400_rev" localSheetId="8">#REF!</definedName>
    <definedName name="q400_rev" localSheetId="10">#REF!</definedName>
    <definedName name="q400_rev" localSheetId="11">#REF!</definedName>
    <definedName name="q400_rev">#REF!</definedName>
    <definedName name="q497_rev" localSheetId="10">#REF!</definedName>
    <definedName name="q497_rev" localSheetId="11">#REF!</definedName>
    <definedName name="q497_rev">#REF!</definedName>
    <definedName name="q498_rev" localSheetId="10">#REF!</definedName>
    <definedName name="q498_rev" localSheetId="11">#REF!</definedName>
    <definedName name="q498_rev">#REF!</definedName>
    <definedName name="q499_rev">#REF!</definedName>
    <definedName name="qes" localSheetId="8" hidden="1">{"p1TOC",#N/A,FALSE,"DCF_Summary";"p23summary",#N/A,FALSE,"DCF_Summary";"p4contact",#N/A,FALSE,"Contact Lake";"p5kumtor",#N/A,FALSE,"Kumtor";#N/A,#N/A,FALSE,"CCAU_NAV";"p8compdata",#N/A,FALSE,"Gold_Comps";#N/A,#N/A,FALSE,"Comp_Valuation"}</definedName>
    <definedName name="qes" localSheetId="10" hidden="1">{"p1TOC",#N/A,FALSE,"DCF_Summary";"p23summary",#N/A,FALSE,"DCF_Summary";"p4contact",#N/A,FALSE,"Contact Lake";"p5kumtor",#N/A,FALSE,"Kumtor";#N/A,#N/A,FALSE,"CCAU_NAV";"p8compdata",#N/A,FALSE,"Gold_Comps";#N/A,#N/A,FALSE,"Comp_Valuation"}</definedName>
    <definedName name="qes" localSheetId="11" hidden="1">{"p1TOC",#N/A,FALSE,"DCF_Summary";"p23summary",#N/A,FALSE,"DCF_Summary";"p4contact",#N/A,FALSE,"Contact Lake";"p5kumtor",#N/A,FALSE,"Kumtor";#N/A,#N/A,FALSE,"CCAU_NAV";"p8compdata",#N/A,FALSE,"Gold_Comps";#N/A,#N/A,FALSE,"Comp_Valuation"}</definedName>
    <definedName name="qes" hidden="1">{"p1TOC",#N/A,FALSE,"DCF_Summary";"p23summary",#N/A,FALSE,"DCF_Summary";"p4contact",#N/A,FALSE,"Contact Lake";"p5kumtor",#N/A,FALSE,"Kumtor";#N/A,#N/A,FALSE,"CCAU_NAV";"p8compdata",#N/A,FALSE,"Gold_Comps";#N/A,#N/A,FALSE,"Comp_Valuation"}</definedName>
    <definedName name="qpl" localSheetId="8">#REF!</definedName>
    <definedName name="qpl" localSheetId="10">#REF!</definedName>
    <definedName name="qpl" localSheetId="11">#REF!</definedName>
    <definedName name="qpl">#REF!</definedName>
    <definedName name="qpl_pg1" localSheetId="10">#REF!</definedName>
    <definedName name="qpl_pg1" localSheetId="11">#REF!</definedName>
    <definedName name="qpl_pg1">#REF!</definedName>
    <definedName name="qpl_pg2" localSheetId="10">#REF!</definedName>
    <definedName name="qpl_pg2" localSheetId="11">#REF!</definedName>
    <definedName name="qpl_pg2">#REF!</definedName>
    <definedName name="QTR_CHG">#REF!</definedName>
    <definedName name="QTRA">[7]Model!#REF!</definedName>
    <definedName name="QTRB">[7]Model!#REF!</definedName>
    <definedName name="quarter_change">[51]CAQPL!#REF!</definedName>
    <definedName name="QUARTERLY_1989">[19]Summary!#REF!</definedName>
    <definedName name="QUARTERLY_1991">[19]Summary!#REF!</definedName>
    <definedName name="QUARTERLY_1992">[19]Summary!#REF!</definedName>
    <definedName name="QUARTERLY_1993">[19]Summary!#REF!</definedName>
    <definedName name="QUARTERLY_1994">[19]Summary!#REF!</definedName>
    <definedName name="QUARTERLY_1995">[19]Summary!#REF!</definedName>
    <definedName name="QUARTERLY_1996">[19]Summary!#REF!</definedName>
    <definedName name="QUARTERLY_1997">'[19]IncomeStatement-save'!#REF!</definedName>
    <definedName name="QUARTERLY_BALANCE_SHEETS">[19]Summary!#REF!</definedName>
    <definedName name="QUARTERLY_INCOME">[19]Summary!#REF!</definedName>
    <definedName name="Quarterly_Transactions">[3]MODEL!#REF!</definedName>
    <definedName name="qw" hidden="1">"c115"</definedName>
    <definedName name="RANDA" localSheetId="8">#REF!</definedName>
    <definedName name="RANDA" localSheetId="10">#REF!</definedName>
    <definedName name="RANDA" localSheetId="11">#REF!</definedName>
    <definedName name="RANDA">#REF!</definedName>
    <definedName name="RANDB" localSheetId="10">#REF!</definedName>
    <definedName name="RANDB" localSheetId="11">#REF!</definedName>
    <definedName name="RANDB">#REF!</definedName>
    <definedName name="rating" localSheetId="8">[19]Summary!#REF!</definedName>
    <definedName name="rating" localSheetId="10">[19]Summary!#REF!</definedName>
    <definedName name="rating" localSheetId="11">[19]Summary!#REF!</definedName>
    <definedName name="rating">[19]Summary!#REF!</definedName>
    <definedName name="Ratio_Analysis" localSheetId="8">#REF!</definedName>
    <definedName name="Ratio_Analysis" localSheetId="10">#REF!</definedName>
    <definedName name="Ratio_Analysis" localSheetId="11">#REF!</definedName>
    <definedName name="Ratio_Analysis">#REF!</definedName>
    <definedName name="Ratios" localSheetId="10">#REF!</definedName>
    <definedName name="Ratios" localSheetId="11">#REF!</definedName>
    <definedName name="Ratios">#REF!</definedName>
    <definedName name="re" hidden="1">"c226"</definedName>
    <definedName name="realau_00">[45]Model!$I$9</definedName>
    <definedName name="RealUSDCAD">[31]Michelin!$L$25:$BM$25</definedName>
    <definedName name="_xlnm.Recorder" localSheetId="8">#REF!</definedName>
    <definedName name="_xlnm.Recorder" localSheetId="10">#REF!</definedName>
    <definedName name="_xlnm.Recorder" localSheetId="11">#REF!</definedName>
    <definedName name="_xlnm.Recorder">#REF!</definedName>
    <definedName name="Recoverable_Reserves__Moz" localSheetId="8">[7]Model!#REF!</definedName>
    <definedName name="Recoverable_Reserves__Moz" localSheetId="10">[7]Model!#REF!</definedName>
    <definedName name="Recoverable_Reserves__Moz" localSheetId="11">[7]Model!#REF!</definedName>
    <definedName name="Recoverable_Reserves__Moz">[7]Model!#REF!</definedName>
    <definedName name="reportingcurrency" localSheetId="8">#REF!</definedName>
    <definedName name="reportingcurrency" localSheetId="10">#REF!</definedName>
    <definedName name="reportingcurrency" localSheetId="11">#REF!</definedName>
    <definedName name="reportingcurrency">#REF!</definedName>
    <definedName name="reqw" hidden="1">"c274"</definedName>
    <definedName name="RES_CASH_CA" localSheetId="8">[14]MODEL!#REF!</definedName>
    <definedName name="RES_CASH_CA" localSheetId="10">[14]MODEL!#REF!</definedName>
    <definedName name="RES_CASH_CA" localSheetId="11">[14]MODEL!#REF!</definedName>
    <definedName name="RES_CASH_CA">[14]MODEL!#REF!</definedName>
    <definedName name="reserves" localSheetId="8">#REF!</definedName>
    <definedName name="reserves" localSheetId="10">#REF!</definedName>
    <definedName name="reserves" localSheetId="11">#REF!</definedName>
    <definedName name="reserves">#REF!</definedName>
    <definedName name="residual_growth_rates">[52]inputs!$C$4</definedName>
    <definedName name="resources" localSheetId="8">#REF!</definedName>
    <definedName name="resources" localSheetId="10">#REF!</definedName>
    <definedName name="resources" localSheetId="11">#REF!</definedName>
    <definedName name="resources">#REF!</definedName>
    <definedName name="RESTRICTED_CASH">[3]MODEL!$398:$398</definedName>
    <definedName name="Restructuring_charges" localSheetId="8">[23]Sheet1!#REF!</definedName>
    <definedName name="Restructuring_charges" localSheetId="10">[23]Sheet1!#REF!</definedName>
    <definedName name="Restructuring_charges" localSheetId="11">[23]Sheet1!#REF!</definedName>
    <definedName name="Restructuring_charges">[23]Sheet1!#REF!</definedName>
    <definedName name="RetE" localSheetId="8">#REF!</definedName>
    <definedName name="RetE" localSheetId="10">#REF!</definedName>
    <definedName name="RetE" localSheetId="11">#REF!</definedName>
    <definedName name="RetE">#REF!</definedName>
    <definedName name="RETURNONSALES" localSheetId="10">#REF!</definedName>
    <definedName name="RETURNONSALES" localSheetId="11">#REF!</definedName>
    <definedName name="RETURNONSALES">#REF!</definedName>
    <definedName name="REV">[14]MODEL!$8:$8</definedName>
    <definedName name="REV_A" localSheetId="8">#REF!</definedName>
    <definedName name="REV_A" localSheetId="10">#REF!</definedName>
    <definedName name="REV_A" localSheetId="11">#REF!</definedName>
    <definedName name="REV_A">#REF!</definedName>
    <definedName name="REV_AV">[5]MODEL!$268:$268</definedName>
    <definedName name="REV_B" localSheetId="8">#REF!</definedName>
    <definedName name="REV_B" localSheetId="10">#REF!</definedName>
    <definedName name="REV_B" localSheetId="11">#REF!</definedName>
    <definedName name="REV_B">#REF!</definedName>
    <definedName name="REV_BREAKOUT" localSheetId="10">#REF!</definedName>
    <definedName name="REV_BREAKOUT" localSheetId="11">#REF!</definedName>
    <definedName name="REV_BREAKOUT">#REF!</definedName>
    <definedName name="REV_BRK_OUT" localSheetId="10">#REF!</definedName>
    <definedName name="REV_BRK_OUT" localSheetId="11">#REF!</definedName>
    <definedName name="REV_BRK_OUT">#REF!</definedName>
    <definedName name="REV_CREDIT" localSheetId="10">[3]MODEL!#REF!</definedName>
    <definedName name="REV_CREDIT" localSheetId="11">[3]MODEL!#REF!</definedName>
    <definedName name="REV_CREDIT">[3]MODEL!#REF!</definedName>
    <definedName name="REV_EMERGING_PRODUCTS">[32]MODEL!$67:$67</definedName>
    <definedName name="REV_ENT_AV">[5]MODEL!$270:$270</definedName>
    <definedName name="REV_ENTERPRISE_SECURITY">[5]MODEL!$169:$169</definedName>
    <definedName name="REV_GATEWAY">[32]MODEL!$68:$68</definedName>
    <definedName name="rev_q1" localSheetId="8">[19]Summary!#REF!</definedName>
    <definedName name="rev_q1" localSheetId="10">[19]Summary!#REF!</definedName>
    <definedName name="rev_q1" localSheetId="11">[19]Summary!#REF!</definedName>
    <definedName name="rev_q1">[19]Summary!#REF!</definedName>
    <definedName name="rev_q2" localSheetId="10">'[19]IncomeStatement-save'!#REF!</definedName>
    <definedName name="rev_q2" localSheetId="11">'[19]IncomeStatement-save'!#REF!</definedName>
    <definedName name="rev_q2">'[19]IncomeStatement-save'!#REF!</definedName>
    <definedName name="rev_q3" localSheetId="10">'[19]IncomeStatement-save'!#REF!</definedName>
    <definedName name="rev_q3" localSheetId="11">'[19]IncomeStatement-save'!#REF!</definedName>
    <definedName name="rev_q3">'[19]IncomeStatement-save'!#REF!</definedName>
    <definedName name="rev_q4" localSheetId="10">'[19]IncomeStatement-save'!#REF!</definedName>
    <definedName name="rev_q4" localSheetId="11">'[19]IncomeStatement-save'!#REF!</definedName>
    <definedName name="rev_q4">'[19]IncomeStatement-save'!#REF!</definedName>
    <definedName name="REV_SECURITY">[5]MODEL!$262:$262</definedName>
    <definedName name="REV_TTM">[15]MODEL!$83:$83</definedName>
    <definedName name="REV_YY">[14]MODEL!$146:$146</definedName>
    <definedName name="Revelation_Technologies" localSheetId="8">#REF!</definedName>
    <definedName name="Revelation_Technologies" localSheetId="10">#REF!</definedName>
    <definedName name="Revelation_Technologies" localSheetId="11">#REF!</definedName>
    <definedName name="Revelation_Technologies">#REF!</definedName>
    <definedName name="Revenue.Y2001D">'[12]Income Stmt'!$GY$15</definedName>
    <definedName name="Revenue.Y2002D">'[12]Income Stmt'!$GZ$15</definedName>
    <definedName name="Revenue_Input">'[10]SENSITIVITY ANALYSIS'!$E$57</definedName>
    <definedName name="Revenue_Toggle">'[10]SENSITIVITY ANALYSIS'!$I$55</definedName>
    <definedName name="right_border" localSheetId="8">#REF!</definedName>
    <definedName name="right_border" localSheetId="10">#REF!</definedName>
    <definedName name="right_border" localSheetId="11">#REF!</definedName>
    <definedName name="right_border">#REF!</definedName>
    <definedName name="ROA" localSheetId="10">#REF!</definedName>
    <definedName name="ROA" localSheetId="11">#REF!</definedName>
    <definedName name="ROA">#REF!</definedName>
    <definedName name="ROE">[53]MODEL!$315:$315</definedName>
    <definedName name="RORIC__3_yr_rolling" localSheetId="8">[23]Sheet1!#REF!</definedName>
    <definedName name="RORIC__3_yr_rolling" localSheetId="10">[23]Sheet1!#REF!</definedName>
    <definedName name="RORIC__3_yr_rolling" localSheetId="11">[23]Sheet1!#REF!</definedName>
    <definedName name="RORIC__3_yr_rolling">[23]Sheet1!#REF!</definedName>
    <definedName name="RPPACS">[16]MODEL!$509:$509</definedName>
    <definedName name="rty" hidden="1">"c118"</definedName>
    <definedName name="S" localSheetId="8">#REF!</definedName>
    <definedName name="S" localSheetId="10">#REF!</definedName>
    <definedName name="S" localSheetId="11">#REF!</definedName>
    <definedName name="S">#REF!</definedName>
    <definedName name="SALESMEMO" localSheetId="10">#REF!</definedName>
    <definedName name="SALESMEMO" localSheetId="11">#REF!</definedName>
    <definedName name="SALESMEMO">#REF!</definedName>
    <definedName name="Same_Q_Last_Yr" localSheetId="10">#REF!</definedName>
    <definedName name="Same_Q_Last_Yr" localSheetId="11">#REF!</definedName>
    <definedName name="Same_Q_Last_Yr">#REF!</definedName>
    <definedName name="SandmanOwner">'[31]Val Detail'!$F$129</definedName>
    <definedName name="SaveNewFile" localSheetId="8">'BM Upload'!SaveNewFile</definedName>
    <definedName name="SaveNewFile" localSheetId="10">V!SaveNewFile</definedName>
    <definedName name="SaveNewFile" localSheetId="11">'V Sensitivity'!SaveNewFile</definedName>
    <definedName name="SaveNewFile">[0]!SaveNewFile</definedName>
    <definedName name="Scale">'[31]Long Canyon'!$E$12</definedName>
    <definedName name="SDC" localSheetId="8">[3]MODEL!#REF!</definedName>
    <definedName name="SDC" localSheetId="10">[3]MODEL!#REF!</definedName>
    <definedName name="SDC" localSheetId="11">[3]MODEL!#REF!</definedName>
    <definedName name="SDC">[3]MODEL!#REF!</definedName>
    <definedName name="sdfh" localSheetId="10">[6]Model!#REF!</definedName>
    <definedName name="sdfh" localSheetId="11">[6]Model!#REF!</definedName>
    <definedName name="sdfh">[6]Model!#REF!</definedName>
    <definedName name="SEATS">[35]MODEL!$284:$284</definedName>
    <definedName name="SEC_DEPOSIT" localSheetId="8">[3]MODEL!#REF!</definedName>
    <definedName name="SEC_DEPOSIT" localSheetId="10">[3]MODEL!#REF!</definedName>
    <definedName name="SEC_DEPOSIT" localSheetId="11">[3]MODEL!#REF!</definedName>
    <definedName name="SEC_DEPOSIT">[3]MODEL!#REF!</definedName>
    <definedName name="SelectedTCK">'[33]10-32.AMCperOZ'!$J$25</definedName>
    <definedName name="Senior_Debt">[16]MODEL!$503:$503</definedName>
    <definedName name="Sensi" localSheetId="8">#REF!</definedName>
    <definedName name="Sensi" localSheetId="10">#REF!</definedName>
    <definedName name="Sensi" localSheetId="11">#REF!</definedName>
    <definedName name="Sensi">#REF!</definedName>
    <definedName name="SensitivityChoice">[54]Assumptions!$C$21</definedName>
    <definedName name="SensitivityLinks">[54]Assumptions!$D$21:$G$21</definedName>
    <definedName name="SensNums">'[22]NAV-Valuation'!$I$33:$N$33</definedName>
    <definedName name="Servers" localSheetId="8">[3]MODEL!#REF!</definedName>
    <definedName name="Servers" localSheetId="10">[3]MODEL!#REF!</definedName>
    <definedName name="Servers" localSheetId="11">[3]MODEL!#REF!</definedName>
    <definedName name="Servers">[3]MODEL!#REF!</definedName>
    <definedName name="sfb" localSheetId="10">[6]Model!#REF!</definedName>
    <definedName name="sfb" localSheetId="11">[6]Model!#REF!</definedName>
    <definedName name="sfb">[6]Model!#REF!</definedName>
    <definedName name="sfbg" localSheetId="10">[6]Model!#REF!</definedName>
    <definedName name="sfbg" localSheetId="11">[6]Model!#REF!</definedName>
    <definedName name="sfbg">[6]Model!#REF!</definedName>
    <definedName name="SGA_growth" localSheetId="10">[23]Sheet1!#REF!</definedName>
    <definedName name="SGA_growth" localSheetId="11">[23]Sheet1!#REF!</definedName>
    <definedName name="SGA_growth">[23]Sheet1!#REF!</definedName>
    <definedName name="SGA_margin_fore">[23]Sheet1!#REF!</definedName>
    <definedName name="Share_Price" localSheetId="8">#REF!</definedName>
    <definedName name="Share_Price" localSheetId="10">#REF!</definedName>
    <definedName name="Share_Price" localSheetId="11">#REF!</definedName>
    <definedName name="Share_Price">#REF!</definedName>
    <definedName name="shareoutstandingFD" localSheetId="10">#REF!</definedName>
    <definedName name="shareoutstandingFD" localSheetId="11">#REF!</definedName>
    <definedName name="shareoutstandingFD">#REF!</definedName>
    <definedName name="shareprice" localSheetId="10">#REF!</definedName>
    <definedName name="shareprice" localSheetId="11">#REF!</definedName>
    <definedName name="shareprice">#REF!</definedName>
    <definedName name="sharepriceus">#REF!</definedName>
    <definedName name="SHARES">[14]MODEL!$28:$28</definedName>
    <definedName name="shares.Y1999D">'[12]Income Stmt'!$GW$50</definedName>
    <definedName name="shares.Y2000D">'[12]Income Stmt'!$GX$50</definedName>
    <definedName name="shares.Y2001D">'[12]Income Stmt'!$GY$50</definedName>
    <definedName name="shares.Y2002D">'[12]Income Stmt'!$GZ$50</definedName>
    <definedName name="Shares_DCF">[23]Sheet1!$C$37:$AZ$37</definedName>
    <definedName name="Shares_repurchase_liability" localSheetId="8">[23]Sheet1!#REF!</definedName>
    <definedName name="Shares_repurchase_liability" localSheetId="10">[23]Sheet1!#REF!</definedName>
    <definedName name="Shares_repurchase_liability" localSheetId="11">[23]Sheet1!#REF!</definedName>
    <definedName name="Shares_repurchase_liability">[23]Sheet1!#REF!</definedName>
    <definedName name="SharesAcquirer" localSheetId="8">#REF!</definedName>
    <definedName name="SharesAcquirer" localSheetId="10">#REF!</definedName>
    <definedName name="SharesAcquirer" localSheetId="11">#REF!</definedName>
    <definedName name="SharesAcquirer">#REF!</definedName>
    <definedName name="SharesBoughtBack" localSheetId="10">#REF!</definedName>
    <definedName name="SharesBoughtBack" localSheetId="11">#REF!</definedName>
    <definedName name="SharesBoughtBack">#REF!</definedName>
    <definedName name="sharesoutstandingFD" localSheetId="10">#REF!</definedName>
    <definedName name="sharesoutstandingFD" localSheetId="11">#REF!</definedName>
    <definedName name="sharesoutstandingFD">#REF!</definedName>
    <definedName name="SharesTarget">#REF!</definedName>
    <definedName name="SHIT">#REF!</definedName>
    <definedName name="shortTick">'[33]10-32.AMCperOZ'!$L$51</definedName>
    <definedName name="shrs_outst_00" localSheetId="8">[8]Model!#REF!</definedName>
    <definedName name="shrs_outst_00" localSheetId="10">[8]Model!#REF!</definedName>
    <definedName name="shrs_outst_00" localSheetId="11">[8]Model!#REF!</definedName>
    <definedName name="shrs_outst_00">[8]Model!#REF!</definedName>
    <definedName name="shrs_outst_97" localSheetId="10">[8]Model!#REF!</definedName>
    <definedName name="shrs_outst_97" localSheetId="11">[8]Model!#REF!</definedName>
    <definedName name="shrs_outst_97">[8]Model!#REF!</definedName>
    <definedName name="shrs_outst_98" localSheetId="10">[8]Model!#REF!</definedName>
    <definedName name="shrs_outst_98" localSheetId="11">[8]Model!#REF!</definedName>
    <definedName name="shrs_outst_98">[8]Model!#REF!</definedName>
    <definedName name="shrs_outst_99" localSheetId="10">[8]Model!#REF!</definedName>
    <definedName name="shrs_outst_99" localSheetId="11">[8]Model!#REF!</definedName>
    <definedName name="shrs_outst_99">[8]Model!#REF!</definedName>
    <definedName name="SilvEqPr">'[31]Val Detail'!$F$6</definedName>
    <definedName name="SOFTWARE" localSheetId="8">[3]MODEL!#REF!</definedName>
    <definedName name="SOFTWARE" localSheetId="10">[3]MODEL!#REF!</definedName>
    <definedName name="SOFTWARE" localSheetId="11">[3]MODEL!#REF!</definedName>
    <definedName name="SOFTWARE">[3]MODEL!#REF!</definedName>
    <definedName name="SOLEDAD" localSheetId="8">#REF!</definedName>
    <definedName name="SOLEDAD" localSheetId="10">#REF!</definedName>
    <definedName name="SOLEDAD" localSheetId="11">#REF!</definedName>
    <definedName name="SOLEDAD">#REF!</definedName>
    <definedName name="SOLEDADA" localSheetId="10">#REF!</definedName>
    <definedName name="SOLEDADA" localSheetId="11">#REF!</definedName>
    <definedName name="SOLEDADA">#REF!</definedName>
    <definedName name="SOLEDADB" localSheetId="10">#REF!</definedName>
    <definedName name="SOLEDADB" localSheetId="11">#REF!</definedName>
    <definedName name="SOLEDADB">#REF!</definedName>
    <definedName name="SOS_FIU">[21]Output!$Q$19</definedName>
    <definedName name="source" localSheetId="8">#REF!</definedName>
    <definedName name="source">#REF!</definedName>
    <definedName name="SP" localSheetId="10">#REF!</definedName>
    <definedName name="SP" localSheetId="11">#REF!</definedName>
    <definedName name="SP">#REF!</definedName>
    <definedName name="sp_axu">[49]Output!$Q$13</definedName>
    <definedName name="SP_FRG">[31]Output!$Q$13</definedName>
    <definedName name="SREV">[14]MODEL!$7:$7</definedName>
    <definedName name="SREV_MREV">[55]MODEL!$91:$91</definedName>
    <definedName name="SREV1" localSheetId="8">[14]MODEL!#REF!</definedName>
    <definedName name="SREV1" localSheetId="10">[14]MODEL!#REF!</definedName>
    <definedName name="SREV1" localSheetId="11">[14]MODEL!#REF!</definedName>
    <definedName name="SREV1">[14]MODEL!#REF!</definedName>
    <definedName name="SREV2" localSheetId="10">[14]MODEL!#REF!</definedName>
    <definedName name="SREV2" localSheetId="11">[14]MODEL!#REF!</definedName>
    <definedName name="SREV2">[14]MODEL!#REF!</definedName>
    <definedName name="ST_EPS">[50]MODEL!$45:$45</definedName>
    <definedName name="ST_INVESTMENTS" localSheetId="8">[3]MODEL!#REF!</definedName>
    <definedName name="ST_INVESTMENTS" localSheetId="10">[3]MODEL!#REF!</definedName>
    <definedName name="ST_INVESTMENTS" localSheetId="11">[3]MODEL!#REF!</definedName>
    <definedName name="ST_INVESTMENTS">[3]MODEL!#REF!</definedName>
    <definedName name="ST_REV">[50]MODEL!$44:$44</definedName>
    <definedName name="StartYr">[31]Michelin!$E$43</definedName>
    <definedName name="stats" localSheetId="8">#REF!</definedName>
    <definedName name="stats" localSheetId="10">#REF!</definedName>
    <definedName name="stats" localSheetId="11">#REF!</definedName>
    <definedName name="stats">#REF!</definedName>
    <definedName name="Stock_price">[23]Sheet1!$B$9</definedName>
    <definedName name="str">[17]other!$G$8</definedName>
    <definedName name="STREET_EPS_DELTA">[37]MODEL!$59:$59</definedName>
    <definedName name="STREET_EPS_SUR">[3]MODEL!$94:$94</definedName>
    <definedName name="STREET_REV_DELTA">[37]MODEL!$55:$55</definedName>
    <definedName name="STREET_REV_SUR">[3]MODEL!$87:$87</definedName>
    <definedName name="Subscription" localSheetId="8">[14]MODEL!#REF!</definedName>
    <definedName name="Subscription" localSheetId="10">[14]MODEL!#REF!</definedName>
    <definedName name="Subscription" localSheetId="11">[14]MODEL!#REF!</definedName>
    <definedName name="Subscription">[14]MODEL!#REF!</definedName>
    <definedName name="SUM" localSheetId="10">[1]TSFW!#REF!</definedName>
    <definedName name="SUM" localSheetId="11">[1]TSFW!#REF!</definedName>
    <definedName name="SUM">[1]TSFW!#REF!</definedName>
    <definedName name="Summary_1">[23]Sheet1!$F:$F</definedName>
    <definedName name="Summary_1991">[23]Sheet1!$C$25:$C$106</definedName>
    <definedName name="Summary_1992">[23]Sheet1!$D$25:$D$106</definedName>
    <definedName name="Summary_1993">[23]Sheet1!$E$25:$E$106</definedName>
    <definedName name="Summary_1994">[23]Sheet1!$F$25:$F$106</definedName>
    <definedName name="Summary_1995">[23]Sheet1!$G$25:$G$106</definedName>
    <definedName name="Summary_2">[23]Sheet1!$E:$E</definedName>
    <definedName name="Summary_3">[23]Sheet1!$D:$D</definedName>
    <definedName name="Summary_4">[23]Sheet1!$C:$C</definedName>
    <definedName name="Summary_P">[23]Sheet1!$G:$G</definedName>
    <definedName name="SUMMRY" localSheetId="8">#REF!</definedName>
    <definedName name="SUMMRY" localSheetId="10">#REF!</definedName>
    <definedName name="SUMMRY" localSheetId="11">#REF!</definedName>
    <definedName name="SUMMRY">#REF!</definedName>
    <definedName name="SUSGROWTHRATE" localSheetId="10">#REF!</definedName>
    <definedName name="SUSGROWTHRATE" localSheetId="11">#REF!</definedName>
    <definedName name="SUSGROWTHRATE">#REF!</definedName>
    <definedName name="sustainingcapex" localSheetId="10">#REF!</definedName>
    <definedName name="sustainingcapex" localSheetId="11">#REF!</definedName>
    <definedName name="sustainingcapex">#REF!</definedName>
    <definedName name="SW_Dev_Costs" localSheetId="8">[3]MODEL!#REF!</definedName>
    <definedName name="SW_Dev_Costs" localSheetId="10">[3]MODEL!#REF!</definedName>
    <definedName name="SW_Dev_Costs" localSheetId="11">[3]MODEL!#REF!</definedName>
    <definedName name="SW_Dev_Costs">[3]MODEL!#REF!</definedName>
    <definedName name="symbol" localSheetId="8">#REF!</definedName>
    <definedName name="symbol" localSheetId="10">#REF!</definedName>
    <definedName name="symbol" localSheetId="11">#REF!</definedName>
    <definedName name="symbol">#REF!</definedName>
    <definedName name="t2p">[49]Assumptions!$D$4</definedName>
    <definedName name="TAB_1" localSheetId="8">[1]TSFW!#REF!</definedName>
    <definedName name="TAB_1" localSheetId="10">[1]TSFW!#REF!</definedName>
    <definedName name="TAB_1" localSheetId="11">[1]TSFW!#REF!</definedName>
    <definedName name="TAB_1">[1]TSFW!#REF!</definedName>
    <definedName name="Table_1_1">[56]MarketData!$A$14:$G$41</definedName>
    <definedName name="Table_1_2">[56]MarketData!$A$43:$G$70</definedName>
    <definedName name="Table_1_3">[56]MarketData!$A$72:$G$87</definedName>
    <definedName name="Table_1_4">[56]MarketData!$A$89:$G$114</definedName>
    <definedName name="Table_1_5">[56]MarketData!$A$116:$G$127</definedName>
    <definedName name="Table_1_6">[56]MarketData!$A$129:$G$142</definedName>
    <definedName name="Table_1_7">[56]MarketData!$A$144:$G$168</definedName>
    <definedName name="Table_2_1">[56]Definitions!$A$11:$F$15</definedName>
    <definedName name="Target1" localSheetId="8">#REF!</definedName>
    <definedName name="Target1" localSheetId="10">#REF!</definedName>
    <definedName name="Target1" localSheetId="11">#REF!</definedName>
    <definedName name="Target1">#REF!</definedName>
    <definedName name="Tau" localSheetId="8">[29]ValuationInput!#REF!</definedName>
    <definedName name="Tau" localSheetId="10">[29]ValuationInput!#REF!</definedName>
    <definedName name="Tau" localSheetId="11">[29]ValuationInput!#REF!</definedName>
    <definedName name="Tau">[29]ValuationInput!#REF!</definedName>
    <definedName name="tax" localSheetId="8">#REF!</definedName>
    <definedName name="tax" localSheetId="10">#REF!</definedName>
    <definedName name="tax" localSheetId="11">#REF!</definedName>
    <definedName name="tax">#REF!</definedName>
    <definedName name="Tax.Y1999D">'[12]Income Stmt'!$GW$27</definedName>
    <definedName name="Tax.Y2001D">'[12]Income Stmt'!$GY$27</definedName>
    <definedName name="Tax.Y2002D">'[12]Income Stmt'!$GZ$27</definedName>
    <definedName name="TAX_BEN_SBC">[3]MODEL!$602:$602</definedName>
    <definedName name="Tax_rate_for_WACC" localSheetId="8">[23]Sheet1!#REF!</definedName>
    <definedName name="Tax_rate_for_WACC" localSheetId="10">[23]Sheet1!#REF!</definedName>
    <definedName name="Tax_rate_for_WACC" localSheetId="11">[23]Sheet1!#REF!</definedName>
    <definedName name="Tax_rate_for_WACC">[23]Sheet1!#REF!</definedName>
    <definedName name="TaxRate_Input">'[10]SENSITIVITY ANALYSIS'!$E$67</definedName>
    <definedName name="TaxRate_Toggle">'[10]SENSITIVITY ANALYSIS'!$I$65</definedName>
    <definedName name="tcost00" localSheetId="8">[8]Model!#REF!</definedName>
    <definedName name="tcost00" localSheetId="10">[8]Model!#REF!</definedName>
    <definedName name="tcost00" localSheetId="11">[8]Model!#REF!</definedName>
    <definedName name="tcost00">[8]Model!#REF!</definedName>
    <definedName name="tcost93" localSheetId="10">[7]Model!#REF!</definedName>
    <definedName name="tcost93" localSheetId="11">[7]Model!#REF!</definedName>
    <definedName name="tcost93">[7]Model!#REF!</definedName>
    <definedName name="tcost94" localSheetId="10">[7]Model!#REF!</definedName>
    <definedName name="tcost94" localSheetId="11">[7]Model!#REF!</definedName>
    <definedName name="tcost94">[7]Model!#REF!</definedName>
    <definedName name="tcost95" localSheetId="10">[7]Model!#REF!</definedName>
    <definedName name="tcost95" localSheetId="11">[7]Model!#REF!</definedName>
    <definedName name="tcost95">[7]Model!#REF!</definedName>
    <definedName name="tcost96">[8]Model!#REF!</definedName>
    <definedName name="tcost97">[8]Model!#REF!</definedName>
    <definedName name="tcost98">[8]Model!#REF!</definedName>
    <definedName name="tcost99">[8]Model!#REF!</definedName>
    <definedName name="TERM_AR">[3]MODEL!#REF!</definedName>
    <definedName name="TERM_LOAN">[3]MODEL!$535:$535</definedName>
    <definedName name="TEST" localSheetId="8">#REF!</definedName>
    <definedName name="TEST" localSheetId="10">#REF!</definedName>
    <definedName name="TEST" localSheetId="11">#REF!</definedName>
    <definedName name="TEST">#REF!</definedName>
    <definedName name="TFCFOn" localSheetId="8">[29]ValuationInput!#REF!</definedName>
    <definedName name="TFCFOn" localSheetId="10">[29]ValuationInput!#REF!</definedName>
    <definedName name="TFCFOn" localSheetId="11">[29]ValuationInput!#REF!</definedName>
    <definedName name="TFCFOn">[29]ValuationInput!#REF!</definedName>
    <definedName name="thou" localSheetId="8">#REF!</definedName>
    <definedName name="thou" localSheetId="10">#REF!</definedName>
    <definedName name="thou" localSheetId="11">#REF!</definedName>
    <definedName name="thou">#REF!</definedName>
    <definedName name="THOUSAND">[5]MODEL!$490:$490</definedName>
    <definedName name="Timestamp" localSheetId="8">#REF!</definedName>
    <definedName name="Timestamp" localSheetId="10">#REF!</definedName>
    <definedName name="Timestamp" localSheetId="11">#REF!</definedName>
    <definedName name="Timestamp">#REF!</definedName>
    <definedName name="Title1" localSheetId="8">'[57]Process List'!#REF!</definedName>
    <definedName name="Title1" localSheetId="10">'[57]Process List'!#REF!</definedName>
    <definedName name="Title1" localSheetId="11">'[57]Process List'!#REF!</definedName>
    <definedName name="Title1">'[57]Process List'!#REF!</definedName>
    <definedName name="TITLEAA" localSheetId="8">[7]Model!#REF!</definedName>
    <definedName name="TITLEAA">[7]Model!#REF!</definedName>
    <definedName name="TITLEAB" localSheetId="10">[7]Model!#REF!</definedName>
    <definedName name="TITLEAB" localSheetId="11">[7]Model!#REF!</definedName>
    <definedName name="TITLEAB">[7]Model!#REF!</definedName>
    <definedName name="TITLEQTRA">[7]Model!#REF!</definedName>
    <definedName name="TITLEQTRB">[7]Model!#REF!</definedName>
    <definedName name="TOKENS">[3]MODEL!#REF!</definedName>
    <definedName name="Tom" localSheetId="8">#REF!</definedName>
    <definedName name="Tom" localSheetId="10">#REF!</definedName>
    <definedName name="Tom" localSheetId="11">#REF!</definedName>
    <definedName name="Tom">#REF!</definedName>
    <definedName name="TOPCST1998" localSheetId="8">[9]LaRonde!#REF!</definedName>
    <definedName name="TOPCST1998" localSheetId="10">[9]LaRonde!#REF!</definedName>
    <definedName name="TOPCST1998" localSheetId="11">[9]LaRonde!#REF!</definedName>
    <definedName name="TOPCST1998">[9]LaRonde!#REF!</definedName>
    <definedName name="TOT_CUST">[24]MODEL!$39:$39</definedName>
    <definedName name="tot_debt">'[26]Main Model'!$V$6</definedName>
    <definedName name="TOT_GATEWAY">[32]MODEL!$254:$254</definedName>
    <definedName name="Total" localSheetId="8">#REF!</definedName>
    <definedName name="Total" localSheetId="10">#REF!</definedName>
    <definedName name="Total" localSheetId="11">#REF!</definedName>
    <definedName name="Total">#REF!</definedName>
    <definedName name="Total_COS_net_DnA_fore" localSheetId="8">[23]Sheet1!#REF!</definedName>
    <definedName name="Total_COS_net_DnA_fore" localSheetId="10">[23]Sheet1!#REF!</definedName>
    <definedName name="Total_COS_net_DnA_fore" localSheetId="11">[23]Sheet1!#REF!</definedName>
    <definedName name="Total_COS_net_DnA_fore">[23]Sheet1!#REF!</definedName>
    <definedName name="Total_Cost_of_Sales">[3]MODEL!$12:$12</definedName>
    <definedName name="Total_Customers">[3]MODEL!$203:$203</definedName>
    <definedName name="Total_Gross_Profit">[3]MODEL!$16:$16</definedName>
    <definedName name="TOTAL_PP" localSheetId="8">[3]MODEL!#REF!</definedName>
    <definedName name="TOTAL_PP" localSheetId="10">[3]MODEL!#REF!</definedName>
    <definedName name="TOTAL_PP" localSheetId="11">[3]MODEL!#REF!</definedName>
    <definedName name="TOTAL_PP">[3]MODEL!#REF!</definedName>
    <definedName name="Total_Shareholders__Equity">[11]MODEL!$482:$482</definedName>
    <definedName name="totalFootNotes" localSheetId="8">#REF!</definedName>
    <definedName name="totalFootNotes" localSheetId="10">#REF!</definedName>
    <definedName name="totalFootNotes" localSheetId="11">#REF!</definedName>
    <definedName name="totalFootNotes">#REF!</definedName>
    <definedName name="TOTALVALEBITDA" localSheetId="10">#REF!</definedName>
    <definedName name="TOTALVALEBITDA" localSheetId="11">#REF!</definedName>
    <definedName name="TOTALVALEBITDA">#REF!</definedName>
    <definedName name="TOTALVALUE" localSheetId="10">#REF!</definedName>
    <definedName name="TOTALVALUE" localSheetId="11">#REF!</definedName>
    <definedName name="TOTALVALUE">#REF!</definedName>
    <definedName name="totdebt">#REF!</definedName>
    <definedName name="totounceshedged">#REF!</definedName>
    <definedName name="TSEE">[16]MODEL!$514:$514</definedName>
    <definedName name="TTM_PE_AVG">[32]MULTIPLES!$S$2052</definedName>
    <definedName name="TTM_PE_CURRENT">[32]MULTIPLES!$S$2046</definedName>
    <definedName name="TTM_PE_HIGH">[32]MULTIPLES!$S$2050</definedName>
    <definedName name="TTM_PE_LOW">[32]MULTIPLES!$S$2051</definedName>
    <definedName name="TTM_PE_MODE">[32]MULTIPLES!$S$2055</definedName>
    <definedName name="TTM_PS_AVG">[32]MULTIPLES!$U$2052</definedName>
    <definedName name="TTM_PS_CURRENT">[32]MULTIPLES!$U$2046</definedName>
    <definedName name="TTM_PS_HIGH">[32]MULTIPLES!$U$2050</definedName>
    <definedName name="TTM_PS_LOW">[32]MULTIPLES!$U$2051</definedName>
    <definedName name="TTM_PS_MODE">[32]MULTIPLES!$U$2055</definedName>
    <definedName name="tyu" hidden="1">"c124"</definedName>
    <definedName name="udfkmt" localSheetId="8">[6]Model!#REF!</definedName>
    <definedName name="udfkmt" localSheetId="10">[6]Model!#REF!</definedName>
    <definedName name="udfkmt" localSheetId="11">[6]Model!#REF!</definedName>
    <definedName name="udfkmt">[6]Model!#REF!</definedName>
    <definedName name="uigl" localSheetId="10" hidden="1">[6]DS_Industry_Specif!#REF!</definedName>
    <definedName name="uigl" localSheetId="11" hidden="1">[6]DS_Industry_Specif!#REF!</definedName>
    <definedName name="uigl" hidden="1">[6]DS_Industry_Specif!#REF!</definedName>
    <definedName name="uky" localSheetId="10" hidden="1">[6]DS_Industry_Specif!#REF!</definedName>
    <definedName name="uky" localSheetId="11" hidden="1">[6]DS_Industry_Specif!#REF!</definedName>
    <definedName name="uky" hidden="1">[6]DS_Industry_Specif!#REF!</definedName>
    <definedName name="UNBILLED_AR">[3]MODEL!$510:$510</definedName>
    <definedName name="Uniface" localSheetId="8">#REF!</definedName>
    <definedName name="Uniface" localSheetId="10">#REF!</definedName>
    <definedName name="Uniface" localSheetId="11">#REF!</definedName>
    <definedName name="Uniface">#REF!</definedName>
    <definedName name="Unify" localSheetId="10">#REF!</definedName>
    <definedName name="Unify" localSheetId="11">#REF!</definedName>
    <definedName name="Unify">#REF!</definedName>
    <definedName name="UniqueRange_0" localSheetId="10">#REF!</definedName>
    <definedName name="UniqueRange_0" localSheetId="11">#REF!</definedName>
    <definedName name="UniqueRange_0">#REF!</definedName>
    <definedName name="UniqueRange_1">#REF!</definedName>
    <definedName name="UniqueRange_10">#REF!</definedName>
    <definedName name="UniqueRange_11">#REF!</definedName>
    <definedName name="UniqueRange_12">#REF!</definedName>
    <definedName name="UniqueRange_153">#REF!</definedName>
    <definedName name="UniqueRange_154">#REF!</definedName>
    <definedName name="UniqueRange_159">#REF!</definedName>
    <definedName name="UniqueRange_160">#REF!</definedName>
    <definedName name="UniqueRange_165">#REF!</definedName>
    <definedName name="UniqueRange_166">#REF!</definedName>
    <definedName name="UniqueRange_2">#REF!</definedName>
    <definedName name="UniqueRange_5">#REF!</definedName>
    <definedName name="UniqueRange_6">#REF!</definedName>
    <definedName name="UniqueRange_7">#REF!</definedName>
    <definedName name="UniqueRange_8">#REF!</definedName>
    <definedName name="UniqueRange_9">#REF!</definedName>
    <definedName name="upper_left1">#REF!</definedName>
    <definedName name="upper_left2">#REF!</definedName>
    <definedName name="uranium">[31]Michelin!$F$669</definedName>
    <definedName name="uranium_s">[31]Michelin!$F$677</definedName>
    <definedName name="URoy">[31]Michelin!$F$75</definedName>
    <definedName name="US_BANKS" localSheetId="8">[3]MODEL!#REF!</definedName>
    <definedName name="US_BANKS" localSheetId="10">[3]MODEL!#REF!</definedName>
    <definedName name="US_BANKS" localSheetId="11">[3]MODEL!#REF!</definedName>
    <definedName name="US_BANKS">[3]MODEL!#REF!</definedName>
    <definedName name="VALUATION" localSheetId="8">'BM Upload'!VALUATION</definedName>
    <definedName name="VALUATION" localSheetId="10">V!VALUATION</definedName>
    <definedName name="VALUATION" localSheetId="11">'V Sensitivity'!VALUATION</definedName>
    <definedName name="VALUATION">[0]!VALUATION</definedName>
    <definedName name="Value_of_Equity" localSheetId="8">#REF!</definedName>
    <definedName name="Value_of_Equity" localSheetId="10">#REF!</definedName>
    <definedName name="Value_of_Equity" localSheetId="11">#REF!</definedName>
    <definedName name="Value_of_Equity">#REF!</definedName>
    <definedName name="vars" localSheetId="10">#REF!</definedName>
    <definedName name="vars" localSheetId="11">#REF!</definedName>
    <definedName name="vars">#REF!</definedName>
    <definedName name="Version" localSheetId="10">#REF!</definedName>
    <definedName name="Version" localSheetId="11">#REF!</definedName>
    <definedName name="Version">#REF!</definedName>
    <definedName name="VFLastRow">#REF!</definedName>
    <definedName name="VSCN">[3]MODEL!#REF!</definedName>
    <definedName name="WABSO">'[31]EPS Model'!$H$17:$AU$17</definedName>
    <definedName name="WACC">[3]WACC!$C$30</definedName>
    <definedName name="WACC_1">[23]Sheet1!$Q$44</definedName>
    <definedName name="WACC_10">[23]Sheet1!$H$44</definedName>
    <definedName name="WACC_11">[23]Sheet1!$G$44</definedName>
    <definedName name="WACC_12">[23]Sheet1!$F$44</definedName>
    <definedName name="WACC_13">[23]Sheet1!$E$44</definedName>
    <definedName name="WACC_14">[23]Sheet1!$D$44</definedName>
    <definedName name="WACC_2">[23]Sheet1!$P$44</definedName>
    <definedName name="WACC_3">[23]Sheet1!$O$44</definedName>
    <definedName name="WACC_4">[23]Sheet1!$N$44</definedName>
    <definedName name="WACC_5">[23]Sheet1!$M$44</definedName>
    <definedName name="WACC_6">[23]Sheet1!$L$44</definedName>
    <definedName name="WACC_7">[23]Sheet1!$K$44</definedName>
    <definedName name="WACC_8">[23]Sheet1!$J$44</definedName>
    <definedName name="WACC_9">[23]Sheet1!$I$44</definedName>
    <definedName name="WACC_P">[23]Sheet1!$R$44</definedName>
    <definedName name="WACC_P_8" localSheetId="8">[23]Sheet1!#REF!</definedName>
    <definedName name="WACC_P_8" localSheetId="10">[23]Sheet1!#REF!</definedName>
    <definedName name="WACC_P_8" localSheetId="11">[23]Sheet1!#REF!</definedName>
    <definedName name="WACC_P_8">[23]Sheet1!#REF!</definedName>
    <definedName name="WAFDSO">'[31]EPS Model'!$H$18:$AU$18</definedName>
    <definedName name="WBSO">[31]Michelin!$L$266:$BN$266</definedName>
    <definedName name="WFDSO">[31]Michelin!$L$267:$BN$267</definedName>
    <definedName name="WIZARD_3YRATCF" localSheetId="10">#REF!</definedName>
    <definedName name="WIZARD_3YRATCF" localSheetId="11">#REF!</definedName>
    <definedName name="WIZARD_3YRATCF">#REF!</definedName>
    <definedName name="WIZARD_3YREBITDA">#REF!</definedName>
    <definedName name="WIZARD_3YRSECGROWTH">#REF!</definedName>
    <definedName name="WIZARD_AVGTRADINGVOLUME">#REF!</definedName>
    <definedName name="WIZARD_BKVALSHR">#REF!</definedName>
    <definedName name="WIZARD_BURNRATE">#REF!</definedName>
    <definedName name="WIZARD_CASH">#REF!</definedName>
    <definedName name="WIZARD_DIVYIELD">#REF!</definedName>
    <definedName name="WIZARD_EARNINGS">#REF!</definedName>
    <definedName name="WIZARD_EBITDABYSHROO">#REF!</definedName>
    <definedName name="WIZARD_EVBYEBITDAOO">#REF!</definedName>
    <definedName name="WIZARD_EVINVCAP">#REF!</definedName>
    <definedName name="WIZARD_LTDEBT">#REF!</definedName>
    <definedName name="WIZARD_MARKETCAP">#REF!</definedName>
    <definedName name="WIZARD_NETDEBTCAP">#REF!</definedName>
    <definedName name="WIZARD_OPERMARGIN">#REF!</definedName>
    <definedName name="WIZARD_PRICEESTNAV">#REF!</definedName>
    <definedName name="WIZARD_REVENUES">#REF!</definedName>
    <definedName name="WIZARD_ROAA">#REF!</definedName>
    <definedName name="WIZARD_ROAE">#REF!</definedName>
    <definedName name="WIZARD_ROE">#REF!</definedName>
    <definedName name="WIZARD_ROIC">#REF!</definedName>
    <definedName name="WIZARD_SHARESOUT">#REF!</definedName>
    <definedName name="WIZARD_STATIONREV">#REF!</definedName>
    <definedName name="WIZARD_TICKER">#REF!</definedName>
    <definedName name="WIZARD_TOTDEBTCAP">#REF!</definedName>
    <definedName name="WIZARD_Y1CAPREVR" localSheetId="10">[58]AMAT_FC!#REF!</definedName>
    <definedName name="WIZARD_Y1CAPREVR" localSheetId="11">[58]AMAT_FC!#REF!</definedName>
    <definedName name="WIZARD_Y1CAPREVR">[58]AMAT_FC!#REF!</definedName>
    <definedName name="WIZARD_Y1CAPREVS2" localSheetId="10">#REF!</definedName>
    <definedName name="WIZARD_Y1CAPREVS2" localSheetId="11">#REF!</definedName>
    <definedName name="WIZARD_Y1CAPREVS2">#REF!</definedName>
    <definedName name="WIZARD_Y1CASHCYEPSS1">#REF!</definedName>
    <definedName name="WIZARD_Y1CASHCYPES1">#REF!</definedName>
    <definedName name="WIZARD_Y1CYE" localSheetId="10">[58]AMAT_FC!#REF!</definedName>
    <definedName name="WIZARD_Y1CYE" localSheetId="11">[58]AMAT_FC!#REF!</definedName>
    <definedName name="WIZARD_Y1CYE">[58]AMAT_FC!#REF!</definedName>
    <definedName name="WIZARD_Y1CYPEE" localSheetId="10">[58]AMAT_FC!#REF!</definedName>
    <definedName name="WIZARD_Y1CYPEE" localSheetId="11">[58]AMAT_FC!#REF!</definedName>
    <definedName name="WIZARD_Y1CYPEE">[58]AMAT_FC!#REF!</definedName>
    <definedName name="WIZARD_Y1CYPES1" localSheetId="10">#REF!</definedName>
    <definedName name="WIZARD_Y1CYPES1" localSheetId="11">#REF!</definedName>
    <definedName name="WIZARD_Y1CYPES1">#REF!</definedName>
    <definedName name="WIZARD_Y1CYREVS2">#REF!</definedName>
    <definedName name="WIZARD_Y1CYS1">#REF!</definedName>
    <definedName name="WIZARD_Y1E" localSheetId="10">[58]AMAT_FC!#REF!</definedName>
    <definedName name="WIZARD_Y1E" localSheetId="11">[58]AMAT_FC!#REF!</definedName>
    <definedName name="WIZARD_Y1E">[58]AMAT_FC!#REF!</definedName>
    <definedName name="WIZARD_Y1EBITDAYRS2" localSheetId="10">#REF!</definedName>
    <definedName name="WIZARD_Y1EBITDAYRS2" localSheetId="11">#REF!</definedName>
    <definedName name="WIZARD_Y1EBITDAYRS2">#REF!</definedName>
    <definedName name="WIZARD_Y1EMVBYREV">#REF!</definedName>
    <definedName name="WIZARD_Y1EVEBITDAS2">#REF!</definedName>
    <definedName name="WIZARD_Y1PEE" localSheetId="10">[58]AMAT_FC!#REF!</definedName>
    <definedName name="WIZARD_Y1PEE" localSheetId="11">[58]AMAT_FC!#REF!</definedName>
    <definedName name="WIZARD_Y1PEE">[58]AMAT_FC!#REF!</definedName>
    <definedName name="WIZARD_Y1PES1" localSheetId="10">#REF!</definedName>
    <definedName name="WIZARD_Y1PES1" localSheetId="11">#REF!</definedName>
    <definedName name="WIZARD_Y1PES1">#REF!</definedName>
    <definedName name="WIZARD_Y1Q1E" localSheetId="10">[58]AMAT_FC!#REF!</definedName>
    <definedName name="WIZARD_Y1Q1E" localSheetId="11">[58]AMAT_FC!#REF!</definedName>
    <definedName name="WIZARD_Y1Q1E">[58]AMAT_FC!#REF!</definedName>
    <definedName name="WIZARD_Y1Q1R" localSheetId="10">[58]AMAT_FC!#REF!</definedName>
    <definedName name="WIZARD_Y1Q1R" localSheetId="11">[58]AMAT_FC!#REF!</definedName>
    <definedName name="WIZARD_Y1Q1R">[58]AMAT_FC!#REF!</definedName>
    <definedName name="WIZARD_Y1Q1S1" localSheetId="10">#REF!</definedName>
    <definedName name="WIZARD_Y1Q1S1" localSheetId="11">#REF!</definedName>
    <definedName name="WIZARD_Y1Q1S1">#REF!</definedName>
    <definedName name="WIZARD_Y1Q1S2">#REF!</definedName>
    <definedName name="WIZARD_Y1Q2E" localSheetId="10">[58]AMAT_FC!#REF!</definedName>
    <definedName name="WIZARD_Y1Q2E" localSheetId="11">[58]AMAT_FC!#REF!</definedName>
    <definedName name="WIZARD_Y1Q2E">[58]AMAT_FC!#REF!</definedName>
    <definedName name="WIZARD_Y1Q2R" localSheetId="10">[58]AMAT_FC!#REF!</definedName>
    <definedName name="WIZARD_Y1Q2R" localSheetId="11">[58]AMAT_FC!#REF!</definedName>
    <definedName name="WIZARD_Y1Q2R">[58]AMAT_FC!#REF!</definedName>
    <definedName name="WIZARD_Y1Q2S1" localSheetId="10">#REF!</definedName>
    <definedName name="WIZARD_Y1Q2S1" localSheetId="11">#REF!</definedName>
    <definedName name="WIZARD_Y1Q2S1">#REF!</definedName>
    <definedName name="WIZARD_Y1Q2S2">#REF!</definedName>
    <definedName name="WIZARD_Y1Q3E" localSheetId="10">[58]AMAT_FC!#REF!</definedName>
    <definedName name="WIZARD_Y1Q3E" localSheetId="11">[58]AMAT_FC!#REF!</definedName>
    <definedName name="WIZARD_Y1Q3E">[58]AMAT_FC!#REF!</definedName>
    <definedName name="WIZARD_Y1Q3R" localSheetId="10">[58]AMAT_FC!#REF!</definedName>
    <definedName name="WIZARD_Y1Q3R" localSheetId="11">[58]AMAT_FC!#REF!</definedName>
    <definedName name="WIZARD_Y1Q3R">[58]AMAT_FC!#REF!</definedName>
    <definedName name="WIZARD_Y1Q3S1" localSheetId="10">#REF!</definedName>
    <definedName name="WIZARD_Y1Q3S1" localSheetId="11">#REF!</definedName>
    <definedName name="WIZARD_Y1Q3S1">#REF!</definedName>
    <definedName name="WIZARD_Y1Q3S2">#REF!</definedName>
    <definedName name="WIZARD_Y1Q4E" localSheetId="10">[58]AMAT_FC!#REF!</definedName>
    <definedName name="WIZARD_Y1Q4E" localSheetId="11">[58]AMAT_FC!#REF!</definedName>
    <definedName name="WIZARD_Y1Q4E">[58]AMAT_FC!#REF!</definedName>
    <definedName name="WIZARD_Y1Q4R" localSheetId="10">[58]AMAT_FC!#REF!</definedName>
    <definedName name="WIZARD_Y1Q4R" localSheetId="11">[58]AMAT_FC!#REF!</definedName>
    <definedName name="WIZARD_Y1Q4R">[58]AMAT_FC!#REF!</definedName>
    <definedName name="WIZARD_Y1Q4S1" localSheetId="10">#REF!</definedName>
    <definedName name="WIZARD_Y1Q4S1" localSheetId="11">#REF!</definedName>
    <definedName name="WIZARD_Y1Q4S1">#REF!</definedName>
    <definedName name="WIZARD_Y1Q4S2">#REF!</definedName>
    <definedName name="WIZARD_Y1R" localSheetId="10">[58]AMAT_FC!#REF!</definedName>
    <definedName name="WIZARD_Y1R" localSheetId="11">[58]AMAT_FC!#REF!</definedName>
    <definedName name="WIZARD_Y1R">[58]AMAT_FC!#REF!</definedName>
    <definedName name="WIZARD_Y1S1" localSheetId="10">#REF!</definedName>
    <definedName name="WIZARD_Y1S1" localSheetId="11">#REF!</definedName>
    <definedName name="WIZARD_Y1S1">#REF!</definedName>
    <definedName name="WIZARD_Y1S2">#REF!</definedName>
    <definedName name="WIZARD_Y1YEARE" localSheetId="10">[58]AMAT_FC!#REF!</definedName>
    <definedName name="WIZARD_Y1YEARE" localSheetId="11">[58]AMAT_FC!#REF!</definedName>
    <definedName name="WIZARD_Y1YEARE">[58]AMAT_FC!#REF!</definedName>
    <definedName name="WIZARD_Y1YEARR" localSheetId="10">[58]AMAT_FC!#REF!</definedName>
    <definedName name="WIZARD_Y1YEARR" localSheetId="11">[58]AMAT_FC!#REF!</definedName>
    <definedName name="WIZARD_Y1YEARR">[58]AMAT_FC!#REF!</definedName>
    <definedName name="WIZARD_Y1YEARS1" localSheetId="10">#REF!</definedName>
    <definedName name="WIZARD_Y1YEARS1" localSheetId="11">#REF!</definedName>
    <definedName name="WIZARD_Y1YEARS1">#REF!</definedName>
    <definedName name="WIZARD_Y1YEARS2">#REF!</definedName>
    <definedName name="WIZARD_Y2EMVBYREV">#REF!</definedName>
    <definedName name="WIZARD_Y2PES1">#REF!</definedName>
    <definedName name="WIZARD_Y2Q1S1">#REF!</definedName>
    <definedName name="WIZARD_Y2Q1S2">#REF!</definedName>
    <definedName name="WIZARD_Y2Q2S1">#REF!</definedName>
    <definedName name="WIZARD_Y2Q2S2">#REF!</definedName>
    <definedName name="WIZARD_Y2Q3S1">#REF!</definedName>
    <definedName name="WIZARD_Y2Q3S2">#REF!</definedName>
    <definedName name="WIZARD_Y2Q4S1">#REF!</definedName>
    <definedName name="WIZARD_Y2Q4S2">#REF!</definedName>
    <definedName name="WIZARD_Y2S1">#REF!</definedName>
    <definedName name="WIZARD_Y2S2">#REF!</definedName>
    <definedName name="WIZARD_Y2YEARS2">#REF!</definedName>
    <definedName name="WIZARD_Y3EMVBYREV">#REF!</definedName>
    <definedName name="WIZARD_Y3PES1">#REF!</definedName>
    <definedName name="WIZARD_Y3Q1E">[59]NVLS_FC!$G$11</definedName>
    <definedName name="WIZARD_Y3Q1S1" localSheetId="10">#REF!</definedName>
    <definedName name="WIZARD_Y3Q1S1" localSheetId="11">#REF!</definedName>
    <definedName name="WIZARD_Y3Q1S1">#REF!</definedName>
    <definedName name="WIZARD_Y3Q1S2">#REF!</definedName>
    <definedName name="WIZARD_Y3Q2S1">#REF!</definedName>
    <definedName name="WIZARD_Y3Q2S2">#REF!</definedName>
    <definedName name="WIZARD_Y3Q3S1">#REF!</definedName>
    <definedName name="WIZARD_Y3Q3S2">#REF!</definedName>
    <definedName name="WIZARD_Y3Q4S1">#REF!</definedName>
    <definedName name="WIZARD_Y3Q4S2">#REF!</definedName>
    <definedName name="WIZARD_Y3S1">#REF!</definedName>
    <definedName name="WIZARD_Y3S2">#REF!</definedName>
    <definedName name="WIZARD_Y3YEARE">[59]NVLS_FC!$G$15</definedName>
    <definedName name="WIZARD_Y3YEARS2" localSheetId="10">#REF!</definedName>
    <definedName name="WIZARD_Y3YEARS2" localSheetId="11">#REF!</definedName>
    <definedName name="WIZARD_Y3YEARS2">#REF!</definedName>
    <definedName name="WIZARD_YEARSOFCASH">#REF!</definedName>
    <definedName name="working_capital">[8]Model!#REF!</definedName>
    <definedName name="WORKINGCAP" localSheetId="8">#REF!</definedName>
    <definedName name="WORKINGCAP" localSheetId="10">#REF!</definedName>
    <definedName name="WORKINGCAP" localSheetId="11">#REF!</definedName>
    <definedName name="WORKINGCAP">#REF!</definedName>
    <definedName name="WorkingCapital" localSheetId="8">'[18]NAV Summary'!#REF!</definedName>
    <definedName name="WorkingCapital" localSheetId="10">'[18]NAV Summary'!#REF!</definedName>
    <definedName name="WorkingCapital" localSheetId="11">'[18]NAV Summary'!#REF!</definedName>
    <definedName name="WorkingCapital">'[18]NAV Summary'!#REF!</definedName>
    <definedName name="WorkingCapital_Input">'[10]SENSITIVITY ANALYSIS'!$E$75</definedName>
    <definedName name="WorkingCapital_Toggle">'[10]SENSITIVITY ANALYSIS'!$I$73</definedName>
    <definedName name="workis" localSheetId="8">#REF!</definedName>
    <definedName name="workis" localSheetId="10">#REF!</definedName>
    <definedName name="workis" localSheetId="11">#REF!</definedName>
    <definedName name="workis">#REF!</definedName>
    <definedName name="workiscal" localSheetId="8">#REF!:#REF!</definedName>
    <definedName name="workiscal" localSheetId="10">#REF!:#REF!</definedName>
    <definedName name="workiscal" localSheetId="11">#REF!:#REF!</definedName>
    <definedName name="workiscal">#REF!:#REF!</definedName>
    <definedName name="workrev1" localSheetId="8">#REF!</definedName>
    <definedName name="workrev1" localSheetId="10">#REF!</definedName>
    <definedName name="workrev1" localSheetId="11">#REF!</definedName>
    <definedName name="workrev1">#REF!</definedName>
    <definedName name="wrn.Compensation." localSheetId="8" hidden="1">{"Comp sum",#N/A,FALSE,"Compensation";"Comp by emp",#N/A,FALSE,"Compensation";"Salary summary",#N/A,FALSE,"Compensation";"Payroll taxes",#N/A,FALSE,"Compensation";"HC by Month",#N/A,FALSE,"Compensation";"Misc",#N/A,FALSE,"Compensation"}</definedName>
    <definedName name="wrn.Compensation." localSheetId="10" hidden="1">{"Comp sum",#N/A,FALSE,"Compensation";"Comp by emp",#N/A,FALSE,"Compensation";"Salary summary",#N/A,FALSE,"Compensation";"Payroll taxes",#N/A,FALSE,"Compensation";"HC by Month",#N/A,FALSE,"Compensation";"Misc",#N/A,FALSE,"Compensation"}</definedName>
    <definedName name="wrn.Compensation." localSheetId="11" hidden="1">{"Comp sum",#N/A,FALSE,"Compensation";"Comp by emp",#N/A,FALSE,"Compensation";"Salary summary",#N/A,FALSE,"Compensation";"Payroll taxes",#N/A,FALSE,"Compensation";"HC by Month",#N/A,FALSE,"Compensation";"Misc",#N/A,FALSE,"Compensation"}</definedName>
    <definedName name="wrn.Compensation." hidden="1">{"Comp sum",#N/A,FALSE,"Compensation";"Comp by emp",#N/A,FALSE,"Compensation";"Salary summary",#N/A,FALSE,"Compensation";"Payroll taxes",#N/A,FALSE,"Compensation";"HC by Month",#N/A,FALSE,"Compensation";"Misc",#N/A,FALSE,"Compensation"}</definedName>
    <definedName name="wrn.Final." localSheetId="8" hidden="1">{#N/A,#N/A,FALSE,"Total Sum";#N/A,#N/A,FALSE,"NA Summary";#N/A,#N/A,FALSE,"Junior Summary";#N/A,#N/A,FALSE,"FMC -NA Summary";#N/A,#N/A,FALSE,"Pacif Summary";#N/A,#N/A,FALSE,"NAV";#N/A,#N/A,FALSE,"Asset Summary";#N/A,#N/A,FALSE,"Bulawan";#N/A,#N/A,FALSE,"Sibutad";#N/A,#N/A,FALSE,"Prodn &amp; Reserves"}</definedName>
    <definedName name="wrn.Final." localSheetId="10" hidden="1">{#N/A,#N/A,FALSE,"Total Sum";#N/A,#N/A,FALSE,"NA Summary";#N/A,#N/A,FALSE,"Junior Summary";#N/A,#N/A,FALSE,"FMC -NA Summary";#N/A,#N/A,FALSE,"Pacif Summary";#N/A,#N/A,FALSE,"NAV";#N/A,#N/A,FALSE,"Asset Summary";#N/A,#N/A,FALSE,"Bulawan";#N/A,#N/A,FALSE,"Sibutad";#N/A,#N/A,FALSE,"Prodn &amp; Reserves"}</definedName>
    <definedName name="wrn.Final." localSheetId="11" hidden="1">{#N/A,#N/A,FALSE,"Total Sum";#N/A,#N/A,FALSE,"NA Summary";#N/A,#N/A,FALSE,"Junior Summary";#N/A,#N/A,FALSE,"FMC -NA Summary";#N/A,#N/A,FALSE,"Pacif Summary";#N/A,#N/A,FALSE,"NAV";#N/A,#N/A,FALSE,"Asset Summary";#N/A,#N/A,FALSE,"Bulawan";#N/A,#N/A,FALSE,"Sibutad";#N/A,#N/A,FALSE,"Prodn &amp; Reserves"}</definedName>
    <definedName name="wrn.Final." hidden="1">{#N/A,#N/A,FALSE,"Total Sum";#N/A,#N/A,FALSE,"NA Summary";#N/A,#N/A,FALSE,"Junior Summary";#N/A,#N/A,FALSE,"FMC -NA Summary";#N/A,#N/A,FALSE,"Pacif Summary";#N/A,#N/A,FALSE,"NAV";#N/A,#N/A,FALSE,"Asset Summary";#N/A,#N/A,FALSE,"Bulawan";#N/A,#N/A,FALSE,"Sibutad";#N/A,#N/A,FALSE,"Prodn &amp; Reserves"}</definedName>
    <definedName name="wrn.FULL._.REPORT." localSheetId="8" hidden="1">{"p1TOC",#N/A,FALSE,"DCF_Summary";"p23summary",#N/A,FALSE,"DCF_Summary";"p4contact",#N/A,FALSE,"Contact Lake";"p5kumtor",#N/A,FALSE,"Kumtor";#N/A,#N/A,FALSE,"CCAU_NAV";"p8compdata",#N/A,FALSE,"Gold_Comps";#N/A,#N/A,FALSE,"Comp_Valuation"}</definedName>
    <definedName name="wrn.FULL._.REPORT." localSheetId="10" hidden="1">{"p1TOC",#N/A,FALSE,"DCF_Summary";"p23summary",#N/A,FALSE,"DCF_Summary";"p4contact",#N/A,FALSE,"Contact Lake";"p5kumtor",#N/A,FALSE,"Kumtor";#N/A,#N/A,FALSE,"CCAU_NAV";"p8compdata",#N/A,FALSE,"Gold_Comps";#N/A,#N/A,FALSE,"Comp_Valuation"}</definedName>
    <definedName name="wrn.FULL._.REPORT." localSheetId="11" hidden="1">{"p1TOC",#N/A,FALSE,"DCF_Summary";"p23summary",#N/A,FALSE,"DCF_Summary";"p4contact",#N/A,FALSE,"Contact Lake";"p5kumtor",#N/A,FALSE,"Kumtor";#N/A,#N/A,FALSE,"CCAU_NAV";"p8compdata",#N/A,FALSE,"Gold_Comps";#N/A,#N/A,FALSE,"Comp_Valuation"}</definedName>
    <definedName name="wrn.FULL._.REPORT." hidden="1">{"p1TOC",#N/A,FALSE,"DCF_Summary";"p23summary",#N/A,FALSE,"DCF_Summary";"p4contact",#N/A,FALSE,"Contact Lake";"p5kumtor",#N/A,FALSE,"Kumtor";#N/A,#N/A,FALSE,"CCAU_NAV";"p8compdata",#N/A,FALSE,"Gold_Comps";#N/A,#N/A,FALSE,"Comp_Valuation"}</definedName>
    <definedName name="wrn.Pegasus." localSheetId="8"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localSheetId="1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hidden="1">{#N/A,#N/A,FALSE,"Proforma NAV";#N/A,#N/A,FALSE,"P NAV";#N/A,#N/A,FALSE,"Prodn &amp; Reserves";#N/A,#N/A,FALSE,"Asset Summary";#N/A,#N/A,FALSE,"Mt.Todd";#N/A,#N/A,FALSE,"Zortman";#N/A,#N/A,FALSE,"Pullalli";#N/A,#N/A,FALSE,"Black Pine";#N/A,#N/A,FALSE,"Beal Mtn.";#N/A,#N/A,FALSE,"Florida";#N/A,#N/A,FALSE,"Montana";#N/A,#N/A,FALSE,"Diamond Hill";#N/A,#N/A,FALSE,"K_SUMM"}</definedName>
    <definedName name="wrn.Placer._.NAV." localSheetId="8"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localSheetId="1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xcv" hidden="1">"c161"</definedName>
    <definedName name="Y_92" localSheetId="8">#REF!</definedName>
    <definedName name="Y_92" localSheetId="10">#REF!</definedName>
    <definedName name="Y_92" localSheetId="11">#REF!</definedName>
    <definedName name="Y_92">#REF!</definedName>
    <definedName name="Y_93" localSheetId="10">#REF!</definedName>
    <definedName name="Y_93" localSheetId="11">#REF!</definedName>
    <definedName name="Y_93">#REF!</definedName>
    <definedName name="Y_94" localSheetId="10">#REF!</definedName>
    <definedName name="Y_94" localSheetId="11">#REF!</definedName>
    <definedName name="Y_94">#REF!</definedName>
    <definedName name="Y_95">#REF!</definedName>
    <definedName name="Y_96">#REF!</definedName>
    <definedName name="Yahoo__Annual_EPS_Model___1995A___1998E">#REF!</definedName>
    <definedName name="Yahoo__Quarterly_Advertising_Revenue_Summary__1996E___1998E">#REF!</definedName>
    <definedName name="Yahoo__Quarterly_EPS_Model___1996E___1998E">#REF!</definedName>
    <definedName name="yearend">#REF!</definedName>
    <definedName name="yearhigh">#REF!</definedName>
    <definedName name="yearlow">#REF!</definedName>
    <definedName name="yearshedged">#REF!</definedName>
    <definedName name="yewg" localSheetId="8">[6]Model!#REF!</definedName>
    <definedName name="yewg" localSheetId="10">[6]Model!#REF!</definedName>
    <definedName name="yewg" localSheetId="11">[6]Model!#REF!</definedName>
    <definedName name="yewg">[6]Model!#REF!</definedName>
    <definedName name="Yield" localSheetId="10">[7]Model!#REF!</definedName>
    <definedName name="Yield" localSheetId="11">[7]Model!#REF!</definedName>
    <definedName name="Yield">[7]Model!#REF!</definedName>
    <definedName name="yr_ago_eps" localSheetId="8">#REF!</definedName>
    <definedName name="yr_ago_eps" localSheetId="10">#REF!</definedName>
    <definedName name="yr_ago_eps" localSheetId="11">#REF!</definedName>
    <definedName name="yr_ago_eps">#REF!</definedName>
    <definedName name="yr_ago_rev" localSheetId="10">#REF!</definedName>
    <definedName name="yr_ago_rev" localSheetId="11">#REF!</definedName>
    <definedName name="yr_ago_rev">#REF!</definedName>
    <definedName name="YR1_CONTRACT">[35]MODEL!$327:$327</definedName>
    <definedName name="ZacaOwner">'[31]Val Detail'!$F$187</definedName>
    <definedName name="Zortnew" localSheetId="8" hidden="1">{"p1TOC",#N/A,FALSE,"DCF_Summary";"p23summary",#N/A,FALSE,"DCF_Summary";"p4contact",#N/A,FALSE,"Contact Lake";"p5kumtor",#N/A,FALSE,"Kumtor";#N/A,#N/A,FALSE,"CCAU_NAV";"p8compdata",#N/A,FALSE,"Gold_Comps";#N/A,#N/A,FALSE,"Comp_Valuation"}</definedName>
    <definedName name="Zortnew" localSheetId="10" hidden="1">{"p1TOC",#N/A,FALSE,"DCF_Summary";"p23summary",#N/A,FALSE,"DCF_Summary";"p4contact",#N/A,FALSE,"Contact Lake";"p5kumtor",#N/A,FALSE,"Kumtor";#N/A,#N/A,FALSE,"CCAU_NAV";"p8compdata",#N/A,FALSE,"Gold_Comps";#N/A,#N/A,FALSE,"Comp_Valuation"}</definedName>
    <definedName name="Zortnew" localSheetId="11" hidden="1">{"p1TOC",#N/A,FALSE,"DCF_Summary";"p23summary",#N/A,FALSE,"DCF_Summary";"p4contact",#N/A,FALSE,"Contact Lake";"p5kumtor",#N/A,FALSE,"Kumtor";#N/A,#N/A,FALSE,"CCAU_NAV";"p8compdata",#N/A,FALSE,"Gold_Comps";#N/A,#N/A,FALSE,"Comp_Valuation"}</definedName>
    <definedName name="Zortnew" hidden="1">{"p1TOC",#N/A,FALSE,"DCF_Summary";"p23summary",#N/A,FALSE,"DCF_Summary";"p4contact",#N/A,FALSE,"Contact Lake";"p5kumtor",#N/A,FALSE,"Kumtor";#N/A,#N/A,FALSE,"CCAU_NAV";"p8compdata",#N/A,FALSE,"Gold_Comps";#N/A,#N/A,FALSE,"Comp_Valuation"}</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103" i="12" l="1"/>
  <c r="BU80" i="12"/>
  <c r="E12" i="36" l="1"/>
  <c r="E10" i="36"/>
  <c r="E8" i="36"/>
  <c r="E6" i="36"/>
  <c r="BT78" i="13"/>
  <c r="BT69" i="14"/>
  <c r="BT64" i="14"/>
  <c r="BT63" i="14"/>
  <c r="BT62" i="14"/>
  <c r="BT59" i="14"/>
  <c r="BT61" i="12"/>
  <c r="BT31" i="12"/>
  <c r="BT29" i="12"/>
  <c r="BT30" i="12" s="1"/>
  <c r="BT27" i="12"/>
  <c r="BT28" i="12" s="1"/>
  <c r="BT20" i="12"/>
  <c r="BT18" i="12"/>
  <c r="BT19" i="12" s="1"/>
  <c r="BT55" i="12"/>
  <c r="BT54" i="12"/>
  <c r="BT44" i="12"/>
  <c r="BT13" i="12"/>
  <c r="BT8" i="12" s="1"/>
  <c r="BT11" i="12"/>
  <c r="BT10" i="12"/>
  <c r="BT7" i="12"/>
  <c r="BT6" i="12"/>
  <c r="BT70" i="14" l="1"/>
  <c r="BT65" i="14"/>
  <c r="BT55" i="14"/>
  <c r="BT57" i="14"/>
  <c r="BT56" i="14"/>
  <c r="BT58" i="14"/>
  <c r="BT22" i="12"/>
  <c r="BT23" i="12" s="1"/>
  <c r="BT12" i="12"/>
  <c r="BT32" i="12"/>
  <c r="BT66" i="14"/>
  <c r="AS42" i="20"/>
  <c r="BT67" i="14"/>
  <c r="BT54" i="14"/>
  <c r="BT68" i="14"/>
  <c r="BT33" i="12"/>
  <c r="BT21" i="12"/>
  <c r="G12" i="36"/>
  <c r="G10" i="36"/>
  <c r="G8" i="36"/>
  <c r="G6" i="36"/>
  <c r="D12" i="36"/>
  <c r="D10" i="36"/>
  <c r="D8" i="36"/>
  <c r="D6" i="36"/>
  <c r="D46" i="15"/>
  <c r="D45" i="15"/>
  <c r="D39" i="15"/>
  <c r="D20" i="15"/>
  <c r="D19" i="15"/>
  <c r="D18" i="15"/>
  <c r="D6" i="15"/>
  <c r="D5" i="15"/>
  <c r="D4" i="15"/>
  <c r="G46" i="15"/>
  <c r="G45" i="15"/>
  <c r="G39" i="15"/>
  <c r="G6" i="15"/>
  <c r="G5" i="15"/>
  <c r="G4" i="15"/>
  <c r="K39" i="15"/>
  <c r="K4" i="15"/>
  <c r="AS41" i="20" l="1"/>
  <c r="AS34" i="20"/>
  <c r="AS37" i="20" s="1"/>
  <c r="BT24" i="12"/>
  <c r="BT35" i="12"/>
  <c r="BS103" i="12"/>
  <c r="BS84" i="12"/>
  <c r="BS78" i="13"/>
  <c r="BS61" i="12"/>
  <c r="G35" i="15" s="1"/>
  <c r="BS10" i="12"/>
  <c r="BS6" i="12"/>
  <c r="BS31" i="12"/>
  <c r="G20" i="15" s="1"/>
  <c r="BS29" i="12"/>
  <c r="G19" i="15" s="1"/>
  <c r="BS27" i="12"/>
  <c r="G18" i="15" s="1"/>
  <c r="BS20" i="12"/>
  <c r="BS18" i="12"/>
  <c r="D13" i="35"/>
  <c r="D10" i="35"/>
  <c r="BT46" i="12" l="1"/>
  <c r="BT60" i="12"/>
  <c r="BT36" i="12"/>
  <c r="BS19" i="12"/>
  <c r="G10" i="15"/>
  <c r="BS21" i="12"/>
  <c r="G11" i="15"/>
  <c r="BR103" i="12"/>
  <c r="AO14" i="20"/>
  <c r="BR61" i="12"/>
  <c r="BR20" i="12"/>
  <c r="BR18" i="12"/>
  <c r="BR33" i="12"/>
  <c r="BR78" i="13"/>
  <c r="BR66" i="13"/>
  <c r="BR46" i="13"/>
  <c r="BR9" i="13"/>
  <c r="BR8" i="13" s="1"/>
  <c r="BR4" i="13"/>
  <c r="BR49" i="14"/>
  <c r="BR31" i="14"/>
  <c r="BR38" i="14" s="1"/>
  <c r="BR12" i="14"/>
  <c r="BR21" i="14" s="1"/>
  <c r="BR4" i="14"/>
  <c r="BR151" i="12"/>
  <c r="BR120" i="12"/>
  <c r="BR118" i="12"/>
  <c r="BR117" i="12"/>
  <c r="BR101" i="12"/>
  <c r="BR55" i="12"/>
  <c r="BR54" i="12"/>
  <c r="BR44" i="12"/>
  <c r="BR13" i="12"/>
  <c r="AQ42" i="20" s="1"/>
  <c r="AQ34" i="20" s="1"/>
  <c r="AQ37" i="20" s="1"/>
  <c r="BR11" i="12"/>
  <c r="BR10" i="12"/>
  <c r="BR7" i="12"/>
  <c r="BR6" i="12"/>
  <c r="BT63" i="12" l="1"/>
  <c r="BT62" i="12"/>
  <c r="BT66" i="12"/>
  <c r="BT47" i="12"/>
  <c r="BR19" i="12"/>
  <c r="BR22" i="12"/>
  <c r="BR23" i="12" s="1"/>
  <c r="BR24" i="12" s="1"/>
  <c r="BR69" i="14"/>
  <c r="BR67" i="14"/>
  <c r="BR54" i="14"/>
  <c r="BR55" i="14"/>
  <c r="BR56" i="14"/>
  <c r="BR66" i="14"/>
  <c r="BR68" i="14"/>
  <c r="BR70" i="14"/>
  <c r="BR57" i="14"/>
  <c r="BR65" i="14"/>
  <c r="BR58" i="14"/>
  <c r="BR59" i="14"/>
  <c r="BR62" i="14"/>
  <c r="BR63" i="14"/>
  <c r="BR64" i="14"/>
  <c r="BR41" i="14"/>
  <c r="BR42" i="14" s="1"/>
  <c r="BR45" i="14" s="1"/>
  <c r="BR30" i="12"/>
  <c r="BR32" i="12"/>
  <c r="BR8" i="12"/>
  <c r="BR28" i="12"/>
  <c r="BR12" i="12"/>
  <c r="BR102" i="12"/>
  <c r="BR108" i="12" s="1"/>
  <c r="BR21" i="12"/>
  <c r="BW100" i="12"/>
  <c r="BR100" i="12"/>
  <c r="BM100" i="12"/>
  <c r="BH100" i="12"/>
  <c r="AF27" i="31"/>
  <c r="AY40" i="20"/>
  <c r="AX40" i="20"/>
  <c r="AW40" i="20"/>
  <c r="AV40" i="20"/>
  <c r="AY39" i="20"/>
  <c r="AX39" i="20"/>
  <c r="AW39" i="20"/>
  <c r="AV39" i="20"/>
  <c r="AY36" i="20"/>
  <c r="AX36" i="20"/>
  <c r="AW36" i="20"/>
  <c r="AV36" i="20"/>
  <c r="AY35" i="20"/>
  <c r="AX35" i="20"/>
  <c r="AV35" i="20"/>
  <c r="AY21" i="20"/>
  <c r="AX21" i="20"/>
  <c r="AW21" i="20"/>
  <c r="AV21" i="20"/>
  <c r="AY20" i="20"/>
  <c r="AX20" i="20"/>
  <c r="AW20" i="20"/>
  <c r="AV20" i="20"/>
  <c r="AY19" i="20"/>
  <c r="AX19" i="20"/>
  <c r="AW19" i="20"/>
  <c r="AV19" i="20"/>
  <c r="AY15" i="20"/>
  <c r="AX15" i="20"/>
  <c r="AW15" i="20"/>
  <c r="AV15" i="20"/>
  <c r="AY14" i="20"/>
  <c r="AX14" i="20"/>
  <c r="AW14" i="20"/>
  <c r="AV14" i="20"/>
  <c r="AY13" i="20"/>
  <c r="AX13" i="20"/>
  <c r="AW13" i="20"/>
  <c r="AV13" i="20"/>
  <c r="AY12" i="20"/>
  <c r="AX12" i="20"/>
  <c r="AW12" i="20"/>
  <c r="AV12" i="20"/>
  <c r="AY8" i="20"/>
  <c r="AX8" i="20"/>
  <c r="AW8" i="20"/>
  <c r="AV8" i="20"/>
  <c r="AY7" i="20"/>
  <c r="AX7" i="20"/>
  <c r="AW7" i="20"/>
  <c r="AV7" i="20"/>
  <c r="AY6" i="20"/>
  <c r="AX6" i="20"/>
  <c r="AW6" i="20"/>
  <c r="AV6" i="20"/>
  <c r="AZ4" i="20"/>
  <c r="AY4" i="20"/>
  <c r="AX4" i="20"/>
  <c r="AW4" i="20"/>
  <c r="AV4" i="20"/>
  <c r="CA68" i="13"/>
  <c r="BZ66" i="13"/>
  <c r="BY66" i="13"/>
  <c r="BX66" i="13"/>
  <c r="BW66" i="13"/>
  <c r="CA65" i="13"/>
  <c r="CA64" i="13"/>
  <c r="CA63" i="13"/>
  <c r="CA62" i="13"/>
  <c r="CA61" i="13"/>
  <c r="CA60" i="13"/>
  <c r="CA59" i="13"/>
  <c r="CA58" i="13"/>
  <c r="CA57" i="13"/>
  <c r="CA56" i="13"/>
  <c r="CA55" i="13"/>
  <c r="CA54" i="13"/>
  <c r="CA53" i="13"/>
  <c r="CA52" i="13"/>
  <c r="BZ46" i="13"/>
  <c r="BY46" i="13"/>
  <c r="BX46" i="13"/>
  <c r="BW46" i="13"/>
  <c r="CA45" i="13"/>
  <c r="CA44" i="13"/>
  <c r="CA43" i="13"/>
  <c r="CA42" i="13"/>
  <c r="CA41" i="13"/>
  <c r="CA40" i="13"/>
  <c r="CA39" i="13"/>
  <c r="CA38" i="13"/>
  <c r="CA37" i="13"/>
  <c r="CA31" i="13"/>
  <c r="CA21" i="13"/>
  <c r="CA20" i="13"/>
  <c r="CA18" i="13"/>
  <c r="CA17" i="13"/>
  <c r="BZ16" i="13"/>
  <c r="BY16" i="13"/>
  <c r="BX16" i="13"/>
  <c r="BW16" i="13"/>
  <c r="CA15" i="13"/>
  <c r="CA14" i="13"/>
  <c r="CA13" i="13"/>
  <c r="CA12" i="13"/>
  <c r="BZ11" i="13"/>
  <c r="BY11" i="13"/>
  <c r="BX11" i="13"/>
  <c r="BW11" i="13"/>
  <c r="CA10" i="13"/>
  <c r="CA4" i="13"/>
  <c r="BZ4" i="13"/>
  <c r="BY4" i="13"/>
  <c r="BX4" i="13"/>
  <c r="BW4" i="13"/>
  <c r="CA35" i="14"/>
  <c r="CA29" i="14"/>
  <c r="CA4" i="14"/>
  <c r="BZ4" i="14"/>
  <c r="BY4" i="14"/>
  <c r="BX4" i="14"/>
  <c r="BW4" i="14"/>
  <c r="BZ118" i="12"/>
  <c r="BY118" i="12"/>
  <c r="BX118" i="12"/>
  <c r="BW118" i="12"/>
  <c r="BZ117" i="12"/>
  <c r="BY117" i="12"/>
  <c r="BX117" i="12"/>
  <c r="BW117" i="12"/>
  <c r="CA116" i="12"/>
  <c r="CA101" i="12"/>
  <c r="BZ101" i="12"/>
  <c r="BY101" i="12"/>
  <c r="BX101" i="12"/>
  <c r="BW101" i="12"/>
  <c r="CA67" i="12"/>
  <c r="BZ55" i="12"/>
  <c r="BY55" i="12"/>
  <c r="BX55" i="12"/>
  <c r="BW55" i="12"/>
  <c r="BZ54" i="12"/>
  <c r="BY54" i="12"/>
  <c r="BX54" i="12"/>
  <c r="BW54" i="12"/>
  <c r="CA53" i="12"/>
  <c r="CA52" i="12"/>
  <c r="CA51" i="12"/>
  <c r="CA50" i="12"/>
  <c r="CA49" i="12"/>
  <c r="CA43" i="12"/>
  <c r="CA42" i="12"/>
  <c r="CA41" i="12"/>
  <c r="CA40" i="12"/>
  <c r="X36" i="35"/>
  <c r="AB28" i="35"/>
  <c r="Y26" i="35"/>
  <c r="AA34" i="35"/>
  <c r="Y34" i="35"/>
  <c r="Z34" i="35"/>
  <c r="Y28" i="35"/>
  <c r="Y36" i="35"/>
  <c r="AB26" i="35"/>
  <c r="AB30" i="35"/>
  <c r="BT71" i="12" l="1"/>
  <c r="BT68" i="12"/>
  <c r="BT74" i="12"/>
  <c r="BT64" i="12"/>
  <c r="BU79" i="12"/>
  <c r="K45" i="15"/>
  <c r="K46" i="15"/>
  <c r="X20" i="35"/>
  <c r="Y20" i="35"/>
  <c r="AA18" i="35"/>
  <c r="AB18" i="35"/>
  <c r="Z18" i="35"/>
  <c r="AA20" i="35"/>
  <c r="AB20" i="35" s="1"/>
  <c r="D7" i="15"/>
  <c r="CA11" i="13"/>
  <c r="CA16" i="13"/>
  <c r="BR35" i="12"/>
  <c r="BR36" i="12" s="1"/>
  <c r="Z20" i="35"/>
  <c r="CA55" i="12"/>
  <c r="X18" i="35"/>
  <c r="CA46" i="13"/>
  <c r="Y18" i="35"/>
  <c r="CA66" i="13"/>
  <c r="CA54" i="12"/>
  <c r="X28" i="35"/>
  <c r="X30" i="35"/>
  <c r="Y30" i="35"/>
  <c r="Z30" i="35"/>
  <c r="Z36" i="35"/>
  <c r="AA30" i="35"/>
  <c r="Z28" i="35"/>
  <c r="X26" i="35"/>
  <c r="AB36" i="35"/>
  <c r="AA28" i="35"/>
  <c r="Z26" i="35"/>
  <c r="AA36" i="35"/>
  <c r="X34" i="35"/>
  <c r="AB34" i="35"/>
  <c r="AA26" i="35"/>
  <c r="BT72" i="12" l="1"/>
  <c r="BT76" i="12"/>
  <c r="BR46" i="12"/>
  <c r="BR66" i="12" s="1"/>
  <c r="BR60" i="12"/>
  <c r="BR63" i="12" s="1"/>
  <c r="BR62" i="12" l="1"/>
  <c r="BR47" i="12"/>
  <c r="BR71" i="12"/>
  <c r="BR68" i="12"/>
  <c r="BR74" i="12"/>
  <c r="BR64" i="12"/>
  <c r="BM103" i="12"/>
  <c r="BP103" i="12"/>
  <c r="BP61" i="12"/>
  <c r="BP31" i="12"/>
  <c r="BP29" i="12"/>
  <c r="BP27" i="12"/>
  <c r="BP20" i="12"/>
  <c r="BP18" i="12"/>
  <c r="BP19" i="12" s="1"/>
  <c r="BP84" i="12"/>
  <c r="BP10" i="12"/>
  <c r="BP6" i="12"/>
  <c r="BP78" i="13"/>
  <c r="BP49" i="14"/>
  <c r="BR51" i="14" s="1"/>
  <c r="BR135" i="12" l="1"/>
  <c r="BR76" i="12"/>
  <c r="BR6" i="13"/>
  <c r="BR33" i="13" s="1"/>
  <c r="BW80" i="12"/>
  <c r="BR72" i="12"/>
  <c r="BP21" i="12"/>
  <c r="BP82" i="12"/>
  <c r="AE27" i="31"/>
  <c r="BR34" i="13" l="1"/>
  <c r="BR48" i="13"/>
  <c r="BR73" i="14" s="1"/>
  <c r="BR70" i="13"/>
  <c r="BX80" i="12"/>
  <c r="BO104" i="12"/>
  <c r="BO103" i="12"/>
  <c r="BO61" i="12"/>
  <c r="D35" i="15" s="1"/>
  <c r="BO20" i="12"/>
  <c r="D11" i="15" s="1"/>
  <c r="BO18" i="12"/>
  <c r="D10" i="15" s="1"/>
  <c r="BO78" i="13"/>
  <c r="BO66" i="13"/>
  <c r="BO46" i="13"/>
  <c r="BO9" i="13"/>
  <c r="BO8" i="13" s="1"/>
  <c r="BO77" i="13" s="1"/>
  <c r="BO4" i="13"/>
  <c r="BO49" i="14"/>
  <c r="BP51" i="14" s="1"/>
  <c r="BO31" i="14"/>
  <c r="BO38" i="14" s="1"/>
  <c r="BO12" i="14"/>
  <c r="BO21" i="14" s="1"/>
  <c r="BO4" i="14"/>
  <c r="BK54" i="12"/>
  <c r="BK55" i="12"/>
  <c r="BJ55" i="12"/>
  <c r="BN55" i="12"/>
  <c r="BO151" i="12"/>
  <c r="BO120" i="12"/>
  <c r="BO118" i="12"/>
  <c r="BO117" i="12"/>
  <c r="BO101" i="12"/>
  <c r="BO55" i="12"/>
  <c r="D32" i="15" s="1"/>
  <c r="BO54" i="12"/>
  <c r="D31" i="15" s="1"/>
  <c r="BO44" i="12"/>
  <c r="D26" i="15" s="1"/>
  <c r="BO33" i="12"/>
  <c r="BO13" i="12"/>
  <c r="BO11" i="12"/>
  <c r="BO10" i="12"/>
  <c r="BO7" i="12"/>
  <c r="BO6" i="12"/>
  <c r="AN42" i="20" l="1"/>
  <c r="AN34" i="20" s="1"/>
  <c r="AN37" i="20" s="1"/>
  <c r="BT14" i="12"/>
  <c r="BR49" i="13"/>
  <c r="BR74" i="14" s="1"/>
  <c r="BY80" i="12"/>
  <c r="BO19" i="12"/>
  <c r="BO12" i="12"/>
  <c r="BO63" i="14"/>
  <c r="BO8" i="12"/>
  <c r="BO67" i="14"/>
  <c r="BO68" i="14"/>
  <c r="BO47" i="14"/>
  <c r="BO22" i="12"/>
  <c r="BO23" i="12" s="1"/>
  <c r="BO24" i="12" s="1"/>
  <c r="BO41" i="14"/>
  <c r="BO42" i="14" s="1"/>
  <c r="BO45" i="14" s="1"/>
  <c r="BO64" i="14"/>
  <c r="BO65" i="14"/>
  <c r="BO66" i="14"/>
  <c r="BO54" i="14"/>
  <c r="BO55" i="14"/>
  <c r="BO69" i="14"/>
  <c r="BO56" i="14"/>
  <c r="BO70" i="14"/>
  <c r="BO32" i="12"/>
  <c r="BO57" i="14"/>
  <c r="BO58" i="14"/>
  <c r="BO59" i="14"/>
  <c r="BO62" i="14"/>
  <c r="BO28" i="12"/>
  <c r="BO30" i="12"/>
  <c r="BO21" i="12"/>
  <c r="BO102" i="12"/>
  <c r="BO108" i="12" s="1"/>
  <c r="H10" i="36" s="1"/>
  <c r="BZ80" i="12" l="1"/>
  <c r="CA80" i="12" s="1"/>
  <c r="BO35" i="12"/>
  <c r="BO60" i="12" s="1"/>
  <c r="AG67" i="20"/>
  <c r="BO36" i="12" l="1"/>
  <c r="BO46" i="12"/>
  <c r="BO47" i="12" s="1"/>
  <c r="BO63" i="12"/>
  <c r="BO62" i="12"/>
  <c r="BO66" i="12" l="1"/>
  <c r="D38" i="15" s="1"/>
  <c r="BO74" i="12"/>
  <c r="BT75" i="12" s="1"/>
  <c r="BO64" i="12"/>
  <c r="BN103" i="12"/>
  <c r="BN61" i="12"/>
  <c r="BN20" i="12"/>
  <c r="BN18" i="12"/>
  <c r="BU39" i="12" l="1"/>
  <c r="BW39" i="12" s="1"/>
  <c r="BP9" i="13"/>
  <c r="BP8" i="13" s="1"/>
  <c r="BP77" i="13" s="1"/>
  <c r="BO68" i="12"/>
  <c r="BO71" i="12"/>
  <c r="BO76" i="12" s="1"/>
  <c r="BT77" i="12" s="1"/>
  <c r="BN78" i="13"/>
  <c r="BN66" i="13"/>
  <c r="BN46" i="13"/>
  <c r="BN9" i="13"/>
  <c r="BN8" i="13" s="1"/>
  <c r="BN4" i="13"/>
  <c r="BL35" i="14"/>
  <c r="BQ35" i="14"/>
  <c r="BN49" i="14"/>
  <c r="BO51" i="14" s="1"/>
  <c r="BN31" i="14"/>
  <c r="BN38" i="14" s="1"/>
  <c r="BN12" i="14"/>
  <c r="BN21" i="14" s="1"/>
  <c r="BN4" i="14"/>
  <c r="BN151" i="12"/>
  <c r="BN120" i="12"/>
  <c r="BN118" i="12"/>
  <c r="BN117" i="12"/>
  <c r="BN101" i="12"/>
  <c r="BN54" i="12"/>
  <c r="BN44" i="12"/>
  <c r="BN33" i="12"/>
  <c r="BN21" i="12"/>
  <c r="BN19" i="12"/>
  <c r="BN13" i="12"/>
  <c r="BO15" i="12" s="1"/>
  <c r="BN12" i="12"/>
  <c r="BN11" i="12"/>
  <c r="BN10" i="12"/>
  <c r="BN7" i="12"/>
  <c r="BN6" i="12"/>
  <c r="BX39" i="12" l="1"/>
  <c r="BW9" i="13"/>
  <c r="BW44" i="12"/>
  <c r="BN68" i="14"/>
  <c r="BN58" i="14"/>
  <c r="BN59" i="14"/>
  <c r="BN57" i="14"/>
  <c r="BO6" i="13"/>
  <c r="BO33" i="13" s="1"/>
  <c r="BO72" i="12"/>
  <c r="BN8" i="12"/>
  <c r="AM42" i="20"/>
  <c r="BN69" i="14"/>
  <c r="BN70" i="14"/>
  <c r="BN54" i="14"/>
  <c r="BN55" i="14"/>
  <c r="BN56" i="14"/>
  <c r="BN62" i="14"/>
  <c r="BN63" i="14"/>
  <c r="BN64" i="14"/>
  <c r="BN65" i="14"/>
  <c r="BN47" i="14"/>
  <c r="BN66" i="14"/>
  <c r="BN67" i="14"/>
  <c r="BN77" i="13"/>
  <c r="BN41" i="14"/>
  <c r="BN42" i="14" s="1"/>
  <c r="BN45" i="14" s="1"/>
  <c r="BN102" i="12"/>
  <c r="BN108" i="12" s="1"/>
  <c r="BN30" i="12"/>
  <c r="BN32" i="12"/>
  <c r="BN22" i="12"/>
  <c r="BN23" i="12" s="1"/>
  <c r="BN28" i="12"/>
  <c r="G4" i="20"/>
  <c r="H4" i="20"/>
  <c r="I4" i="20"/>
  <c r="J4" i="20"/>
  <c r="K4" i="20"/>
  <c r="L4" i="20"/>
  <c r="M4" i="20"/>
  <c r="N4" i="20"/>
  <c r="O4" i="20"/>
  <c r="P4" i="20"/>
  <c r="Q4" i="20"/>
  <c r="R4" i="20"/>
  <c r="S4" i="20"/>
  <c r="T4" i="20"/>
  <c r="U4" i="20"/>
  <c r="V4" i="20"/>
  <c r="W4" i="20"/>
  <c r="X4" i="20"/>
  <c r="Y4" i="20"/>
  <c r="Z4" i="20"/>
  <c r="V24" i="20"/>
  <c r="V18" i="20"/>
  <c r="V11" i="20"/>
  <c r="V5" i="20"/>
  <c r="Q24" i="20"/>
  <c r="Q18" i="20"/>
  <c r="Q11" i="20"/>
  <c r="Q5" i="20"/>
  <c r="L24" i="20"/>
  <c r="L18" i="20"/>
  <c r="G11" i="20"/>
  <c r="L11" i="20"/>
  <c r="G5" i="20"/>
  <c r="D36" i="20"/>
  <c r="E36" i="20"/>
  <c r="I36" i="20"/>
  <c r="J36" i="20"/>
  <c r="N36" i="20"/>
  <c r="O36" i="20"/>
  <c r="S36" i="20"/>
  <c r="T36" i="20"/>
  <c r="U36" i="20"/>
  <c r="W36" i="20"/>
  <c r="AT36" i="20"/>
  <c r="D13" i="20"/>
  <c r="E13" i="20"/>
  <c r="F13" i="20"/>
  <c r="H13" i="20"/>
  <c r="I13" i="20"/>
  <c r="J13" i="20"/>
  <c r="K13" i="20"/>
  <c r="M13" i="20"/>
  <c r="N13" i="20"/>
  <c r="O13" i="20"/>
  <c r="P13" i="20"/>
  <c r="R13" i="20"/>
  <c r="S13" i="20"/>
  <c r="T13" i="20"/>
  <c r="U13" i="20"/>
  <c r="W13" i="20"/>
  <c r="X13" i="20"/>
  <c r="Y13" i="20"/>
  <c r="Z13" i="20"/>
  <c r="AB13" i="20"/>
  <c r="AC13" i="20"/>
  <c r="AD13" i="20"/>
  <c r="AE13" i="20"/>
  <c r="AG13" i="20"/>
  <c r="AH13" i="20"/>
  <c r="AI13" i="20"/>
  <c r="AJ13" i="20"/>
  <c r="AL13" i="20"/>
  <c r="AM13" i="20"/>
  <c r="AN13" i="20"/>
  <c r="AO13" i="20"/>
  <c r="AQ13" i="20"/>
  <c r="AR13" i="20"/>
  <c r="AS13" i="20"/>
  <c r="AT13" i="20"/>
  <c r="L5" i="20"/>
  <c r="Z38" i="20"/>
  <c r="AE38" i="20"/>
  <c r="AN4" i="20"/>
  <c r="AO4" i="20"/>
  <c r="AP4" i="20"/>
  <c r="AQ4" i="20"/>
  <c r="AR4" i="20"/>
  <c r="AS4" i="20"/>
  <c r="AT4" i="20"/>
  <c r="AU4" i="20"/>
  <c r="AA4" i="20"/>
  <c r="AB4" i="20"/>
  <c r="AC4" i="20"/>
  <c r="AD4" i="20"/>
  <c r="AE4" i="20"/>
  <c r="AF4" i="20"/>
  <c r="AG4" i="20"/>
  <c r="AH4" i="20"/>
  <c r="AI4" i="20"/>
  <c r="AJ4" i="20"/>
  <c r="AK4" i="20"/>
  <c r="AL4" i="20"/>
  <c r="AM4" i="20"/>
  <c r="G7" i="15"/>
  <c r="BX9" i="13" l="1"/>
  <c r="BY39" i="12"/>
  <c r="BX44" i="12"/>
  <c r="L12" i="20"/>
  <c r="L6" i="20"/>
  <c r="BO70" i="13"/>
  <c r="BO34" i="13"/>
  <c r="BO48" i="13"/>
  <c r="BO110" i="12"/>
  <c r="AM38" i="20"/>
  <c r="Q6" i="20"/>
  <c r="V14" i="20"/>
  <c r="Q14" i="20"/>
  <c r="Q19" i="20"/>
  <c r="BN24" i="12"/>
  <c r="BN35" i="12"/>
  <c r="L14" i="20"/>
  <c r="V6" i="20"/>
  <c r="V19" i="20"/>
  <c r="V12" i="20"/>
  <c r="Q12" i="20"/>
  <c r="G60" i="20"/>
  <c r="H60" i="20"/>
  <c r="I60" i="20"/>
  <c r="J60" i="20"/>
  <c r="K60" i="20"/>
  <c r="L60" i="20"/>
  <c r="M60" i="20"/>
  <c r="N60" i="20"/>
  <c r="O60" i="20"/>
  <c r="P60" i="20"/>
  <c r="Q60" i="20"/>
  <c r="R60" i="20"/>
  <c r="S60" i="20"/>
  <c r="T60" i="20"/>
  <c r="U60" i="20"/>
  <c r="V60" i="20"/>
  <c r="W60" i="20"/>
  <c r="X60" i="20"/>
  <c r="Y60" i="20"/>
  <c r="Z60" i="20"/>
  <c r="AA60" i="20"/>
  <c r="AB60" i="20"/>
  <c r="AC60" i="20"/>
  <c r="AD60" i="20"/>
  <c r="AE60" i="20"/>
  <c r="G61" i="20"/>
  <c r="H61" i="20"/>
  <c r="I61" i="20"/>
  <c r="J61" i="20"/>
  <c r="K61" i="20"/>
  <c r="L61" i="20"/>
  <c r="M61" i="20"/>
  <c r="N61" i="20"/>
  <c r="O61" i="20"/>
  <c r="P61" i="20"/>
  <c r="Q61" i="20"/>
  <c r="R61" i="20"/>
  <c r="S61" i="20"/>
  <c r="T61" i="20"/>
  <c r="U61" i="20"/>
  <c r="V61" i="20"/>
  <c r="W61" i="20"/>
  <c r="X61" i="20"/>
  <c r="Y61" i="20"/>
  <c r="Z61" i="20"/>
  <c r="AA61" i="20"/>
  <c r="AB61" i="20"/>
  <c r="AC61" i="20"/>
  <c r="AD61" i="20"/>
  <c r="AE61" i="20"/>
  <c r="F60" i="20"/>
  <c r="F61" i="20"/>
  <c r="BO49" i="13" l="1"/>
  <c r="BO74" i="14" s="1"/>
  <c r="BO73" i="14"/>
  <c r="BY9" i="13"/>
  <c r="BY44" i="12"/>
  <c r="BZ39" i="12"/>
  <c r="CA39" i="12" s="1"/>
  <c r="CA44" i="12" s="1"/>
  <c r="AM34" i="20"/>
  <c r="BN46" i="12"/>
  <c r="BN60" i="12"/>
  <c r="BN36" i="12"/>
  <c r="AT39" i="20"/>
  <c r="AS39" i="20"/>
  <c r="AR39" i="20"/>
  <c r="AT40" i="20"/>
  <c r="AS40" i="20"/>
  <c r="AR40" i="20"/>
  <c r="AQ40" i="20"/>
  <c r="AS35" i="20"/>
  <c r="AT21" i="20"/>
  <c r="AY22" i="20" s="1"/>
  <c r="AS21" i="20"/>
  <c r="AX22" i="20" s="1"/>
  <c r="AR21" i="20"/>
  <c r="AW22" i="20" s="1"/>
  <c r="AQ21" i="20"/>
  <c r="AV22" i="20" s="1"/>
  <c r="AT19" i="20"/>
  <c r="AS19" i="20"/>
  <c r="AR19" i="20"/>
  <c r="AQ19" i="20"/>
  <c r="AT20" i="20"/>
  <c r="AS20" i="20"/>
  <c r="AR20" i="20"/>
  <c r="AQ20" i="20"/>
  <c r="AT15" i="20"/>
  <c r="AY16" i="20" s="1"/>
  <c r="AS15" i="20"/>
  <c r="AX16" i="20" s="1"/>
  <c r="AR15" i="20"/>
  <c r="AW16" i="20" s="1"/>
  <c r="AQ15" i="20"/>
  <c r="AV16" i="20" s="1"/>
  <c r="AT14" i="20"/>
  <c r="AS14" i="20"/>
  <c r="AR14" i="20"/>
  <c r="AQ14" i="20"/>
  <c r="AT12" i="20"/>
  <c r="AS12" i="20"/>
  <c r="AR12" i="20"/>
  <c r="AQ12" i="20"/>
  <c r="AT8" i="20"/>
  <c r="AY9" i="20" s="1"/>
  <c r="AS8" i="20"/>
  <c r="AX9" i="20" s="1"/>
  <c r="AR8" i="20"/>
  <c r="AW9" i="20" s="1"/>
  <c r="AQ8" i="20"/>
  <c r="AV9" i="20" s="1"/>
  <c r="AT6" i="20"/>
  <c r="AS6" i="20"/>
  <c r="AR6" i="20"/>
  <c r="AQ6" i="20"/>
  <c r="AT7" i="20"/>
  <c r="AS7" i="20"/>
  <c r="AR7" i="20"/>
  <c r="AQ7" i="20"/>
  <c r="BM61" i="12"/>
  <c r="BM43" i="12"/>
  <c r="BM31" i="12"/>
  <c r="BM29" i="12"/>
  <c r="BM27" i="12"/>
  <c r="D21" i="15" s="1"/>
  <c r="BM20" i="12"/>
  <c r="BM18" i="12"/>
  <c r="BM84" i="12"/>
  <c r="BM6" i="12"/>
  <c r="BM10" i="12"/>
  <c r="BM78" i="13"/>
  <c r="BM9" i="13"/>
  <c r="BM8" i="13" s="1"/>
  <c r="BZ44" i="12" l="1"/>
  <c r="BZ9" i="13"/>
  <c r="CA9" i="13" s="1"/>
  <c r="D12" i="15"/>
  <c r="D14" i="15" s="1"/>
  <c r="AN36" i="20"/>
  <c r="AM37" i="20"/>
  <c r="G21" i="15"/>
  <c r="BN66" i="12"/>
  <c r="BN47" i="12"/>
  <c r="BN63" i="12"/>
  <c r="BN62" i="12"/>
  <c r="BM19" i="12"/>
  <c r="BM21" i="12"/>
  <c r="BV68" i="13"/>
  <c r="BU66" i="13"/>
  <c r="BT66" i="13"/>
  <c r="BS66" i="13"/>
  <c r="BV65" i="13"/>
  <c r="BV64" i="13"/>
  <c r="BV63" i="13"/>
  <c r="BV62" i="13"/>
  <c r="BV61" i="13"/>
  <c r="BV60" i="13"/>
  <c r="BV59" i="13"/>
  <c r="BV58" i="13"/>
  <c r="BV57" i="13"/>
  <c r="BV56" i="13"/>
  <c r="BV55" i="13"/>
  <c r="BV54" i="13"/>
  <c r="BV53" i="13"/>
  <c r="BV52" i="13"/>
  <c r="BU46" i="13"/>
  <c r="BT46" i="13"/>
  <c r="BS46" i="13"/>
  <c r="BV45" i="13"/>
  <c r="BV44" i="13"/>
  <c r="BV43" i="13"/>
  <c r="BV42" i="13"/>
  <c r="BV41" i="13"/>
  <c r="BV40" i="13"/>
  <c r="BV39" i="13"/>
  <c r="BV38" i="13"/>
  <c r="BV37" i="13"/>
  <c r="BV31" i="13"/>
  <c r="BV21" i="13"/>
  <c r="BV20" i="13"/>
  <c r="BV18" i="13"/>
  <c r="BV17" i="13"/>
  <c r="BU16" i="13"/>
  <c r="BV15" i="13"/>
  <c r="BV14" i="13"/>
  <c r="BV13" i="13"/>
  <c r="BV12" i="13"/>
  <c r="BU11" i="13"/>
  <c r="BV10" i="13"/>
  <c r="BU9" i="13"/>
  <c r="BT9" i="13"/>
  <c r="BT8" i="13" s="1"/>
  <c r="BT77" i="13" s="1"/>
  <c r="BS9" i="13"/>
  <c r="BS8" i="13" s="1"/>
  <c r="BS77" i="13" s="1"/>
  <c r="BV4" i="13"/>
  <c r="BU4" i="13"/>
  <c r="BT4" i="13"/>
  <c r="BS4" i="13"/>
  <c r="BV35" i="14"/>
  <c r="BV29" i="14"/>
  <c r="BV4" i="14"/>
  <c r="BU4" i="14"/>
  <c r="BT4" i="14"/>
  <c r="BS4" i="14"/>
  <c r="BU118" i="12"/>
  <c r="BT118" i="12"/>
  <c r="BS118" i="12"/>
  <c r="BU117" i="12"/>
  <c r="BT117" i="12"/>
  <c r="BS117" i="12"/>
  <c r="BV116" i="12"/>
  <c r="CA117" i="12" s="1"/>
  <c r="BV101" i="12"/>
  <c r="BU101" i="12"/>
  <c r="BT101" i="12"/>
  <c r="BS101" i="12"/>
  <c r="BV67" i="12"/>
  <c r="BU55" i="12"/>
  <c r="K32" i="15"/>
  <c r="BS55" i="12"/>
  <c r="G32" i="15" s="1"/>
  <c r="BU54" i="12"/>
  <c r="K31" i="15"/>
  <c r="BS54" i="12"/>
  <c r="G31" i="15" s="1"/>
  <c r="BV53" i="12"/>
  <c r="BV52" i="12"/>
  <c r="BV51" i="12"/>
  <c r="BV50" i="12"/>
  <c r="BV49" i="12"/>
  <c r="BU44" i="12"/>
  <c r="K26" i="15"/>
  <c r="BS44" i="12"/>
  <c r="G26" i="15" s="1"/>
  <c r="BV43" i="12"/>
  <c r="BV42" i="12"/>
  <c r="BV41" i="12"/>
  <c r="BV40" i="12"/>
  <c r="BV39" i="12"/>
  <c r="D23" i="15" l="1"/>
  <c r="D15" i="15"/>
  <c r="BN74" i="12"/>
  <c r="BN64" i="12"/>
  <c r="BN71" i="12"/>
  <c r="BN68" i="12"/>
  <c r="G12" i="15"/>
  <c r="G14" i="15" s="1"/>
  <c r="BV55" i="12"/>
  <c r="BV11" i="13"/>
  <c r="BV44" i="12"/>
  <c r="BV46" i="13"/>
  <c r="BV9" i="13"/>
  <c r="BV16" i="13"/>
  <c r="BV66" i="13"/>
  <c r="BV54" i="12"/>
  <c r="BK61" i="12"/>
  <c r="BK31" i="12"/>
  <c r="BK29" i="12"/>
  <c r="BK27" i="12"/>
  <c r="BK20" i="12"/>
  <c r="BK18" i="12"/>
  <c r="BK103" i="12"/>
  <c r="BK85" i="12"/>
  <c r="BK84" i="12"/>
  <c r="BK10" i="12"/>
  <c r="BK6" i="12"/>
  <c r="BK78" i="13"/>
  <c r="BK9" i="13"/>
  <c r="BK8" i="13" s="1"/>
  <c r="BK77" i="13" s="1"/>
  <c r="BN33" i="13" l="1"/>
  <c r="BN70" i="13" s="1"/>
  <c r="BN76" i="12"/>
  <c r="D24" i="15"/>
  <c r="BK19" i="12"/>
  <c r="BK21" i="12"/>
  <c r="BO135" i="12"/>
  <c r="BN72" i="12"/>
  <c r="G15" i="15"/>
  <c r="G23" i="15"/>
  <c r="BK86" i="12"/>
  <c r="BK87" i="12" s="1"/>
  <c r="F12" i="36"/>
  <c r="BJ103" i="12"/>
  <c r="BJ50" i="12"/>
  <c r="BJ54" i="12" s="1"/>
  <c r="BJ43" i="12"/>
  <c r="BJ61" i="12"/>
  <c r="BJ31" i="12"/>
  <c r="BJ29" i="12"/>
  <c r="BJ27" i="12"/>
  <c r="BJ20" i="12"/>
  <c r="BJ18" i="12"/>
  <c r="BJ19" i="12" s="1"/>
  <c r="BJ85" i="12"/>
  <c r="BJ84" i="12"/>
  <c r="BJ10" i="12"/>
  <c r="BJ6" i="12"/>
  <c r="BJ78" i="13"/>
  <c r="BJ9" i="13"/>
  <c r="BJ8" i="13" s="1"/>
  <c r="BJ77" i="13" s="1"/>
  <c r="BJ4" i="13"/>
  <c r="BN34" i="13" l="1"/>
  <c r="BN48" i="13"/>
  <c r="BN49" i="13" s="1"/>
  <c r="BN74" i="14" s="1"/>
  <c r="BN73" i="14"/>
  <c r="BJ21" i="12"/>
  <c r="BN135" i="12"/>
  <c r="G24" i="15"/>
  <c r="BJ86" i="12"/>
  <c r="BJ87" i="12" s="1"/>
  <c r="AB27" i="31"/>
  <c r="AC27" i="31"/>
  <c r="AD27" i="31"/>
  <c r="AA27" i="31"/>
  <c r="BI103" i="12" l="1"/>
  <c r="BI85" i="12"/>
  <c r="BI84" i="12"/>
  <c r="BI86" i="12" s="1"/>
  <c r="BI87" i="12" s="1"/>
  <c r="BI78" i="13"/>
  <c r="BH78" i="13"/>
  <c r="BI9" i="13"/>
  <c r="BI8" i="13" s="1"/>
  <c r="BI77" i="13" s="1"/>
  <c r="BI4" i="14"/>
  <c r="BI53" i="12"/>
  <c r="BI61" i="12"/>
  <c r="BI49" i="12"/>
  <c r="BH49" i="12"/>
  <c r="BI43" i="12"/>
  <c r="BI31" i="12"/>
  <c r="BI29" i="12"/>
  <c r="BI27" i="12"/>
  <c r="BI20" i="12"/>
  <c r="BI18" i="12"/>
  <c r="BI13" i="12"/>
  <c r="BN14" i="12" s="1"/>
  <c r="AK68" i="20" s="1"/>
  <c r="BI10" i="12"/>
  <c r="BI6" i="12"/>
  <c r="Z27" i="31"/>
  <c r="Y27" i="31"/>
  <c r="X27" i="31"/>
  <c r="BI19" i="12" l="1"/>
  <c r="BI21" i="12"/>
  <c r="AH42" i="20"/>
  <c r="AM46" i="20" s="1"/>
  <c r="J21" i="35"/>
  <c r="BI55" i="12"/>
  <c r="BI28" i="12"/>
  <c r="BI30" i="12"/>
  <c r="BI56" i="14"/>
  <c r="BI57" i="14"/>
  <c r="BI58" i="14"/>
  <c r="BI59" i="14"/>
  <c r="BI64" i="14"/>
  <c r="BI70" i="14"/>
  <c r="BI54" i="12"/>
  <c r="BI55" i="14"/>
  <c r="BI69" i="14"/>
  <c r="BI62" i="14"/>
  <c r="BI63" i="14"/>
  <c r="BI65" i="14"/>
  <c r="BI66" i="14"/>
  <c r="BI67" i="14"/>
  <c r="BI32" i="12"/>
  <c r="BI54" i="14"/>
  <c r="BI68" i="14"/>
  <c r="BI33" i="12"/>
  <c r="BI22" i="12"/>
  <c r="AH38" i="20" l="1"/>
  <c r="AM57" i="20" s="1"/>
  <c r="AM58" i="20" s="1"/>
  <c r="BH103" i="12"/>
  <c r="AG7" i="20"/>
  <c r="BH66" i="13"/>
  <c r="BQ61" i="13"/>
  <c r="BQ60" i="13"/>
  <c r="BQ59" i="13"/>
  <c r="BQ58" i="13"/>
  <c r="BQ57" i="13"/>
  <c r="BL57" i="13"/>
  <c r="BL59" i="13"/>
  <c r="BH85" i="12"/>
  <c r="BH84" i="12"/>
  <c r="BH61" i="12"/>
  <c r="BH53" i="12"/>
  <c r="BH43" i="12"/>
  <c r="BH31" i="12"/>
  <c r="BH29" i="12"/>
  <c r="BH27" i="12"/>
  <c r="BH20" i="12"/>
  <c r="BH18" i="12"/>
  <c r="BH13" i="12"/>
  <c r="BH11" i="12"/>
  <c r="BH10" i="12"/>
  <c r="BH7" i="12"/>
  <c r="BH6" i="12"/>
  <c r="BQ4" i="13"/>
  <c r="BP4" i="13"/>
  <c r="BM4" i="13"/>
  <c r="BL4" i="13"/>
  <c r="BK4" i="13"/>
  <c r="BI4" i="13"/>
  <c r="BH4" i="13"/>
  <c r="BQ4" i="14"/>
  <c r="BP4" i="14"/>
  <c r="BM4" i="14"/>
  <c r="BL4" i="14"/>
  <c r="BK4" i="14"/>
  <c r="BJ4" i="14"/>
  <c r="BH4" i="14"/>
  <c r="AH34" i="20" l="1"/>
  <c r="AH37" i="20" s="1"/>
  <c r="BH70" i="14"/>
  <c r="I21" i="35"/>
  <c r="BH19" i="12"/>
  <c r="BH62" i="14"/>
  <c r="BH54" i="12"/>
  <c r="BH55" i="12"/>
  <c r="BH12" i="12"/>
  <c r="BH64" i="14"/>
  <c r="BH65" i="14"/>
  <c r="BH30" i="12"/>
  <c r="BH67" i="14"/>
  <c r="BH32" i="12"/>
  <c r="BH68" i="14"/>
  <c r="AG42" i="20"/>
  <c r="AG41" i="20" s="1"/>
  <c r="BH55" i="14"/>
  <c r="BH69" i="14"/>
  <c r="BH54" i="14"/>
  <c r="BH56" i="14"/>
  <c r="BH8" i="12"/>
  <c r="BH28" i="12"/>
  <c r="BH57" i="14"/>
  <c r="BH58" i="14"/>
  <c r="BH63" i="14"/>
  <c r="BH66" i="14"/>
  <c r="BH59" i="14"/>
  <c r="BH86" i="12"/>
  <c r="BH87" i="12" s="1"/>
  <c r="BH33" i="12"/>
  <c r="BH22" i="12"/>
  <c r="BH23" i="12" s="1"/>
  <c r="BH24" i="12" s="1"/>
  <c r="BH21" i="12"/>
  <c r="BL54" i="12" l="1"/>
  <c r="BL55" i="12"/>
  <c r="AG34" i="20"/>
  <c r="F10" i="36"/>
  <c r="F8" i="36"/>
  <c r="F6" i="36"/>
  <c r="AG37" i="20" l="1"/>
  <c r="AH36" i="20"/>
  <c r="BP118" i="12"/>
  <c r="BM118" i="12"/>
  <c r="BP117" i="12"/>
  <c r="BM117" i="12"/>
  <c r="BQ116" i="12"/>
  <c r="BV117" i="12" s="1"/>
  <c r="BQ101" i="12"/>
  <c r="BP101" i="12"/>
  <c r="BM101" i="12"/>
  <c r="BQ67" i="12"/>
  <c r="BP55" i="12"/>
  <c r="BM55" i="12"/>
  <c r="BP54" i="12"/>
  <c r="BM54" i="12"/>
  <c r="BQ53" i="12"/>
  <c r="BQ52" i="12"/>
  <c r="BQ51" i="12"/>
  <c r="BQ50" i="12"/>
  <c r="BQ49" i="12"/>
  <c r="BP44" i="12"/>
  <c r="BM44" i="12"/>
  <c r="BQ43" i="12"/>
  <c r="BQ42" i="12"/>
  <c r="BQ41" i="12"/>
  <c r="BQ40" i="12"/>
  <c r="BQ39" i="12"/>
  <c r="BQ29" i="14"/>
  <c r="BQ68" i="13"/>
  <c r="BP66" i="13"/>
  <c r="BM66" i="13"/>
  <c r="BQ65" i="13"/>
  <c r="BQ64" i="13"/>
  <c r="BQ63" i="13"/>
  <c r="BQ62" i="13"/>
  <c r="BQ56" i="13"/>
  <c r="BQ55" i="13"/>
  <c r="BQ54" i="13"/>
  <c r="BQ53" i="13"/>
  <c r="BQ52" i="13"/>
  <c r="BP46" i="13"/>
  <c r="BM46" i="13"/>
  <c r="BQ45" i="13"/>
  <c r="BQ44" i="13"/>
  <c r="BQ43" i="13"/>
  <c r="BQ42" i="13"/>
  <c r="BQ41" i="13"/>
  <c r="BQ40" i="13"/>
  <c r="BQ39" i="13"/>
  <c r="BQ38" i="13"/>
  <c r="BQ37" i="13"/>
  <c r="BQ31" i="13"/>
  <c r="BQ21" i="13"/>
  <c r="BQ20" i="13"/>
  <c r="BQ18" i="13"/>
  <c r="BQ17" i="13"/>
  <c r="BQ15" i="13"/>
  <c r="BQ14" i="13"/>
  <c r="BQ13" i="13"/>
  <c r="BQ12" i="13"/>
  <c r="BQ10" i="13"/>
  <c r="AM39" i="20"/>
  <c r="AK67" i="20" s="1"/>
  <c r="AO40" i="20"/>
  <c r="AN40" i="20"/>
  <c r="AM35" i="20"/>
  <c r="AK66" i="20" s="1"/>
  <c r="AO21" i="20"/>
  <c r="AT22" i="20" s="1"/>
  <c r="AN21" i="20"/>
  <c r="AS22" i="20" s="1"/>
  <c r="AM21" i="20"/>
  <c r="AR22" i="20" s="1"/>
  <c r="AL21" i="20"/>
  <c r="AQ22" i="20" s="1"/>
  <c r="AO19" i="20"/>
  <c r="AN19" i="20"/>
  <c r="AM19" i="20"/>
  <c r="AL19" i="20"/>
  <c r="AO20" i="20"/>
  <c r="AN20" i="20"/>
  <c r="AM20" i="20"/>
  <c r="AL20" i="20"/>
  <c r="AO15" i="20"/>
  <c r="AT16" i="20" s="1"/>
  <c r="AN15" i="20"/>
  <c r="AS16" i="20" s="1"/>
  <c r="AM15" i="20"/>
  <c r="AR16" i="20" s="1"/>
  <c r="AL15" i="20"/>
  <c r="AQ16" i="20" s="1"/>
  <c r="AN14" i="20"/>
  <c r="AM14" i="20"/>
  <c r="AL14" i="20"/>
  <c r="AO12" i="20"/>
  <c r="AN12" i="20"/>
  <c r="AM12" i="20"/>
  <c r="AL12" i="20"/>
  <c r="AO8" i="20"/>
  <c r="AT9" i="20" s="1"/>
  <c r="AN8" i="20"/>
  <c r="AS9" i="20" s="1"/>
  <c r="AM8" i="20"/>
  <c r="AR9" i="20" s="1"/>
  <c r="AL8" i="20"/>
  <c r="AQ9" i="20" s="1"/>
  <c r="AO6" i="20"/>
  <c r="AN6" i="20"/>
  <c r="AM6" i="20"/>
  <c r="AL6" i="20"/>
  <c r="AO7" i="20"/>
  <c r="AN7" i="20"/>
  <c r="AM7" i="20"/>
  <c r="AL7" i="20"/>
  <c r="G28" i="15" l="1"/>
  <c r="G29" i="15" s="1"/>
  <c r="D28" i="15"/>
  <c r="D29" i="15" s="1"/>
  <c r="G34" i="15"/>
  <c r="G36" i="15" s="1"/>
  <c r="G42" i="15" s="1"/>
  <c r="D34" i="15"/>
  <c r="D36" i="15" s="1"/>
  <c r="D42" i="15" s="1"/>
  <c r="BQ54" i="12"/>
  <c r="BQ44" i="12"/>
  <c r="BQ16" i="13"/>
  <c r="BQ55" i="12"/>
  <c r="BQ46" i="13"/>
  <c r="BQ66" i="13"/>
  <c r="BQ9" i="13"/>
  <c r="BQ11" i="13"/>
  <c r="BG54" i="13" l="1"/>
  <c r="BG55" i="13"/>
  <c r="BG56" i="13"/>
  <c r="BG57" i="13"/>
  <c r="BG58" i="13"/>
  <c r="BG60" i="13"/>
  <c r="BG61" i="13"/>
  <c r="BG62" i="13"/>
  <c r="BG63" i="13"/>
  <c r="BG64" i="13"/>
  <c r="BF78" i="13"/>
  <c r="BF103" i="12"/>
  <c r="BF10" i="12"/>
  <c r="BF6" i="12"/>
  <c r="BF53" i="12"/>
  <c r="BF61" i="12"/>
  <c r="BF49" i="12"/>
  <c r="BF43" i="12"/>
  <c r="BF31" i="12"/>
  <c r="BF29" i="12"/>
  <c r="BF27" i="12"/>
  <c r="BF20" i="12"/>
  <c r="BF18" i="12"/>
  <c r="BF84" i="12"/>
  <c r="BF85" i="12"/>
  <c r="AD8" i="20"/>
  <c r="AC8" i="20"/>
  <c r="AB8" i="20"/>
  <c r="AD15" i="20"/>
  <c r="BF19" i="12" l="1"/>
  <c r="BF21" i="12"/>
  <c r="BF86" i="12"/>
  <c r="BF87" i="12" s="1"/>
  <c r="V26" i="31" l="1"/>
  <c r="BE103" i="12"/>
  <c r="BE85" i="12"/>
  <c r="BE84" i="12"/>
  <c r="BE78" i="13"/>
  <c r="BE66" i="13"/>
  <c r="BE9" i="13"/>
  <c r="BE8" i="13" s="1"/>
  <c r="BE77" i="13" s="1"/>
  <c r="BD53" i="12"/>
  <c r="BE53" i="12"/>
  <c r="BE61" i="12"/>
  <c r="BE49" i="12"/>
  <c r="BE43" i="12"/>
  <c r="BE31" i="12"/>
  <c r="BE29" i="12"/>
  <c r="BE27" i="12"/>
  <c r="BE20" i="12"/>
  <c r="BE18" i="12"/>
  <c r="BE13" i="12"/>
  <c r="F21" i="35" s="1"/>
  <c r="BE11" i="12"/>
  <c r="BE10" i="12"/>
  <c r="BE7" i="12"/>
  <c r="BE6" i="12"/>
  <c r="BG116" i="12"/>
  <c r="BE19" i="12" l="1"/>
  <c r="BE33" i="12"/>
  <c r="BE12" i="12"/>
  <c r="BE65" i="14"/>
  <c r="BE59" i="14"/>
  <c r="BE62" i="14"/>
  <c r="BE54" i="12"/>
  <c r="BE55" i="12"/>
  <c r="BE86" i="12"/>
  <c r="BE87" i="12" s="1"/>
  <c r="BE67" i="14"/>
  <c r="BE54" i="14"/>
  <c r="BE68" i="14"/>
  <c r="BE66" i="14"/>
  <c r="BE55" i="14"/>
  <c r="BE69" i="14"/>
  <c r="AD42" i="20"/>
  <c r="AD41" i="20" s="1"/>
  <c r="BE56" i="14"/>
  <c r="BE70" i="14"/>
  <c r="BE57" i="14"/>
  <c r="BE58" i="14"/>
  <c r="BE63" i="14"/>
  <c r="BE64" i="14"/>
  <c r="BE28" i="12"/>
  <c r="BE30" i="12"/>
  <c r="BE32" i="12"/>
  <c r="BE22" i="12"/>
  <c r="BE23" i="12" s="1"/>
  <c r="BE24" i="12" s="1"/>
  <c r="BE21" i="12"/>
  <c r="BE8" i="12"/>
  <c r="Z27" i="20"/>
  <c r="Y27" i="20"/>
  <c r="AD39" i="20" l="1"/>
  <c r="AD67" i="20" s="1"/>
  <c r="BE35" i="12"/>
  <c r="BE36" i="12" s="1"/>
  <c r="F31" i="35" s="1"/>
  <c r="BE44" i="12"/>
  <c r="AD34" i="20" l="1"/>
  <c r="BD78" i="13"/>
  <c r="BC78" i="13"/>
  <c r="AD35" i="20" l="1"/>
  <c r="AD66" i="20" s="1"/>
  <c r="AD37" i="20"/>
  <c r="U28" i="31"/>
  <c r="T28" i="31"/>
  <c r="S28" i="31"/>
  <c r="R28" i="31"/>
  <c r="V24" i="31" s="1"/>
  <c r="Q28" i="31"/>
  <c r="P28" i="31"/>
  <c r="O28" i="31"/>
  <c r="N28" i="31"/>
  <c r="M28" i="31"/>
  <c r="L28" i="31"/>
  <c r="K28" i="31"/>
  <c r="J28" i="31"/>
  <c r="I28" i="31"/>
  <c r="H28" i="31"/>
  <c r="G28" i="31"/>
  <c r="F28" i="31"/>
  <c r="E28" i="31"/>
  <c r="W27" i="31"/>
  <c r="V27" i="31"/>
  <c r="U27" i="31"/>
  <c r="T27" i="31"/>
  <c r="S27" i="31"/>
  <c r="R27" i="31"/>
  <c r="Q27" i="31"/>
  <c r="P27" i="31"/>
  <c r="O27" i="31"/>
  <c r="N27" i="31"/>
  <c r="M27" i="31"/>
  <c r="L27" i="31"/>
  <c r="K27" i="31"/>
  <c r="J27" i="31"/>
  <c r="I27" i="31"/>
  <c r="H27" i="31"/>
  <c r="G27" i="31"/>
  <c r="F27" i="31"/>
  <c r="E27" i="31"/>
  <c r="D27" i="31"/>
  <c r="D28" i="31"/>
  <c r="BD103" i="12"/>
  <c r="BC118" i="12"/>
  <c r="BD118" i="12"/>
  <c r="BD85" i="12"/>
  <c r="BD84" i="12"/>
  <c r="AC15" i="20"/>
  <c r="AC14" i="20"/>
  <c r="AC12" i="20"/>
  <c r="AC19" i="20"/>
  <c r="AC21" i="20"/>
  <c r="AC20" i="20"/>
  <c r="AC7" i="20"/>
  <c r="AC6" i="20"/>
  <c r="BD9" i="13"/>
  <c r="BD8" i="13" s="1"/>
  <c r="BD77" i="13" s="1"/>
  <c r="BD61" i="12"/>
  <c r="BD49" i="12"/>
  <c r="BD43" i="12"/>
  <c r="BD31" i="12"/>
  <c r="BD29" i="12"/>
  <c r="BD27" i="12"/>
  <c r="BD20" i="12"/>
  <c r="BD18" i="12"/>
  <c r="BD10" i="12"/>
  <c r="BD6" i="12"/>
  <c r="BD19" i="12" l="1"/>
  <c r="BD54" i="12"/>
  <c r="BD55" i="12"/>
  <c r="BD22" i="12"/>
  <c r="BD86" i="12"/>
  <c r="BD87" i="12" s="1"/>
  <c r="BD33" i="12"/>
  <c r="BD21" i="12"/>
  <c r="BC103" i="12" l="1"/>
  <c r="BC10" i="12"/>
  <c r="BC6" i="12"/>
  <c r="BC85" i="12"/>
  <c r="BC84" i="12"/>
  <c r="C20" i="33" s="1"/>
  <c r="BC49" i="12"/>
  <c r="BC53" i="12"/>
  <c r="BC9" i="13"/>
  <c r="BC8" i="13" s="1"/>
  <c r="BC61" i="12"/>
  <c r="BC31" i="12"/>
  <c r="BC29" i="12"/>
  <c r="BC27" i="12"/>
  <c r="BC20" i="12"/>
  <c r="BC18" i="12"/>
  <c r="T50" i="15"/>
  <c r="Q50" i="15"/>
  <c r="T46" i="15"/>
  <c r="T7" i="15"/>
  <c r="T14" i="15" s="1"/>
  <c r="T5" i="15"/>
  <c r="Q46" i="15"/>
  <c r="Q5" i="15"/>
  <c r="Q7" i="15"/>
  <c r="Q23" i="15" s="1"/>
  <c r="S23" i="15"/>
  <c r="S14" i="15"/>
  <c r="S50" i="15"/>
  <c r="S46" i="15"/>
  <c r="S7" i="15"/>
  <c r="S5" i="15"/>
  <c r="C5" i="33"/>
  <c r="BC19" i="12" l="1"/>
  <c r="BC21" i="12"/>
  <c r="S24" i="15"/>
  <c r="S15" i="15"/>
  <c r="Q6" i="15"/>
  <c r="S6" i="15"/>
  <c r="U50" i="15"/>
  <c r="T23" i="15"/>
  <c r="T6" i="15"/>
  <c r="Q14" i="15"/>
  <c r="BC55" i="12"/>
  <c r="BC86" i="12"/>
  <c r="BC87" i="12" s="1"/>
  <c r="C21" i="33"/>
  <c r="BC54" i="12"/>
  <c r="AH40" i="20" l="1"/>
  <c r="AJ21" i="20"/>
  <c r="AO22" i="20" s="1"/>
  <c r="AI21" i="20"/>
  <c r="AN22" i="20" s="1"/>
  <c r="AH21" i="20"/>
  <c r="AM22" i="20" s="1"/>
  <c r="AG21" i="20"/>
  <c r="AL22" i="20" s="1"/>
  <c r="AJ19" i="20"/>
  <c r="AI19" i="20"/>
  <c r="AH19" i="20"/>
  <c r="AG19" i="20"/>
  <c r="AJ20" i="20"/>
  <c r="AI20" i="20"/>
  <c r="AH20" i="20"/>
  <c r="AG20" i="20"/>
  <c r="AJ15" i="20"/>
  <c r="AO16" i="20" s="1"/>
  <c r="AI15" i="20"/>
  <c r="AN16" i="20" s="1"/>
  <c r="AH15" i="20"/>
  <c r="AM16" i="20" s="1"/>
  <c r="AG15" i="20"/>
  <c r="AL16" i="20" s="1"/>
  <c r="AJ14" i="20"/>
  <c r="AI14" i="20"/>
  <c r="AH14" i="20"/>
  <c r="AG14" i="20"/>
  <c r="AJ12" i="20"/>
  <c r="AI12" i="20"/>
  <c r="AH12" i="20"/>
  <c r="AG12" i="20"/>
  <c r="AJ8" i="20"/>
  <c r="AO9" i="20" s="1"/>
  <c r="AI8" i="20"/>
  <c r="AN9" i="20" s="1"/>
  <c r="AH8" i="20"/>
  <c r="AM9" i="20" s="1"/>
  <c r="AG8" i="20"/>
  <c r="AL9" i="20" s="1"/>
  <c r="AJ6" i="20"/>
  <c r="AI6" i="20"/>
  <c r="AH6" i="20"/>
  <c r="AG6" i="20"/>
  <c r="AJ7" i="20"/>
  <c r="AI7" i="20"/>
  <c r="AH7" i="20"/>
  <c r="BL68" i="13"/>
  <c r="BK66" i="13"/>
  <c r="BJ66" i="13"/>
  <c r="BI66" i="13"/>
  <c r="BL65" i="13"/>
  <c r="BL64" i="13"/>
  <c r="BL63" i="13"/>
  <c r="BL62" i="13"/>
  <c r="BL61" i="13"/>
  <c r="BL60" i="13"/>
  <c r="BL58" i="13"/>
  <c r="BL56" i="13"/>
  <c r="BL55" i="13"/>
  <c r="BL54" i="13"/>
  <c r="BL53" i="13"/>
  <c r="BL52" i="13"/>
  <c r="BK46" i="13"/>
  <c r="BJ46" i="13"/>
  <c r="BI46" i="13"/>
  <c r="BH46" i="13"/>
  <c r="BL45" i="13"/>
  <c r="BL44" i="13"/>
  <c r="BL43" i="13"/>
  <c r="BL42" i="13"/>
  <c r="BL41" i="13"/>
  <c r="BL40" i="13"/>
  <c r="BL39" i="13"/>
  <c r="BL38" i="13"/>
  <c r="BL37" i="13"/>
  <c r="BL31" i="13"/>
  <c r="BL21" i="13"/>
  <c r="BL20" i="13"/>
  <c r="BL18" i="13"/>
  <c r="BL17" i="13"/>
  <c r="BL15" i="13"/>
  <c r="BL14" i="13"/>
  <c r="BL13" i="13"/>
  <c r="BL12" i="13"/>
  <c r="BL10" i="13"/>
  <c r="BH9" i="13"/>
  <c r="BL29" i="14"/>
  <c r="BL27" i="14"/>
  <c r="BM27" i="14" s="1"/>
  <c r="BP27" i="14" s="1"/>
  <c r="BQ27" i="14" s="1"/>
  <c r="BS27" i="14" s="1"/>
  <c r="BT27" i="14" s="1"/>
  <c r="BU27" i="14" s="1"/>
  <c r="BV27" i="14" s="1"/>
  <c r="BW27" i="14" s="1"/>
  <c r="BX27" i="14" s="1"/>
  <c r="BY27" i="14" s="1"/>
  <c r="BZ27" i="14" s="1"/>
  <c r="CA27" i="14" s="1"/>
  <c r="BK118" i="12"/>
  <c r="BJ118" i="12"/>
  <c r="BI118" i="12"/>
  <c r="BH118" i="12"/>
  <c r="BK117" i="12"/>
  <c r="BJ117" i="12"/>
  <c r="BI117" i="12"/>
  <c r="BH117" i="12"/>
  <c r="BL116" i="12"/>
  <c r="BQ117" i="12" s="1"/>
  <c r="BL101" i="12"/>
  <c r="BK101" i="12"/>
  <c r="BJ101" i="12"/>
  <c r="BI101" i="12"/>
  <c r="BH101" i="12"/>
  <c r="BL53" i="12"/>
  <c r="BL52" i="12"/>
  <c r="BL51" i="12"/>
  <c r="BL50" i="12"/>
  <c r="BL49" i="12"/>
  <c r="BK44" i="12"/>
  <c r="BJ44" i="12"/>
  <c r="BI44" i="12"/>
  <c r="BH44" i="12"/>
  <c r="BL43" i="12"/>
  <c r="BL42" i="12"/>
  <c r="BL41" i="12"/>
  <c r="BL40" i="12"/>
  <c r="BL39" i="12"/>
  <c r="E32" i="15" l="1"/>
  <c r="H32" i="15"/>
  <c r="I32" i="15" s="1"/>
  <c r="L32" i="15"/>
  <c r="BL46" i="13"/>
  <c r="BL66" i="13"/>
  <c r="BL44" i="12"/>
  <c r="BL11" i="13"/>
  <c r="BL16" i="13"/>
  <c r="BL9" i="13"/>
  <c r="BH120" i="12"/>
  <c r="BH151" i="12"/>
  <c r="BL67" i="12"/>
  <c r="BA140" i="12"/>
  <c r="AZ140" i="12"/>
  <c r="AY140" i="12"/>
  <c r="AX140" i="12"/>
  <c r="BA145" i="12"/>
  <c r="AZ145" i="12"/>
  <c r="AY145" i="12"/>
  <c r="AX145" i="12"/>
  <c r="BM13" i="12" l="1"/>
  <c r="BM120" i="12"/>
  <c r="BM151" i="12"/>
  <c r="BH128" i="12"/>
  <c r="BH102" i="12"/>
  <c r="BA10" i="12"/>
  <c r="BA6" i="12"/>
  <c r="BA85" i="12"/>
  <c r="BA84" i="12"/>
  <c r="BA103" i="12"/>
  <c r="BA78" i="13"/>
  <c r="BA9" i="13"/>
  <c r="BA8" i="13" s="1"/>
  <c r="BA77" i="13" s="1"/>
  <c r="BA49" i="12"/>
  <c r="BA55" i="12" s="1"/>
  <c r="BA31" i="12"/>
  <c r="BA29" i="12"/>
  <c r="BA27" i="12"/>
  <c r="BA20" i="12"/>
  <c r="BA18" i="12"/>
  <c r="AZ78" i="13"/>
  <c r="BN15" i="12" l="1"/>
  <c r="BR14" i="12"/>
  <c r="BW5" i="12"/>
  <c r="BW9" i="12"/>
  <c r="AL42" i="20"/>
  <c r="BM28" i="12"/>
  <c r="N21" i="35"/>
  <c r="BM102" i="12"/>
  <c r="BM30" i="12"/>
  <c r="BM32" i="12"/>
  <c r="BM66" i="14"/>
  <c r="BM65" i="14"/>
  <c r="BM64" i="14"/>
  <c r="BM63" i="14"/>
  <c r="BM62" i="14"/>
  <c r="BM59" i="14"/>
  <c r="BM56" i="14"/>
  <c r="BM69" i="14"/>
  <c r="BM68" i="14"/>
  <c r="BM67" i="14"/>
  <c r="BM58" i="14"/>
  <c r="BM57" i="14"/>
  <c r="BM70" i="14"/>
  <c r="BM55" i="14"/>
  <c r="BM54" i="14"/>
  <c r="BM12" i="12"/>
  <c r="BM8" i="12"/>
  <c r="BM22" i="12"/>
  <c r="BM14" i="12"/>
  <c r="AJ68" i="20" s="1"/>
  <c r="BA21" i="12"/>
  <c r="BA19" i="12"/>
  <c r="BA86" i="12"/>
  <c r="BA87" i="12" s="1"/>
  <c r="BH31" i="14"/>
  <c r="BW20" i="12" l="1"/>
  <c r="BW120" i="12"/>
  <c r="BW13" i="12"/>
  <c r="BW151" i="12"/>
  <c r="BW18" i="12"/>
  <c r="AL38" i="20"/>
  <c r="AL34" i="20" s="1"/>
  <c r="S21" i="35"/>
  <c r="BR128" i="12"/>
  <c r="BM33" i="12"/>
  <c r="BM23" i="12"/>
  <c r="BM128" i="12"/>
  <c r="BM129" i="12" s="1"/>
  <c r="BM31" i="14"/>
  <c r="BH35" i="12"/>
  <c r="Z13" i="33"/>
  <c r="BW8" i="12" l="1"/>
  <c r="BW34" i="14"/>
  <c r="BR129" i="12"/>
  <c r="BR130" i="12" s="1"/>
  <c r="BW28" i="14"/>
  <c r="BW8" i="14"/>
  <c r="BW11" i="14"/>
  <c r="BW24" i="14"/>
  <c r="BW16" i="14"/>
  <c r="BW25" i="14"/>
  <c r="BW26" i="14"/>
  <c r="X21" i="35"/>
  <c r="BW37" i="14"/>
  <c r="BW30" i="14"/>
  <c r="BW20" i="14"/>
  <c r="BW10" i="14"/>
  <c r="BW15" i="14"/>
  <c r="BW31" i="12"/>
  <c r="BW102" i="12"/>
  <c r="BW14" i="12"/>
  <c r="BW27" i="12"/>
  <c r="BW29" i="12"/>
  <c r="BW12" i="12"/>
  <c r="BW22" i="12"/>
  <c r="BW23" i="12" s="1"/>
  <c r="AL37" i="20"/>
  <c r="AM36" i="20"/>
  <c r="AQ35" i="20"/>
  <c r="AL35" i="20"/>
  <c r="AJ66" i="20" s="1"/>
  <c r="AQ39" i="20"/>
  <c r="AL39" i="20"/>
  <c r="AJ67" i="20" s="1"/>
  <c r="AM40" i="20"/>
  <c r="BM35" i="12"/>
  <c r="BM24" i="12"/>
  <c r="BH60" i="12"/>
  <c r="BH46" i="12"/>
  <c r="BH36" i="12"/>
  <c r="I31" i="35" s="1"/>
  <c r="AX103" i="12"/>
  <c r="AY103" i="12"/>
  <c r="X22" i="35"/>
  <c r="BW24" i="12" l="1"/>
  <c r="BW33" i="12"/>
  <c r="BW35" i="12" s="1"/>
  <c r="BW31" i="14"/>
  <c r="BW128" i="12"/>
  <c r="BW129" i="12" s="1"/>
  <c r="BW130" i="12" s="1"/>
  <c r="S31" i="35"/>
  <c r="BH62" i="12"/>
  <c r="BM46" i="12"/>
  <c r="BM60" i="12"/>
  <c r="BM62" i="12" s="1"/>
  <c r="BM36" i="12"/>
  <c r="N31" i="35" s="1"/>
  <c r="BH63" i="12"/>
  <c r="BH66" i="12"/>
  <c r="BH47" i="12"/>
  <c r="AZ85" i="12"/>
  <c r="AZ84" i="12"/>
  <c r="BW46" i="12" l="1"/>
  <c r="BW60" i="12"/>
  <c r="BW36" i="12"/>
  <c r="X31" i="35" s="1"/>
  <c r="BH57" i="12"/>
  <c r="BM66" i="12"/>
  <c r="BM47" i="12"/>
  <c r="AZ86" i="12"/>
  <c r="AZ87" i="12" s="1"/>
  <c r="BH71" i="12"/>
  <c r="BH68" i="12"/>
  <c r="BH64" i="12"/>
  <c r="Y21" i="20"/>
  <c r="Y15" i="20"/>
  <c r="Y5" i="20"/>
  <c r="AZ103" i="12"/>
  <c r="AZ49" i="12"/>
  <c r="AZ31" i="12"/>
  <c r="AZ29" i="12"/>
  <c r="AZ27" i="12"/>
  <c r="AZ20" i="12"/>
  <c r="AZ18" i="12"/>
  <c r="AZ9" i="13"/>
  <c r="AZ8" i="13" s="1"/>
  <c r="AZ77" i="13" s="1"/>
  <c r="AZ40" i="12"/>
  <c r="X32" i="35"/>
  <c r="BH6" i="13" l="1"/>
  <c r="BH76" i="12"/>
  <c r="D40" i="15"/>
  <c r="D43" i="15" s="1"/>
  <c r="BW61" i="12"/>
  <c r="BW63" i="12" s="1"/>
  <c r="BW47" i="12"/>
  <c r="BW66" i="12"/>
  <c r="BM63" i="12"/>
  <c r="BM64" i="12" s="1"/>
  <c r="BM71" i="12"/>
  <c r="BM76" i="12" s="1"/>
  <c r="BM68" i="12"/>
  <c r="Z8" i="20"/>
  <c r="AD6" i="20"/>
  <c r="Y8" i="20"/>
  <c r="AZ19" i="12"/>
  <c r="AZ21" i="12"/>
  <c r="BH72" i="12"/>
  <c r="U14" i="15"/>
  <c r="U23" i="15"/>
  <c r="U7" i="15"/>
  <c r="U6" i="15"/>
  <c r="U5" i="15"/>
  <c r="Y39" i="20"/>
  <c r="Y40" i="20"/>
  <c r="Y35" i="20"/>
  <c r="AE21" i="20"/>
  <c r="AJ22" i="20" s="1"/>
  <c r="AD21" i="20"/>
  <c r="AI22" i="20" s="1"/>
  <c r="AH22" i="20"/>
  <c r="AB21" i="20"/>
  <c r="Z21" i="20"/>
  <c r="AE19" i="20"/>
  <c r="AD19" i="20"/>
  <c r="AB19" i="20"/>
  <c r="Z19" i="20"/>
  <c r="Y19" i="20"/>
  <c r="AE20" i="20"/>
  <c r="AD20" i="20"/>
  <c r="AB20" i="20"/>
  <c r="Z20" i="20"/>
  <c r="Y20" i="20"/>
  <c r="AE14" i="20"/>
  <c r="AD14" i="20"/>
  <c r="AB14" i="20"/>
  <c r="Z14" i="20"/>
  <c r="Y14" i="20"/>
  <c r="AE15" i="20"/>
  <c r="AJ16" i="20" s="1"/>
  <c r="AI16" i="20"/>
  <c r="AB15" i="20"/>
  <c r="Z15" i="20"/>
  <c r="AE12" i="20"/>
  <c r="AD12" i="20"/>
  <c r="AB12" i="20"/>
  <c r="Z12" i="20"/>
  <c r="Y12" i="20"/>
  <c r="AE8" i="20"/>
  <c r="AJ9" i="20" s="1"/>
  <c r="AI9" i="20"/>
  <c r="AH9" i="20"/>
  <c r="AG9" i="20"/>
  <c r="AE6" i="20"/>
  <c r="AB6" i="20"/>
  <c r="Z6" i="20"/>
  <c r="Y6" i="20"/>
  <c r="X6" i="20"/>
  <c r="W6" i="20"/>
  <c r="AE7" i="20"/>
  <c r="AD7" i="20"/>
  <c r="AB7" i="20"/>
  <c r="Z7" i="20"/>
  <c r="Y7" i="20"/>
  <c r="X7" i="20"/>
  <c r="W7" i="20"/>
  <c r="X40" i="20"/>
  <c r="W40" i="20"/>
  <c r="U40" i="20"/>
  <c r="T40" i="20"/>
  <c r="S40" i="20"/>
  <c r="O40" i="20"/>
  <c r="N40" i="20"/>
  <c r="W35" i="20"/>
  <c r="T35" i="20"/>
  <c r="S35" i="20"/>
  <c r="R35" i="20"/>
  <c r="Q35" i="20"/>
  <c r="O35" i="20"/>
  <c r="N35" i="20"/>
  <c r="M35" i="20"/>
  <c r="X19" i="20"/>
  <c r="W19" i="20"/>
  <c r="U19" i="20"/>
  <c r="T19" i="20"/>
  <c r="S19" i="20"/>
  <c r="R19" i="20"/>
  <c r="P19" i="20"/>
  <c r="O19" i="20"/>
  <c r="N19" i="20"/>
  <c r="M19" i="20"/>
  <c r="X20" i="20"/>
  <c r="W20" i="20"/>
  <c r="U20" i="20"/>
  <c r="T20" i="20"/>
  <c r="S20" i="20"/>
  <c r="R20" i="20"/>
  <c r="P20" i="20"/>
  <c r="O20" i="20"/>
  <c r="N20" i="20"/>
  <c r="M20" i="20"/>
  <c r="K20" i="20"/>
  <c r="J20" i="20"/>
  <c r="I20" i="20"/>
  <c r="X15" i="20"/>
  <c r="AC16" i="20" s="1"/>
  <c r="W15" i="20"/>
  <c r="U15" i="20"/>
  <c r="T15" i="20"/>
  <c r="S15" i="20"/>
  <c r="R15" i="20"/>
  <c r="P15" i="20"/>
  <c r="O15" i="20"/>
  <c r="N15" i="20"/>
  <c r="M15" i="20"/>
  <c r="H15" i="20"/>
  <c r="X14" i="20"/>
  <c r="W14" i="20"/>
  <c r="U14" i="20"/>
  <c r="T14" i="20"/>
  <c r="S14" i="20"/>
  <c r="R14" i="20"/>
  <c r="P14" i="20"/>
  <c r="O14" i="20"/>
  <c r="N14" i="20"/>
  <c r="M14" i="20"/>
  <c r="K14" i="20"/>
  <c r="J14" i="20"/>
  <c r="I14" i="20"/>
  <c r="H14" i="20"/>
  <c r="X12" i="20"/>
  <c r="W12" i="20"/>
  <c r="U12" i="20"/>
  <c r="T12" i="20"/>
  <c r="S12" i="20"/>
  <c r="R12" i="20"/>
  <c r="P12" i="20"/>
  <c r="O12" i="20"/>
  <c r="N12" i="20"/>
  <c r="M12" i="20"/>
  <c r="U6" i="20"/>
  <c r="T6" i="20"/>
  <c r="S6" i="20"/>
  <c r="R6" i="20"/>
  <c r="P6" i="20"/>
  <c r="O6" i="20"/>
  <c r="N6" i="20"/>
  <c r="M6" i="20"/>
  <c r="X8" i="20"/>
  <c r="AC9" i="20" s="1"/>
  <c r="W8" i="20"/>
  <c r="U8" i="20"/>
  <c r="T8" i="20"/>
  <c r="S8" i="20"/>
  <c r="R8" i="20"/>
  <c r="P8" i="20"/>
  <c r="O8" i="20"/>
  <c r="N8" i="20"/>
  <c r="M8" i="20"/>
  <c r="H8" i="20"/>
  <c r="I8" i="20"/>
  <c r="U7" i="20"/>
  <c r="T7" i="20"/>
  <c r="S7" i="20"/>
  <c r="R7" i="20"/>
  <c r="P7" i="20"/>
  <c r="O7" i="20"/>
  <c r="N7" i="20"/>
  <c r="M7" i="20"/>
  <c r="H7" i="20"/>
  <c r="AY85" i="12"/>
  <c r="AX85" i="12"/>
  <c r="AV85" i="12"/>
  <c r="AW85" i="12" s="1"/>
  <c r="AU85" i="12"/>
  <c r="AT85" i="12"/>
  <c r="AS85" i="12"/>
  <c r="AQ85" i="12"/>
  <c r="AR85" i="12" s="1"/>
  <c r="AP85" i="12"/>
  <c r="AO85" i="12"/>
  <c r="AN85" i="12"/>
  <c r="AL85" i="12"/>
  <c r="AM85" i="12" s="1"/>
  <c r="AK85" i="12"/>
  <c r="AJ85" i="12"/>
  <c r="AI85" i="12"/>
  <c r="AG85" i="12"/>
  <c r="AH85" i="12" s="1"/>
  <c r="BG65" i="13"/>
  <c r="BG53" i="13"/>
  <c r="BG52" i="13"/>
  <c r="BB65" i="13"/>
  <c r="BB64" i="13"/>
  <c r="BB63" i="13"/>
  <c r="BB62" i="13"/>
  <c r="BB61" i="13"/>
  <c r="BB60" i="13"/>
  <c r="BB58" i="13"/>
  <c r="BB56" i="13"/>
  <c r="BB55" i="13"/>
  <c r="BB54" i="13"/>
  <c r="BB53" i="13"/>
  <c r="BB52" i="13"/>
  <c r="AH65" i="13"/>
  <c r="AH64" i="13"/>
  <c r="AH63" i="13"/>
  <c r="AH62" i="13"/>
  <c r="AH61" i="13"/>
  <c r="AH60" i="13"/>
  <c r="AH58" i="13"/>
  <c r="AH56" i="13"/>
  <c r="AH55" i="13"/>
  <c r="AH54" i="13"/>
  <c r="AH53" i="13"/>
  <c r="AH52" i="13"/>
  <c r="AM65" i="13"/>
  <c r="AM64" i="13"/>
  <c r="AM63" i="13"/>
  <c r="AM62" i="13"/>
  <c r="AM61" i="13"/>
  <c r="AM60" i="13"/>
  <c r="AM58" i="13"/>
  <c r="AM56" i="13"/>
  <c r="AM55" i="13"/>
  <c r="AM54" i="13"/>
  <c r="AM53" i="13"/>
  <c r="AM52" i="13"/>
  <c r="AR65" i="13"/>
  <c r="AR64" i="13"/>
  <c r="AR63" i="13"/>
  <c r="AR62" i="13"/>
  <c r="AR61" i="13"/>
  <c r="AR60" i="13"/>
  <c r="AR58" i="13"/>
  <c r="AR56" i="13"/>
  <c r="AR55" i="13"/>
  <c r="AR54" i="13"/>
  <c r="AR53" i="13"/>
  <c r="AR52" i="13"/>
  <c r="BG45" i="13"/>
  <c r="BG44" i="13"/>
  <c r="BG43" i="13"/>
  <c r="BG42" i="13"/>
  <c r="BG41" i="13"/>
  <c r="BG40" i="13"/>
  <c r="BG39" i="13"/>
  <c r="BG38" i="13"/>
  <c r="BG37" i="13"/>
  <c r="BB45" i="13"/>
  <c r="BB44" i="13"/>
  <c r="BB43" i="13"/>
  <c r="BB42" i="13"/>
  <c r="BB41" i="13"/>
  <c r="BB40" i="13"/>
  <c r="BB39" i="13"/>
  <c r="BB38" i="13"/>
  <c r="BB37" i="13"/>
  <c r="AH45" i="13"/>
  <c r="AH44" i="13"/>
  <c r="AH43" i="13"/>
  <c r="AH42" i="13"/>
  <c r="AH41" i="13"/>
  <c r="AH40" i="13"/>
  <c r="AH39" i="13"/>
  <c r="AH38" i="13"/>
  <c r="AH37" i="13"/>
  <c r="AM45" i="13"/>
  <c r="AM44" i="13"/>
  <c r="AM43" i="13"/>
  <c r="AM42" i="13"/>
  <c r="AM41" i="13"/>
  <c r="AM40" i="13"/>
  <c r="AM39" i="13"/>
  <c r="AM38" i="13"/>
  <c r="AM37" i="13"/>
  <c r="AR45" i="13"/>
  <c r="AR44" i="13"/>
  <c r="AR43" i="13"/>
  <c r="AR42" i="13"/>
  <c r="AR41" i="13"/>
  <c r="AR40" i="13"/>
  <c r="AR39" i="13"/>
  <c r="AR38" i="13"/>
  <c r="AR37" i="13"/>
  <c r="BG31" i="13"/>
  <c r="BB31" i="13"/>
  <c r="AH32" i="13"/>
  <c r="AH31" i="13"/>
  <c r="AH30" i="13"/>
  <c r="AH29" i="13"/>
  <c r="AH27" i="13"/>
  <c r="AH26" i="13"/>
  <c r="AH25" i="13"/>
  <c r="AH24" i="13"/>
  <c r="AH23" i="13"/>
  <c r="AH22" i="13"/>
  <c r="AM32" i="13"/>
  <c r="AM31" i="13"/>
  <c r="AM30" i="13"/>
  <c r="AM29" i="13"/>
  <c r="AM27" i="13"/>
  <c r="AM26" i="13"/>
  <c r="AM25" i="13"/>
  <c r="AM24" i="13"/>
  <c r="AM23" i="13"/>
  <c r="AM22" i="13"/>
  <c r="AR32" i="13"/>
  <c r="AR31" i="13"/>
  <c r="AR29" i="13"/>
  <c r="AR27" i="13"/>
  <c r="AR26" i="13"/>
  <c r="AR25" i="13"/>
  <c r="AR24" i="13"/>
  <c r="AR23" i="13"/>
  <c r="AR22" i="13"/>
  <c r="BG20" i="13"/>
  <c r="BG18" i="13"/>
  <c r="BG17" i="13"/>
  <c r="BG15" i="13"/>
  <c r="BG14" i="13"/>
  <c r="BG13" i="13"/>
  <c r="BG12" i="13"/>
  <c r="BG10" i="13"/>
  <c r="BB20" i="13"/>
  <c r="BB18" i="13"/>
  <c r="BB17" i="13"/>
  <c r="BB15" i="13"/>
  <c r="BB14" i="13"/>
  <c r="BB13" i="13"/>
  <c r="BB12" i="13"/>
  <c r="BB10" i="13"/>
  <c r="AH20" i="13"/>
  <c r="AH19" i="13"/>
  <c r="AH18" i="13"/>
  <c r="AH17" i="13"/>
  <c r="AH16" i="13"/>
  <c r="AH15" i="13"/>
  <c r="AH14" i="13"/>
  <c r="AH13" i="13"/>
  <c r="AH12" i="13"/>
  <c r="AH11" i="13"/>
  <c r="AH10" i="13"/>
  <c r="AH7" i="13"/>
  <c r="AM20" i="13"/>
  <c r="AM19" i="13"/>
  <c r="AM18" i="13"/>
  <c r="AM17" i="13"/>
  <c r="AM16" i="13"/>
  <c r="AM15" i="13"/>
  <c r="AM14" i="13"/>
  <c r="AM13" i="13"/>
  <c r="AM12" i="13"/>
  <c r="AM11" i="13"/>
  <c r="AM10" i="13"/>
  <c r="AM7" i="13"/>
  <c r="AR20" i="13"/>
  <c r="AR19" i="13"/>
  <c r="AR18" i="13"/>
  <c r="AR17" i="13"/>
  <c r="AR16" i="13"/>
  <c r="AR15" i="13"/>
  <c r="AR14" i="13"/>
  <c r="AR13" i="13"/>
  <c r="AR12" i="13"/>
  <c r="AR11" i="13"/>
  <c r="AR10" i="13"/>
  <c r="AR7" i="13"/>
  <c r="AW20" i="13"/>
  <c r="AW19" i="13"/>
  <c r="AW18" i="13"/>
  <c r="AW17" i="13"/>
  <c r="AW15" i="13"/>
  <c r="AW14" i="13"/>
  <c r="AW13" i="13"/>
  <c r="AW12" i="13"/>
  <c r="AW11" i="13"/>
  <c r="AW10" i="13"/>
  <c r="BG35" i="14"/>
  <c r="BG29" i="14"/>
  <c r="BG27" i="14"/>
  <c r="BB35" i="14"/>
  <c r="BB29" i="14"/>
  <c r="BB27" i="14"/>
  <c r="AW37" i="14"/>
  <c r="AW36" i="14"/>
  <c r="AW35" i="14"/>
  <c r="AW34" i="14"/>
  <c r="AW33" i="14"/>
  <c r="AW32" i="14"/>
  <c r="AW30" i="14"/>
  <c r="AW29" i="14"/>
  <c r="AW28" i="14"/>
  <c r="AW27" i="14"/>
  <c r="AW26" i="14"/>
  <c r="AW25" i="14"/>
  <c r="AW24" i="14"/>
  <c r="AR30" i="14"/>
  <c r="AR29" i="14"/>
  <c r="AR28" i="14"/>
  <c r="AR27" i="14"/>
  <c r="AR26" i="14"/>
  <c r="AR25" i="14"/>
  <c r="V8" i="20" l="1"/>
  <c r="BW64" i="12"/>
  <c r="BW74" i="12"/>
  <c r="BW68" i="12"/>
  <c r="BW71" i="12"/>
  <c r="BW76" i="12" s="1"/>
  <c r="Q15" i="20"/>
  <c r="V15" i="20"/>
  <c r="Q8" i="20"/>
  <c r="BM72" i="12"/>
  <c r="AW31" i="14"/>
  <c r="AW38" i="14" s="1"/>
  <c r="BG66" i="13"/>
  <c r="Z16" i="20"/>
  <c r="AH46" i="13"/>
  <c r="AE9" i="20"/>
  <c r="AD9" i="20"/>
  <c r="AR66" i="13"/>
  <c r="AH66" i="13"/>
  <c r="AR46" i="13"/>
  <c r="AM46" i="13"/>
  <c r="AM66" i="13"/>
  <c r="AG22" i="20"/>
  <c r="AB16" i="20"/>
  <c r="AG16" i="20"/>
  <c r="AH16" i="20"/>
  <c r="AB9" i="20"/>
  <c r="BG46" i="13"/>
  <c r="AD22" i="20"/>
  <c r="AE22" i="20"/>
  <c r="Z9" i="20"/>
  <c r="Y9" i="20"/>
  <c r="BB66" i="13"/>
  <c r="BB46" i="13"/>
  <c r="AD16" i="20"/>
  <c r="AE16" i="20"/>
  <c r="Y16" i="20"/>
  <c r="R16" i="20"/>
  <c r="X16" i="20"/>
  <c r="M16" i="20"/>
  <c r="S16" i="20"/>
  <c r="U16" i="20"/>
  <c r="W16" i="20"/>
  <c r="W9" i="20"/>
  <c r="T16" i="20"/>
  <c r="X9" i="20"/>
  <c r="W16" i="35"/>
  <c r="V16" i="35"/>
  <c r="U16" i="35"/>
  <c r="T16" i="35"/>
  <c r="S16" i="35"/>
  <c r="R16" i="35"/>
  <c r="Q16" i="35"/>
  <c r="P16" i="35"/>
  <c r="O16" i="35"/>
  <c r="N16" i="35"/>
  <c r="M16" i="35"/>
  <c r="L16" i="35"/>
  <c r="K16" i="35"/>
  <c r="J16" i="35"/>
  <c r="I16" i="35"/>
  <c r="H16" i="35"/>
  <c r="G16" i="35"/>
  <c r="F16" i="35"/>
  <c r="E16" i="35"/>
  <c r="D16" i="35"/>
  <c r="BW6" i="13" l="1"/>
  <c r="BW72" i="12"/>
  <c r="X23" i="35"/>
  <c r="V16" i="20"/>
  <c r="V9" i="20"/>
  <c r="F18" i="35"/>
  <c r="J18" i="35"/>
  <c r="N18" i="35"/>
  <c r="R18" i="35"/>
  <c r="V18" i="35"/>
  <c r="F20" i="35"/>
  <c r="J20" i="35"/>
  <c r="N20" i="35"/>
  <c r="V20" i="35"/>
  <c r="W20" i="35" s="1"/>
  <c r="G18" i="35"/>
  <c r="K18" i="35"/>
  <c r="O18" i="35"/>
  <c r="S18" i="35"/>
  <c r="W18" i="35"/>
  <c r="G20" i="35"/>
  <c r="H20" i="35" s="1"/>
  <c r="K20" i="35"/>
  <c r="O20" i="35"/>
  <c r="S20" i="35"/>
  <c r="D18" i="35"/>
  <c r="H18" i="35"/>
  <c r="L18" i="35"/>
  <c r="P18" i="35"/>
  <c r="T18" i="35"/>
  <c r="D20" i="35"/>
  <c r="L20" i="35"/>
  <c r="M20" i="35" s="1"/>
  <c r="P20" i="35"/>
  <c r="T20" i="35"/>
  <c r="E18" i="35"/>
  <c r="I18" i="35"/>
  <c r="M18" i="35"/>
  <c r="Q18" i="35"/>
  <c r="U18" i="35"/>
  <c r="E20" i="35"/>
  <c r="I20" i="35"/>
  <c r="Q20" i="35"/>
  <c r="R20" i="35" s="1"/>
  <c r="U20" i="35"/>
  <c r="F28" i="35"/>
  <c r="L28" i="35"/>
  <c r="R26" i="35"/>
  <c r="P36" i="35"/>
  <c r="I28" i="35"/>
  <c r="H26" i="35"/>
  <c r="T30" i="35"/>
  <c r="F34" i="35"/>
  <c r="Q34" i="35"/>
  <c r="V26" i="35"/>
  <c r="T26" i="35"/>
  <c r="W30" i="35"/>
  <c r="I26" i="35"/>
  <c r="D34" i="35"/>
  <c r="V34" i="35"/>
  <c r="F30" i="35"/>
  <c r="L26" i="35"/>
  <c r="H30" i="35"/>
  <c r="G34" i="35"/>
  <c r="O26" i="35"/>
  <c r="I30" i="35"/>
  <c r="D30" i="35"/>
  <c r="N34" i="35"/>
  <c r="J22" i="35"/>
  <c r="N30" i="35"/>
  <c r="P28" i="35"/>
  <c r="S36" i="35"/>
  <c r="M28" i="35"/>
  <c r="P30" i="35"/>
  <c r="M30" i="35"/>
  <c r="F22" i="35"/>
  <c r="R30" i="35"/>
  <c r="E28" i="35"/>
  <c r="G30" i="35"/>
  <c r="O36" i="35"/>
  <c r="P26" i="35"/>
  <c r="P34" i="35"/>
  <c r="D26" i="35"/>
  <c r="K30" i="35"/>
  <c r="S28" i="35"/>
  <c r="D28" i="35"/>
  <c r="S22" i="35"/>
  <c r="N26" i="35"/>
  <c r="W36" i="35"/>
  <c r="H28" i="35"/>
  <c r="U26" i="35"/>
  <c r="U34" i="35"/>
  <c r="F26" i="35"/>
  <c r="L34" i="35"/>
  <c r="R36" i="35"/>
  <c r="N36" i="35"/>
  <c r="D36" i="35"/>
  <c r="J34" i="35"/>
  <c r="I22" i="35"/>
  <c r="M36" i="35"/>
  <c r="Q30" i="35"/>
  <c r="V36" i="35"/>
  <c r="N32" i="35"/>
  <c r="W28" i="35"/>
  <c r="I34" i="35"/>
  <c r="K28" i="35"/>
  <c r="H36" i="35"/>
  <c r="F36" i="35"/>
  <c r="E30" i="35"/>
  <c r="S34" i="35"/>
  <c r="V28" i="35"/>
  <c r="T28" i="35"/>
  <c r="W34" i="35"/>
  <c r="K26" i="35"/>
  <c r="M26" i="35"/>
  <c r="O34" i="35"/>
  <c r="S32" i="35"/>
  <c r="Q26" i="35"/>
  <c r="W26" i="35"/>
  <c r="T36" i="35"/>
  <c r="R28" i="35"/>
  <c r="G28" i="35"/>
  <c r="U30" i="35"/>
  <c r="E34" i="35"/>
  <c r="J30" i="35"/>
  <c r="I36" i="35"/>
  <c r="G26" i="35"/>
  <c r="J36" i="35"/>
  <c r="Q36" i="35"/>
  <c r="O28" i="35"/>
  <c r="R34" i="35"/>
  <c r="U28" i="35"/>
  <c r="J26" i="35"/>
  <c r="F32" i="35"/>
  <c r="M34" i="35"/>
  <c r="N28" i="35"/>
  <c r="S26" i="35"/>
  <c r="L36" i="35"/>
  <c r="E26" i="35"/>
  <c r="N22" i="35"/>
  <c r="U36" i="35"/>
  <c r="Q28" i="35"/>
  <c r="K36" i="35"/>
  <c r="H34" i="35"/>
  <c r="E36" i="35"/>
  <c r="I32" i="35"/>
  <c r="T34" i="35"/>
  <c r="S30" i="35"/>
  <c r="G36" i="35"/>
  <c r="L30" i="35"/>
  <c r="K34" i="35"/>
  <c r="O30" i="35"/>
  <c r="V30" i="35"/>
  <c r="J28" i="35"/>
  <c r="X24" i="35"/>
  <c r="AY53" i="12" l="1"/>
  <c r="AY49" i="12"/>
  <c r="AY84" i="12"/>
  <c r="AY78" i="13"/>
  <c r="AY9" i="13"/>
  <c r="AY8" i="13" s="1"/>
  <c r="AY77" i="13" s="1"/>
  <c r="AY31" i="12"/>
  <c r="AY29" i="12"/>
  <c r="AY27" i="12"/>
  <c r="AY20" i="12"/>
  <c r="AY18" i="12"/>
  <c r="U21" i="20"/>
  <c r="Z22" i="20" s="1"/>
  <c r="T21" i="20"/>
  <c r="Y22" i="20" s="1"/>
  <c r="V38" i="20"/>
  <c r="V34" i="20"/>
  <c r="W42" i="20"/>
  <c r="W39" i="20"/>
  <c r="AY19" i="12" l="1"/>
  <c r="AY21" i="12"/>
  <c r="AY86" i="12"/>
  <c r="AY87" i="12" s="1"/>
  <c r="V35" i="20"/>
  <c r="W41" i="20"/>
  <c r="W37" i="20"/>
  <c r="B2" i="15"/>
  <c r="B2" i="20" s="1"/>
  <c r="AW31" i="13" l="1"/>
  <c r="O21" i="33"/>
  <c r="AG84" i="12"/>
  <c r="AF84" i="12"/>
  <c r="AF86" i="12" s="1"/>
  <c r="AF87" i="12" s="1"/>
  <c r="AE84" i="12"/>
  <c r="AE86" i="12" s="1"/>
  <c r="AE87" i="12" s="1"/>
  <c r="AD84" i="12"/>
  <c r="AD86" i="12" s="1"/>
  <c r="AD87" i="12" s="1"/>
  <c r="AL84" i="12"/>
  <c r="AK84" i="12"/>
  <c r="AJ84" i="12"/>
  <c r="AJ86" i="12" s="1"/>
  <c r="AJ87" i="12" s="1"/>
  <c r="AI84" i="12"/>
  <c r="AI86" i="12" s="1"/>
  <c r="AI87" i="12" s="1"/>
  <c r="AQ84" i="12"/>
  <c r="AP84" i="12"/>
  <c r="AO84" i="12"/>
  <c r="AN84" i="12"/>
  <c r="AX84" i="12"/>
  <c r="AV84" i="12"/>
  <c r="AU84" i="12"/>
  <c r="AU86" i="12" s="1"/>
  <c r="AT84" i="12"/>
  <c r="AT86" i="12" s="1"/>
  <c r="AS84" i="12"/>
  <c r="AS86" i="12" s="1"/>
  <c r="T25" i="34"/>
  <c r="AQ86" i="12" l="1"/>
  <c r="AR86" i="12" s="1"/>
  <c r="AH84" i="12"/>
  <c r="AG86" i="12"/>
  <c r="AO86" i="12"/>
  <c r="AO87" i="12" s="1"/>
  <c r="AP86" i="12"/>
  <c r="AP87" i="12" s="1"/>
  <c r="AK86" i="12"/>
  <c r="AK87" i="12" s="1"/>
  <c r="AN86" i="12"/>
  <c r="AN87" i="12" s="1"/>
  <c r="AW84" i="12"/>
  <c r="AV86" i="12"/>
  <c r="AW86" i="12" s="1"/>
  <c r="AX86" i="12"/>
  <c r="AX87" i="12" s="1"/>
  <c r="AM84" i="12"/>
  <c r="AL86" i="12"/>
  <c r="AR84" i="12"/>
  <c r="M26" i="34"/>
  <c r="I19" i="34"/>
  <c r="H19" i="34"/>
  <c r="G19" i="34"/>
  <c r="F19" i="34"/>
  <c r="E19" i="34"/>
  <c r="I18" i="34"/>
  <c r="H18" i="34"/>
  <c r="G18" i="34"/>
  <c r="F18" i="34"/>
  <c r="E18" i="34"/>
  <c r="I17" i="34"/>
  <c r="H17" i="34"/>
  <c r="G17" i="34"/>
  <c r="F17" i="34"/>
  <c r="E17" i="34"/>
  <c r="I16" i="34"/>
  <c r="H16" i="34"/>
  <c r="G16" i="34"/>
  <c r="F16" i="34"/>
  <c r="E16" i="34"/>
  <c r="I15" i="34"/>
  <c r="H15" i="34"/>
  <c r="G15" i="34"/>
  <c r="F15" i="34"/>
  <c r="E15" i="34"/>
  <c r="D15" i="34"/>
  <c r="E14" i="34"/>
  <c r="D7" i="34"/>
  <c r="D8" i="34" s="1"/>
  <c r="F5" i="34"/>
  <c r="F14" i="34" s="1"/>
  <c r="C7" i="33"/>
  <c r="O5" i="33"/>
  <c r="T5" i="33" s="1"/>
  <c r="Y5" i="33" s="1"/>
  <c r="AQ87" i="12" l="1"/>
  <c r="AR87" i="12" s="1"/>
  <c r="AG87" i="12"/>
  <c r="AH87" i="12" s="1"/>
  <c r="AH86" i="12"/>
  <c r="AM86" i="12"/>
  <c r="AL87" i="12"/>
  <c r="AM87" i="12" s="1"/>
  <c r="G5" i="34"/>
  <c r="G14" i="34" s="1"/>
  <c r="D9" i="34"/>
  <c r="D18" i="34" s="1"/>
  <c r="D17" i="34"/>
  <c r="D16" i="34"/>
  <c r="N26" i="34"/>
  <c r="D10" i="34" l="1"/>
  <c r="D19" i="34" s="1"/>
  <c r="H5" i="34"/>
  <c r="H14" i="34" s="1"/>
  <c r="I5" i="34" l="1"/>
  <c r="I14" i="34" s="1"/>
  <c r="AV140" i="12" l="1"/>
  <c r="AQ145" i="12"/>
  <c r="AV145" i="12"/>
  <c r="AT140" i="12"/>
  <c r="AS140" i="12"/>
  <c r="AU140" i="12"/>
  <c r="AN145" i="12"/>
  <c r="AO145" i="12"/>
  <c r="AP145" i="12"/>
  <c r="AS145" i="12"/>
  <c r="AX146" i="12" s="1"/>
  <c r="AT145" i="12"/>
  <c r="AY146" i="12" s="1"/>
  <c r="AU145" i="12"/>
  <c r="AU146" i="12" l="1"/>
  <c r="AZ146" i="12"/>
  <c r="AV146" i="12"/>
  <c r="BA146" i="12"/>
  <c r="AT146" i="12"/>
  <c r="AS146" i="12"/>
  <c r="BF55" i="12"/>
  <c r="F32" i="15" s="1"/>
  <c r="AZ55" i="12"/>
  <c r="AY55" i="12"/>
  <c r="BF54" i="12"/>
  <c r="BA54" i="12"/>
  <c r="AZ54" i="12"/>
  <c r="AY54" i="12"/>
  <c r="AX49" i="12"/>
  <c r="AX53" i="12"/>
  <c r="AX54" i="12" l="1"/>
  <c r="AX55" i="12"/>
  <c r="BG51" i="12"/>
  <c r="AW51" i="12"/>
  <c r="AX78" i="13"/>
  <c r="BG53" i="12"/>
  <c r="BG52" i="12"/>
  <c r="BG50" i="12"/>
  <c r="BG49" i="12"/>
  <c r="BB52" i="12"/>
  <c r="BB51" i="12"/>
  <c r="AX31" i="12"/>
  <c r="AX29" i="12"/>
  <c r="AX27" i="12"/>
  <c r="AX6" i="12"/>
  <c r="AX20" i="12"/>
  <c r="AX21" i="12" s="1"/>
  <c r="AX18" i="12"/>
  <c r="AX19" i="12" s="1"/>
  <c r="X39" i="20"/>
  <c r="X21" i="20"/>
  <c r="AC22" i="20" s="1"/>
  <c r="W21" i="20"/>
  <c r="AB22" i="20" s="1"/>
  <c r="Z31" i="20"/>
  <c r="Y31" i="20"/>
  <c r="X31" i="20"/>
  <c r="W31" i="20"/>
  <c r="Z29" i="20"/>
  <c r="Y29" i="20"/>
  <c r="X29" i="20"/>
  <c r="W29" i="20"/>
  <c r="X27" i="20"/>
  <c r="W27" i="20"/>
  <c r="Z56" i="20"/>
  <c r="Y56" i="20"/>
  <c r="X56" i="20"/>
  <c r="W56" i="20"/>
  <c r="Z53" i="20"/>
  <c r="Y53" i="20"/>
  <c r="X53" i="20"/>
  <c r="W53" i="20"/>
  <c r="Z50" i="20"/>
  <c r="Y50" i="20"/>
  <c r="X50" i="20"/>
  <c r="W50" i="20"/>
  <c r="Z49" i="20"/>
  <c r="Y49" i="20"/>
  <c r="X49" i="20"/>
  <c r="W49" i="20"/>
  <c r="BG54" i="12" l="1"/>
  <c r="BG55" i="12"/>
  <c r="V24" i="15" l="1"/>
  <c r="R24" i="15"/>
  <c r="P24" i="15"/>
  <c r="V15" i="15"/>
  <c r="R15" i="15"/>
  <c r="P15" i="15"/>
  <c r="BG68" i="13" l="1"/>
  <c r="BF66" i="13"/>
  <c r="BD66" i="13"/>
  <c r="BC66" i="13"/>
  <c r="BF46" i="13"/>
  <c r="BE46" i="13"/>
  <c r="BD46" i="13"/>
  <c r="BC46" i="13"/>
  <c r="BG21" i="13"/>
  <c r="BF9" i="13"/>
  <c r="BF8" i="13" s="1"/>
  <c r="BF77" i="13" s="1"/>
  <c r="AV78" i="13"/>
  <c r="BF118" i="12"/>
  <c r="BE118" i="12"/>
  <c r="BF117" i="12"/>
  <c r="BE117" i="12"/>
  <c r="BD117" i="12"/>
  <c r="U29" i="31" s="1"/>
  <c r="BC117" i="12"/>
  <c r="T29" i="31" s="1"/>
  <c r="BL117" i="12"/>
  <c r="BG101" i="12"/>
  <c r="BF101" i="12"/>
  <c r="BE101" i="12"/>
  <c r="BD101" i="12"/>
  <c r="BC101" i="12"/>
  <c r="BG43" i="12"/>
  <c r="BG42" i="12"/>
  <c r="BF44" i="12"/>
  <c r="BD44" i="12"/>
  <c r="BC44" i="12"/>
  <c r="BG40" i="12"/>
  <c r="BG39" i="12"/>
  <c r="BG16" i="13" l="1"/>
  <c r="BG9" i="13"/>
  <c r="BG11" i="13"/>
  <c r="BC13" i="12"/>
  <c r="D21" i="35" s="1"/>
  <c r="BG67" i="12"/>
  <c r="BC120" i="12"/>
  <c r="BC151" i="12"/>
  <c r="BG41" i="12"/>
  <c r="BG44" i="12" s="1"/>
  <c r="AW52" i="12"/>
  <c r="D22" i="35"/>
  <c r="BH14" i="12" l="1"/>
  <c r="AF68" i="20" s="1"/>
  <c r="AB42" i="20"/>
  <c r="AB41" i="20" s="1"/>
  <c r="BC67" i="14"/>
  <c r="BC57" i="14"/>
  <c r="BC55" i="14"/>
  <c r="BC66" i="14"/>
  <c r="BC56" i="14"/>
  <c r="BC65" i="14"/>
  <c r="BC64" i="14"/>
  <c r="BC54" i="14"/>
  <c r="BC59" i="14"/>
  <c r="BC63" i="14"/>
  <c r="BC69" i="14"/>
  <c r="BC58" i="14"/>
  <c r="BC70" i="14"/>
  <c r="BC62" i="14"/>
  <c r="BC68" i="14"/>
  <c r="BC28" i="12"/>
  <c r="BC32" i="12"/>
  <c r="BC30" i="12"/>
  <c r="BC22" i="12"/>
  <c r="BC23" i="12" s="1"/>
  <c r="BC8" i="12"/>
  <c r="BC102" i="12"/>
  <c r="BC12" i="12"/>
  <c r="AV104" i="12"/>
  <c r="AV6" i="12"/>
  <c r="C22" i="33" l="1"/>
  <c r="BC33" i="12"/>
  <c r="BC35" i="12" s="1"/>
  <c r="BC60" i="12" s="1"/>
  <c r="BC31" i="14"/>
  <c r="BC128" i="12"/>
  <c r="BH129" i="12" s="1"/>
  <c r="BM130" i="12" s="1"/>
  <c r="BC24" i="12"/>
  <c r="AV87" i="12"/>
  <c r="AW87" i="12" s="1"/>
  <c r="AV61" i="12"/>
  <c r="AV53" i="12"/>
  <c r="AV49" i="12"/>
  <c r="AV18" i="12"/>
  <c r="AV19" i="12" s="1"/>
  <c r="AV20" i="12"/>
  <c r="AV21" i="12" s="1"/>
  <c r="AW39" i="13"/>
  <c r="AW61" i="13"/>
  <c r="AW60" i="13"/>
  <c r="AW44" i="13"/>
  <c r="AW42" i="13"/>
  <c r="AW43" i="13"/>
  <c r="AW41" i="13"/>
  <c r="AW38" i="13"/>
  <c r="AW54" i="13"/>
  <c r="AW55" i="13"/>
  <c r="AW56" i="13"/>
  <c r="AW58" i="13"/>
  <c r="AW62" i="13"/>
  <c r="AW63" i="13"/>
  <c r="AW64" i="13"/>
  <c r="AV40" i="12"/>
  <c r="AB34" i="20" l="1"/>
  <c r="AG39" i="20"/>
  <c r="AF67" i="20" s="1"/>
  <c r="AB39" i="20"/>
  <c r="AB67" i="20" s="1"/>
  <c r="Z22" i="33"/>
  <c r="Q31" i="34"/>
  <c r="T26" i="34"/>
  <c r="T29" i="34" s="1"/>
  <c r="C23" i="33"/>
  <c r="BG80" i="12"/>
  <c r="Y22" i="33" s="1"/>
  <c r="Y23" i="33" s="1"/>
  <c r="AV55" i="12"/>
  <c r="BG79" i="12"/>
  <c r="BC46" i="12"/>
  <c r="BC36" i="12"/>
  <c r="D31" i="35" s="1"/>
  <c r="D32" i="35"/>
  <c r="AB37" i="20" l="1"/>
  <c r="AB35" i="20"/>
  <c r="AB66" i="20" s="1"/>
  <c r="AG35" i="20"/>
  <c r="AF66" i="20" s="1"/>
  <c r="BC66" i="12"/>
  <c r="BC57" i="12" s="1"/>
  <c r="BH74" i="12"/>
  <c r="I23" i="35" s="1"/>
  <c r="BC47" i="12"/>
  <c r="BC63" i="12"/>
  <c r="BC62" i="12"/>
  <c r="I24" i="35"/>
  <c r="BM74" i="12" l="1"/>
  <c r="BL80" i="12"/>
  <c r="BC64" i="12"/>
  <c r="BC74" i="12"/>
  <c r="D23" i="35" s="1"/>
  <c r="BC71" i="12"/>
  <c r="BC68" i="12"/>
  <c r="D24" i="35"/>
  <c r="BC6" i="13" l="1"/>
  <c r="BC76" i="12"/>
  <c r="BH77" i="12" s="1"/>
  <c r="N23" i="35"/>
  <c r="BR75" i="12"/>
  <c r="BM75" i="12"/>
  <c r="BH75" i="12"/>
  <c r="BC72" i="12"/>
  <c r="AU78" i="13"/>
  <c r="AU49" i="12"/>
  <c r="AU31" i="12"/>
  <c r="AU29" i="12"/>
  <c r="AU27" i="12"/>
  <c r="AU20" i="12"/>
  <c r="AU18" i="12"/>
  <c r="AU9" i="12"/>
  <c r="AZ10" i="12" s="1"/>
  <c r="AU5" i="12"/>
  <c r="AZ6" i="12" s="1"/>
  <c r="N24" i="35"/>
  <c r="BL79" i="12" l="1"/>
  <c r="AU19" i="12"/>
  <c r="AU21" i="12"/>
  <c r="O102" i="28"/>
  <c r="N102" i="28"/>
  <c r="M102" i="28"/>
  <c r="L102" i="28"/>
  <c r="K102" i="28"/>
  <c r="J102" i="28"/>
  <c r="I102" i="28"/>
  <c r="H102" i="28"/>
  <c r="G102" i="28"/>
  <c r="F102" i="28"/>
  <c r="E102" i="28"/>
  <c r="D102" i="28"/>
  <c r="C102" i="28"/>
  <c r="BQ80" i="12" l="1"/>
  <c r="AC86" i="12"/>
  <c r="AB86" i="12"/>
  <c r="AA86" i="12"/>
  <c r="Z86" i="12"/>
  <c r="Y86" i="12"/>
  <c r="X86" i="12"/>
  <c r="BM77" i="12" l="1"/>
  <c r="BR77" i="12"/>
  <c r="BW75" i="12"/>
  <c r="AB135" i="12"/>
  <c r="AA135" i="12"/>
  <c r="Z135" i="12"/>
  <c r="Y135" i="12"/>
  <c r="S23" i="35" l="1"/>
  <c r="BV80" i="12"/>
  <c r="BQ79" i="12"/>
  <c r="AF103" i="12"/>
  <c r="AG103" i="12"/>
  <c r="AD103" i="12"/>
  <c r="AI103" i="12"/>
  <c r="AE103" i="12"/>
  <c r="AK103" i="12"/>
  <c r="AL103" i="12"/>
  <c r="AW13" i="14"/>
  <c r="BB13" i="14" s="1"/>
  <c r="BG13" i="14" s="1"/>
  <c r="BL13" i="14" s="1"/>
  <c r="BQ13" i="14" s="1"/>
  <c r="BU13" i="14" s="1"/>
  <c r="BV13" i="14" s="1"/>
  <c r="BW13" i="14" s="1"/>
  <c r="BX13" i="14" s="1"/>
  <c r="BY13" i="14" s="1"/>
  <c r="BZ13" i="14" s="1"/>
  <c r="CA13" i="14" s="1"/>
  <c r="BB16" i="13"/>
  <c r="BB11" i="13"/>
  <c r="AX9" i="13"/>
  <c r="AV16" i="13"/>
  <c r="AW16" i="13" s="1"/>
  <c r="AV9" i="13"/>
  <c r="AV8" i="13" s="1"/>
  <c r="S24" i="35"/>
  <c r="AX8" i="13" l="1"/>
  <c r="BB9" i="13"/>
  <c r="BB33" i="14"/>
  <c r="AV77" i="13"/>
  <c r="BB36" i="14"/>
  <c r="AT78" i="13"/>
  <c r="AS78" i="13"/>
  <c r="T28" i="34" l="1"/>
  <c r="Z21" i="33"/>
  <c r="T21" i="33"/>
  <c r="AM16" i="14"/>
  <c r="AM13" i="14"/>
  <c r="AR13" i="14"/>
  <c r="AW9" i="14"/>
  <c r="AU55" i="12"/>
  <c r="AV54" i="12"/>
  <c r="AU54" i="12"/>
  <c r="BB50" i="12"/>
  <c r="AW50" i="12"/>
  <c r="X55" i="12"/>
  <c r="AC55" i="12"/>
  <c r="AT49" i="12"/>
  <c r="AT54" i="12" s="1"/>
  <c r="O121" i="28"/>
  <c r="N121" i="28"/>
  <c r="M121" i="28"/>
  <c r="L121" i="28"/>
  <c r="K121" i="28"/>
  <c r="J121" i="28"/>
  <c r="I121" i="28"/>
  <c r="H121" i="28"/>
  <c r="G121" i="28"/>
  <c r="F121" i="28"/>
  <c r="S21" i="20"/>
  <c r="R21" i="20"/>
  <c r="M21" i="20"/>
  <c r="P21" i="20"/>
  <c r="O21" i="20"/>
  <c r="N21" i="20"/>
  <c r="K21" i="20"/>
  <c r="J21" i="20"/>
  <c r="I21" i="20"/>
  <c r="O98" i="28"/>
  <c r="N98" i="28"/>
  <c r="L98" i="28"/>
  <c r="M98" i="28"/>
  <c r="K98" i="28"/>
  <c r="J98" i="28"/>
  <c r="G98" i="28"/>
  <c r="H98" i="28"/>
  <c r="I98" i="28"/>
  <c r="G99" i="28"/>
  <c r="F100" i="28"/>
  <c r="F99" i="28"/>
  <c r="F98" i="28"/>
  <c r="D98" i="28"/>
  <c r="E98" i="28"/>
  <c r="C98" i="28"/>
  <c r="V21" i="20" l="1"/>
  <c r="Q21" i="20"/>
  <c r="V22" i="20" s="1"/>
  <c r="R22" i="20"/>
  <c r="W22" i="20"/>
  <c r="S22" i="20"/>
  <c r="X22" i="20"/>
  <c r="N22" i="20"/>
  <c r="O22" i="20"/>
  <c r="T22" i="20"/>
  <c r="P22" i="20"/>
  <c r="U22" i="20"/>
  <c r="BG33" i="14"/>
  <c r="K122" i="28"/>
  <c r="AT55" i="12"/>
  <c r="O122" i="28"/>
  <c r="AX9" i="14"/>
  <c r="AY9" i="14" s="1"/>
  <c r="AZ9" i="14" s="1"/>
  <c r="BA9" i="14" s="1"/>
  <c r="BB9" i="14" s="1"/>
  <c r="BC9" i="14" s="1"/>
  <c r="BD9" i="14" s="1"/>
  <c r="BE9" i="14" s="1"/>
  <c r="BF9" i="14" s="1"/>
  <c r="BG9" i="14" s="1"/>
  <c r="BH9" i="14" s="1"/>
  <c r="BI9" i="14" s="1"/>
  <c r="BJ9" i="14" s="1"/>
  <c r="J122" i="28"/>
  <c r="N122" i="28"/>
  <c r="M122" i="28"/>
  <c r="L122" i="28"/>
  <c r="P52" i="28"/>
  <c r="P51" i="28"/>
  <c r="P50" i="28"/>
  <c r="BV79" i="12" l="1"/>
  <c r="BW79" i="12" s="1"/>
  <c r="BK9" i="14"/>
  <c r="BL9" i="14" s="1"/>
  <c r="BM9" i="14" s="1"/>
  <c r="BP9" i="14" s="1"/>
  <c r="BQ9" i="14" s="1"/>
  <c r="BS9" i="14" s="1"/>
  <c r="BT9" i="14" s="1"/>
  <c r="BU9" i="14" s="1"/>
  <c r="BV9" i="14" s="1"/>
  <c r="BW9" i="14" s="1"/>
  <c r="BX9" i="14" s="1"/>
  <c r="BY9" i="14" s="1"/>
  <c r="BZ9" i="14" s="1"/>
  <c r="CA9" i="14" s="1"/>
  <c r="BL33" i="14"/>
  <c r="BM33" i="14" s="1"/>
  <c r="Y21" i="33"/>
  <c r="AR80" i="12"/>
  <c r="J22" i="33" s="1"/>
  <c r="J23" i="33" s="1"/>
  <c r="AR79" i="12"/>
  <c r="AH6" i="13"/>
  <c r="BX79" i="12" l="1"/>
  <c r="BY79" i="12" s="1"/>
  <c r="BZ79" i="12" s="1"/>
  <c r="BW77" i="12"/>
  <c r="BM85" i="12"/>
  <c r="BM86" i="12" s="1"/>
  <c r="BM87" i="12" s="1"/>
  <c r="BB19" i="13"/>
  <c r="CA79" i="12" l="1"/>
  <c r="BN85" i="12"/>
  <c r="L39" i="20"/>
  <c r="F14" i="20"/>
  <c r="E14" i="20"/>
  <c r="D14" i="20"/>
  <c r="C14" i="20"/>
  <c r="BP33" i="14" l="1"/>
  <c r="BO85" i="12"/>
  <c r="E46" i="28"/>
  <c r="E48" i="28" s="1"/>
  <c r="D46" i="28"/>
  <c r="D48" i="28" s="1"/>
  <c r="F63" i="28"/>
  <c r="C63" i="28"/>
  <c r="F60" i="28"/>
  <c r="C60" i="28"/>
  <c r="C56" i="28"/>
  <c r="E62" i="28"/>
  <c r="D62" i="28"/>
  <c r="D59" i="28"/>
  <c r="F52" i="28"/>
  <c r="C52" i="28"/>
  <c r="F48" i="28"/>
  <c r="C48" i="28"/>
  <c r="D56" i="28" l="1"/>
  <c r="D63" i="28"/>
  <c r="BQ33" i="14"/>
  <c r="BP85" i="12"/>
  <c r="BP86" i="12" s="1"/>
  <c r="BP87" i="12" s="1"/>
  <c r="D60" i="28"/>
  <c r="G60" i="28" s="1"/>
  <c r="D52" i="28"/>
  <c r="E52" i="28"/>
  <c r="E63" i="28"/>
  <c r="BG36" i="14"/>
  <c r="G56" i="28"/>
  <c r="G48" i="28"/>
  <c r="G63" i="28" l="1"/>
  <c r="BS33" i="14"/>
  <c r="BR85" i="12"/>
  <c r="G52" i="28"/>
  <c r="BG19" i="13"/>
  <c r="BT33" i="14" l="1"/>
  <c r="BS85" i="12"/>
  <c r="BS86" i="12" s="1"/>
  <c r="BS87" i="12" s="1"/>
  <c r="G65" i="28"/>
  <c r="H65" i="28"/>
  <c r="S29" i="20"/>
  <c r="BU33" i="14" l="1"/>
  <c r="BV33" i="14" s="1"/>
  <c r="BW33" i="14" s="1"/>
  <c r="BX33" i="14" s="1"/>
  <c r="BY33" i="14" s="1"/>
  <c r="BZ33" i="14" s="1"/>
  <c r="CA33" i="14" s="1"/>
  <c r="BT85" i="12"/>
  <c r="BL36" i="14"/>
  <c r="BL19" i="13"/>
  <c r="U31" i="20"/>
  <c r="T31" i="20"/>
  <c r="S31" i="20"/>
  <c r="R31" i="20"/>
  <c r="P31" i="20"/>
  <c r="O31" i="20"/>
  <c r="N31" i="20"/>
  <c r="M31" i="20"/>
  <c r="U29" i="20"/>
  <c r="T29" i="20"/>
  <c r="R29" i="20"/>
  <c r="P29" i="20"/>
  <c r="O29" i="20"/>
  <c r="N29" i="20"/>
  <c r="M29" i="20"/>
  <c r="U56" i="20"/>
  <c r="T56" i="20"/>
  <c r="S56" i="20"/>
  <c r="R56" i="20"/>
  <c r="P56" i="20"/>
  <c r="O56" i="20"/>
  <c r="N56" i="20"/>
  <c r="M56" i="20"/>
  <c r="K56" i="20"/>
  <c r="J56" i="20"/>
  <c r="I56" i="20"/>
  <c r="H56" i="20"/>
  <c r="K53" i="20"/>
  <c r="J53" i="20"/>
  <c r="I53" i="20"/>
  <c r="H53" i="20"/>
  <c r="P53" i="20"/>
  <c r="O53" i="20"/>
  <c r="N53" i="20"/>
  <c r="M53" i="20"/>
  <c r="U53" i="20"/>
  <c r="T53" i="20"/>
  <c r="S53" i="20"/>
  <c r="R53" i="20"/>
  <c r="U27" i="20"/>
  <c r="T27" i="20"/>
  <c r="S27" i="20"/>
  <c r="R27" i="20"/>
  <c r="P27" i="20"/>
  <c r="O27" i="20"/>
  <c r="N27" i="20"/>
  <c r="M27" i="20"/>
  <c r="K50" i="20"/>
  <c r="J50" i="20"/>
  <c r="I50" i="20"/>
  <c r="H50" i="20"/>
  <c r="K49" i="20"/>
  <c r="J49" i="20"/>
  <c r="I49" i="20"/>
  <c r="H49" i="20"/>
  <c r="U50" i="20"/>
  <c r="T50" i="20"/>
  <c r="S50" i="20"/>
  <c r="R50" i="20"/>
  <c r="U49" i="20"/>
  <c r="T49" i="20"/>
  <c r="S49" i="20"/>
  <c r="R49" i="20"/>
  <c r="M49" i="20"/>
  <c r="M50" i="20"/>
  <c r="N50" i="20"/>
  <c r="N49" i="20"/>
  <c r="O50" i="20"/>
  <c r="O49" i="20"/>
  <c r="P50" i="20"/>
  <c r="P49" i="20"/>
  <c r="P38" i="20"/>
  <c r="P34" i="20"/>
  <c r="H35" i="20"/>
  <c r="K38" i="20"/>
  <c r="M40" i="20" s="1"/>
  <c r="K34" i="20"/>
  <c r="F38" i="20"/>
  <c r="F34" i="20"/>
  <c r="S42" i="20"/>
  <c r="S37" i="20" s="1"/>
  <c r="V42" i="20"/>
  <c r="V37" i="20" s="1"/>
  <c r="U42" i="20"/>
  <c r="U37" i="20" s="1"/>
  <c r="T39" i="20"/>
  <c r="R42" i="20"/>
  <c r="R37" i="20" s="1"/>
  <c r="O42" i="20"/>
  <c r="O37" i="20" s="1"/>
  <c r="N42" i="20"/>
  <c r="N37" i="20" s="1"/>
  <c r="Q42" i="20"/>
  <c r="Q37" i="20" s="1"/>
  <c r="O39" i="20"/>
  <c r="M42" i="20"/>
  <c r="M37" i="20" s="1"/>
  <c r="L42" i="20"/>
  <c r="L37" i="20" s="1"/>
  <c r="L35" i="20"/>
  <c r="AT9" i="13"/>
  <c r="AT8" i="13" s="1"/>
  <c r="AT77" i="13" s="1"/>
  <c r="AT87" i="12"/>
  <c r="AS44" i="12"/>
  <c r="AT44" i="12"/>
  <c r="AT31" i="12"/>
  <c r="AT29" i="12"/>
  <c r="AT27" i="12"/>
  <c r="AT20" i="12"/>
  <c r="AT18" i="12"/>
  <c r="AT61" i="12"/>
  <c r="AT9" i="12"/>
  <c r="AT10" i="12" s="1"/>
  <c r="AT5" i="12"/>
  <c r="K36" i="20" l="1"/>
  <c r="M36" i="20"/>
  <c r="H36" i="20"/>
  <c r="F36" i="20"/>
  <c r="R36" i="20"/>
  <c r="P36" i="20"/>
  <c r="P40" i="20"/>
  <c r="R40" i="20"/>
  <c r="P35" i="20"/>
  <c r="U35" i="20"/>
  <c r="V41" i="20"/>
  <c r="AT21" i="12"/>
  <c r="AT19" i="12"/>
  <c r="AY6" i="12"/>
  <c r="AY10" i="12"/>
  <c r="AT6" i="12"/>
  <c r="R41" i="20"/>
  <c r="L41" i="20"/>
  <c r="N41" i="20"/>
  <c r="S41" i="20"/>
  <c r="Q41" i="20"/>
  <c r="O41" i="20"/>
  <c r="T42" i="20"/>
  <c r="T37" i="20" s="1"/>
  <c r="H40" i="20"/>
  <c r="K35" i="20"/>
  <c r="K39" i="20"/>
  <c r="P39" i="20"/>
  <c r="P42" i="20"/>
  <c r="P41" i="20" s="1"/>
  <c r="K42" i="20"/>
  <c r="K37" i="20" s="1"/>
  <c r="K40" i="20"/>
  <c r="F42" i="20"/>
  <c r="F41" i="20" s="1"/>
  <c r="F40" i="20"/>
  <c r="U39" i="20"/>
  <c r="R39" i="20"/>
  <c r="V39" i="20"/>
  <c r="U41" i="20"/>
  <c r="S39" i="20"/>
  <c r="N39" i="20"/>
  <c r="M41" i="20"/>
  <c r="M39" i="20"/>
  <c r="Q39" i="20"/>
  <c r="X66" i="13"/>
  <c r="X46" i="13"/>
  <c r="X33" i="13"/>
  <c r="AC46" i="13"/>
  <c r="AC28" i="13"/>
  <c r="AC31" i="13"/>
  <c r="AC30" i="13"/>
  <c r="AH70" i="12"/>
  <c r="AH69" i="12"/>
  <c r="X39" i="12"/>
  <c r="X9" i="13" s="1"/>
  <c r="X8" i="13" s="1"/>
  <c r="X40" i="12"/>
  <c r="X18" i="12"/>
  <c r="X27" i="12"/>
  <c r="X31" i="12"/>
  <c r="X29" i="12"/>
  <c r="X20" i="12"/>
  <c r="X9" i="12"/>
  <c r="X5" i="12"/>
  <c r="AC39" i="12"/>
  <c r="AC9" i="13" s="1"/>
  <c r="AC8" i="13" s="1"/>
  <c r="AC40" i="12"/>
  <c r="AC27" i="12"/>
  <c r="AC18" i="12"/>
  <c r="AC31" i="12"/>
  <c r="AC29" i="12"/>
  <c r="AC20" i="12"/>
  <c r="AG9" i="12"/>
  <c r="AD18" i="12"/>
  <c r="AE18" i="12"/>
  <c r="AF18" i="12"/>
  <c r="AG18" i="12"/>
  <c r="AD20" i="12"/>
  <c r="AE20" i="12"/>
  <c r="AF20" i="12"/>
  <c r="AG20" i="12"/>
  <c r="AD27" i="12"/>
  <c r="AD135" i="12" s="1"/>
  <c r="AE27" i="12"/>
  <c r="AF27" i="12"/>
  <c r="AG27" i="12"/>
  <c r="AD29" i="12"/>
  <c r="AE29" i="12"/>
  <c r="AF29" i="12"/>
  <c r="AG29" i="12"/>
  <c r="AD31" i="12"/>
  <c r="AE31" i="12"/>
  <c r="AF31" i="12"/>
  <c r="AG31" i="12"/>
  <c r="AC5" i="12"/>
  <c r="AC9" i="12"/>
  <c r="Y54" i="12"/>
  <c r="Z54" i="12"/>
  <c r="AA54" i="12"/>
  <c r="AB54" i="12"/>
  <c r="Y87" i="12"/>
  <c r="AB87" i="12"/>
  <c r="Z87" i="12"/>
  <c r="AA87" i="12"/>
  <c r="AD61" i="12"/>
  <c r="AR68" i="13"/>
  <c r="AR6" i="13"/>
  <c r="AH68" i="13"/>
  <c r="AM68" i="13"/>
  <c r="AM6" i="13"/>
  <c r="AC21" i="12" l="1"/>
  <c r="P37" i="20"/>
  <c r="AF135" i="12"/>
  <c r="AE135" i="12"/>
  <c r="AG135" i="12"/>
  <c r="AC33" i="13"/>
  <c r="T41" i="20"/>
  <c r="K41" i="20"/>
  <c r="C29" i="28" l="1"/>
  <c r="AC35" i="13"/>
  <c r="AC48" i="13"/>
  <c r="C31" i="28" s="1"/>
  <c r="X117" i="12"/>
  <c r="AC117" i="12"/>
  <c r="BB116" i="12"/>
  <c r="AW116" i="12"/>
  <c r="AR116" i="12"/>
  <c r="AM116" i="12"/>
  <c r="AH116" i="12"/>
  <c r="AH117" i="12" s="1"/>
  <c r="X54" i="12"/>
  <c r="AC54" i="12"/>
  <c r="X61" i="12"/>
  <c r="AC61" i="12"/>
  <c r="BA118" i="12"/>
  <c r="AZ118" i="12"/>
  <c r="AY118" i="12"/>
  <c r="AX118" i="12"/>
  <c r="AV118" i="12"/>
  <c r="AU118" i="12"/>
  <c r="AT118" i="12"/>
  <c r="AS118" i="12"/>
  <c r="AQ118" i="12"/>
  <c r="AP118" i="12"/>
  <c r="AO118" i="12"/>
  <c r="AN118" i="12"/>
  <c r="AL118" i="12"/>
  <c r="AK118" i="12"/>
  <c r="AJ118" i="12"/>
  <c r="AI118" i="12"/>
  <c r="AG118" i="12"/>
  <c r="AF118" i="12"/>
  <c r="AE118" i="12"/>
  <c r="AD118" i="12"/>
  <c r="BA117" i="12"/>
  <c r="S29" i="31" s="1"/>
  <c r="AZ117" i="12"/>
  <c r="R29" i="31" s="1"/>
  <c r="AY117" i="12"/>
  <c r="Q29" i="31" s="1"/>
  <c r="AX117" i="12"/>
  <c r="P29" i="31" s="1"/>
  <c r="AV117" i="12"/>
  <c r="O29" i="31" s="1"/>
  <c r="AU117" i="12"/>
  <c r="N29" i="31" s="1"/>
  <c r="AT117" i="12"/>
  <c r="M29" i="31" s="1"/>
  <c r="AS117" i="12"/>
  <c r="L29" i="31" s="1"/>
  <c r="AQ117" i="12"/>
  <c r="K29" i="31" s="1"/>
  <c r="AP117" i="12"/>
  <c r="J29" i="31" s="1"/>
  <c r="AO117" i="12"/>
  <c r="I29" i="31" s="1"/>
  <c r="AN117" i="12"/>
  <c r="H29" i="31" s="1"/>
  <c r="AL117" i="12"/>
  <c r="G29" i="31" s="1"/>
  <c r="AK117" i="12"/>
  <c r="F29" i="31" s="1"/>
  <c r="AJ117" i="12"/>
  <c r="E29" i="31" s="1"/>
  <c r="AI117" i="12"/>
  <c r="D29" i="31" s="1"/>
  <c r="AG117" i="12"/>
  <c r="AF117" i="12"/>
  <c r="AE117" i="12"/>
  <c r="AD117" i="12"/>
  <c r="AH35" i="14"/>
  <c r="AH33" i="14"/>
  <c r="AH32" i="14"/>
  <c r="AH29" i="14"/>
  <c r="AH28" i="14"/>
  <c r="AH16" i="14"/>
  <c r="AH13" i="14"/>
  <c r="AH9" i="14"/>
  <c r="AH10" i="14"/>
  <c r="AH7" i="14"/>
  <c r="AM35" i="14"/>
  <c r="AM36" i="14"/>
  <c r="AM33" i="14"/>
  <c r="AM32" i="14"/>
  <c r="AM29" i="14"/>
  <c r="AM28" i="14"/>
  <c r="AM9" i="14"/>
  <c r="AM10" i="14"/>
  <c r="AM7" i="14"/>
  <c r="AR35" i="14"/>
  <c r="AR10" i="14"/>
  <c r="AR9" i="14"/>
  <c r="BQ36" i="14" l="1"/>
  <c r="BG117" i="12"/>
  <c r="BB117" i="12"/>
  <c r="AW117" i="12"/>
  <c r="AR117" i="12"/>
  <c r="AM117" i="12"/>
  <c r="AH80" i="12"/>
  <c r="AH79" i="12"/>
  <c r="AM80" i="12"/>
  <c r="AM79" i="12"/>
  <c r="AH67" i="12"/>
  <c r="AG55" i="12"/>
  <c r="AH53" i="12"/>
  <c r="AH50" i="12"/>
  <c r="AH49" i="12"/>
  <c r="AH40" i="12"/>
  <c r="AH39" i="12"/>
  <c r="AH31" i="12"/>
  <c r="AH29" i="12"/>
  <c r="AH27" i="12"/>
  <c r="AH20" i="12"/>
  <c r="AH18" i="12"/>
  <c r="AH9" i="12"/>
  <c r="AH5" i="12"/>
  <c r="AD66" i="13"/>
  <c r="AD28" i="13"/>
  <c r="AI25" i="14"/>
  <c r="AI29" i="14"/>
  <c r="AI27" i="12"/>
  <c r="AI135" i="12" s="1"/>
  <c r="AI31" i="12"/>
  <c r="AI29" i="12"/>
  <c r="AI20" i="12"/>
  <c r="AI18" i="12"/>
  <c r="AE66" i="13"/>
  <c r="AE28" i="13"/>
  <c r="AJ25" i="14"/>
  <c r="AF28" i="13"/>
  <c r="AH19" i="12" l="1"/>
  <c r="AH54" i="12"/>
  <c r="AH55" i="12"/>
  <c r="AH33" i="12"/>
  <c r="AH13" i="12"/>
  <c r="D71" i="28" s="1"/>
  <c r="AG9" i="13"/>
  <c r="AG8" i="13" s="1"/>
  <c r="AF9" i="13"/>
  <c r="AF8" i="13" s="1"/>
  <c r="AE9" i="13"/>
  <c r="AE8" i="13" s="1"/>
  <c r="AE77" i="13" s="1"/>
  <c r="AD9" i="13"/>
  <c r="AG28" i="13"/>
  <c r="AH28" i="13" s="1"/>
  <c r="AG25" i="14"/>
  <c r="AG61" i="12"/>
  <c r="AF55" i="12"/>
  <c r="AE55" i="12"/>
  <c r="AD55" i="12"/>
  <c r="AG54" i="12"/>
  <c r="AF54" i="12"/>
  <c r="AE54" i="12"/>
  <c r="AD54" i="12"/>
  <c r="AE61" i="12"/>
  <c r="AF61" i="12"/>
  <c r="AJ31" i="12"/>
  <c r="AJ29" i="12"/>
  <c r="AJ27" i="12"/>
  <c r="AJ135" i="12" s="1"/>
  <c r="AJ20" i="12"/>
  <c r="AJ18" i="12"/>
  <c r="AI55" i="12"/>
  <c r="AI54" i="12"/>
  <c r="AJ49" i="12"/>
  <c r="AJ55" i="12" s="1"/>
  <c r="AO49" i="12"/>
  <c r="AO31" i="12"/>
  <c r="AO29" i="12"/>
  <c r="AO27" i="12"/>
  <c r="AO20" i="12"/>
  <c r="AO18" i="12"/>
  <c r="AO53" i="12"/>
  <c r="AN53" i="12"/>
  <c r="AN50" i="12"/>
  <c r="AN49" i="12"/>
  <c r="AS53" i="12"/>
  <c r="AS49" i="12"/>
  <c r="AQ53" i="12"/>
  <c r="AL50" i="12"/>
  <c r="AL53" i="12"/>
  <c r="AQ50" i="12"/>
  <c r="AL49" i="12"/>
  <c r="AQ49" i="12"/>
  <c r="AP53" i="12"/>
  <c r="AP50" i="12"/>
  <c r="AP49" i="12"/>
  <c r="AH9" i="13" l="1"/>
  <c r="AJ54" i="12"/>
  <c r="AL55" i="12"/>
  <c r="AH61" i="12"/>
  <c r="AQ54" i="12"/>
  <c r="AQ55" i="12"/>
  <c r="AN54" i="12"/>
  <c r="AN55" i="12"/>
  <c r="AP55" i="12"/>
  <c r="AP54" i="12"/>
  <c r="AL54" i="12"/>
  <c r="AR50" i="12"/>
  <c r="AO54" i="12"/>
  <c r="AO55" i="12"/>
  <c r="AS55" i="12"/>
  <c r="AS54" i="12"/>
  <c r="AF33" i="13"/>
  <c r="AF77" i="13"/>
  <c r="AG33" i="13"/>
  <c r="AG77" i="13"/>
  <c r="AD8" i="13"/>
  <c r="AH8" i="13" s="1"/>
  <c r="AE33" i="13"/>
  <c r="AE35" i="13" s="1"/>
  <c r="AG48" i="13" l="1"/>
  <c r="AG35" i="13"/>
  <c r="AF48" i="13"/>
  <c r="AF35" i="13"/>
  <c r="BU36" i="14"/>
  <c r="BU19" i="13" s="1"/>
  <c r="AD77" i="13"/>
  <c r="AD33" i="13"/>
  <c r="AD35" i="13" s="1"/>
  <c r="AK50" i="12"/>
  <c r="AM50" i="12" s="1"/>
  <c r="AK53" i="12"/>
  <c r="AK49" i="12"/>
  <c r="BV36" i="14" l="1"/>
  <c r="BW36" i="14" s="1"/>
  <c r="BV19" i="13"/>
  <c r="AK55" i="12"/>
  <c r="AD48" i="13"/>
  <c r="AH33" i="13"/>
  <c r="AH35" i="13" s="1"/>
  <c r="AK54" i="12"/>
  <c r="AK61" i="12"/>
  <c r="AI28" i="13"/>
  <c r="AN25" i="14"/>
  <c r="AN28" i="14"/>
  <c r="AJ28" i="13"/>
  <c r="AO28" i="13"/>
  <c r="AO30" i="13"/>
  <c r="AR30" i="13" s="1"/>
  <c r="AO25" i="14"/>
  <c r="AP28" i="13"/>
  <c r="AK28" i="13"/>
  <c r="AK9" i="13"/>
  <c r="AK8" i="13" s="1"/>
  <c r="AJ9" i="13"/>
  <c r="AJ8" i="13" s="1"/>
  <c r="AJ77" i="13" s="1"/>
  <c r="AI9" i="13"/>
  <c r="AP25" i="14"/>
  <c r="AL31" i="14"/>
  <c r="AP44" i="12"/>
  <c r="AO44" i="12"/>
  <c r="AK44" i="12"/>
  <c r="AL61" i="12"/>
  <c r="AK31" i="12"/>
  <c r="AK29" i="12"/>
  <c r="AK27" i="12"/>
  <c r="AK135" i="12" s="1"/>
  <c r="AK20" i="12"/>
  <c r="AK18" i="12"/>
  <c r="BX36" i="14" l="1"/>
  <c r="BW19" i="13"/>
  <c r="AR28" i="13"/>
  <c r="AM28" i="13"/>
  <c r="AI8" i="13"/>
  <c r="AI33" i="13" s="1"/>
  <c r="AI35" i="13" s="1"/>
  <c r="AP31" i="14"/>
  <c r="AK33" i="13"/>
  <c r="AK35" i="13" s="1"/>
  <c r="AK77" i="13"/>
  <c r="D29" i="28"/>
  <c r="D30" i="28" s="1"/>
  <c r="AH48" i="13"/>
  <c r="AH70" i="13"/>
  <c r="AH34" i="13"/>
  <c r="AJ33" i="13"/>
  <c r="AJ35" i="13" s="1"/>
  <c r="AP31" i="12"/>
  <c r="AP29" i="12"/>
  <c r="AP27" i="12"/>
  <c r="AP20" i="12"/>
  <c r="AP18" i="12"/>
  <c r="AP9" i="12"/>
  <c r="AU10" i="12" s="1"/>
  <c r="AP5" i="12"/>
  <c r="AU6" i="12" s="1"/>
  <c r="AL66" i="13"/>
  <c r="AL9" i="13"/>
  <c r="AL8" i="13" s="1"/>
  <c r="AL38" i="14"/>
  <c r="BY36" i="14" l="1"/>
  <c r="BX19" i="13"/>
  <c r="AM9" i="13"/>
  <c r="AM8" i="13"/>
  <c r="AL33" i="13"/>
  <c r="AL77" i="13"/>
  <c r="AH49" i="13"/>
  <c r="D31" i="28"/>
  <c r="D32" i="28" s="1"/>
  <c r="AL44" i="12"/>
  <c r="AL31" i="12"/>
  <c r="AL29" i="12"/>
  <c r="AL27" i="12"/>
  <c r="AL135" i="12" s="1"/>
  <c r="AL20" i="12"/>
  <c r="AL18" i="12"/>
  <c r="AJ61" i="12"/>
  <c r="AI61" i="12"/>
  <c r="AN61" i="12"/>
  <c r="AL9" i="12"/>
  <c r="AL5" i="12"/>
  <c r="AM5" i="12" s="1"/>
  <c r="AQ31" i="12"/>
  <c r="AQ29" i="12"/>
  <c r="AQ27" i="12"/>
  <c r="AQ20" i="12"/>
  <c r="AQ18" i="12"/>
  <c r="AQ9" i="12"/>
  <c r="AN31" i="12"/>
  <c r="AN29" i="12"/>
  <c r="AN27" i="12"/>
  <c r="AN20" i="12"/>
  <c r="AN18" i="12"/>
  <c r="AN9" i="12"/>
  <c r="AN5" i="12"/>
  <c r="AS49" i="14"/>
  <c r="AQ49" i="14"/>
  <c r="AR36" i="14"/>
  <c r="AR33" i="14"/>
  <c r="J21" i="33" s="1"/>
  <c r="AM33" i="13" l="1"/>
  <c r="AM35" i="13" s="1"/>
  <c r="AL35" i="13"/>
  <c r="BZ36" i="14"/>
  <c r="BY19" i="13"/>
  <c r="AV10" i="12"/>
  <c r="AQ135" i="12"/>
  <c r="AN135" i="12"/>
  <c r="AO135" i="12"/>
  <c r="AN17" i="12"/>
  <c r="AP135" i="12"/>
  <c r="AQ61" i="12"/>
  <c r="AP61" i="12"/>
  <c r="AO61" i="12"/>
  <c r="AM48" i="13" l="1"/>
  <c r="E31" i="28" s="1"/>
  <c r="E29" i="28"/>
  <c r="CA36" i="14"/>
  <c r="BZ19" i="13"/>
  <c r="CA19" i="13" s="1"/>
  <c r="AS31" i="12"/>
  <c r="AS29" i="12"/>
  <c r="AS27" i="12"/>
  <c r="AS20" i="12"/>
  <c r="AS18" i="12"/>
  <c r="AS67" i="12"/>
  <c r="AM53" i="12"/>
  <c r="AR53" i="12"/>
  <c r="AW53" i="12"/>
  <c r="BB53" i="12"/>
  <c r="AS9" i="12"/>
  <c r="AX10" i="12" s="1"/>
  <c r="AS135" i="12" l="1"/>
  <c r="AT135" i="12"/>
  <c r="BB68" i="13"/>
  <c r="BA66" i="13"/>
  <c r="AZ66" i="13"/>
  <c r="AY66" i="13"/>
  <c r="AX66" i="13"/>
  <c r="BA46" i="13"/>
  <c r="AZ46" i="13"/>
  <c r="AY46" i="13"/>
  <c r="AX46" i="13"/>
  <c r="BB21" i="13"/>
  <c r="BB101" i="12"/>
  <c r="BA101" i="12"/>
  <c r="AZ101" i="12"/>
  <c r="AY101" i="12"/>
  <c r="AX101" i="12"/>
  <c r="BA67" i="12"/>
  <c r="AY67" i="12"/>
  <c r="BB61" i="12"/>
  <c r="BB49" i="12"/>
  <c r="BB55" i="12" s="1"/>
  <c r="BB43" i="12"/>
  <c r="BB42" i="12"/>
  <c r="BB41" i="12"/>
  <c r="BB40" i="12"/>
  <c r="BB39" i="12"/>
  <c r="BB54" i="12" l="1"/>
  <c r="BB67" i="12"/>
  <c r="AX151" i="12"/>
  <c r="AX120" i="12"/>
  <c r="AX147" i="12" s="1"/>
  <c r="AX13" i="12"/>
  <c r="AX141" i="12" l="1"/>
  <c r="AX66" i="14"/>
  <c r="AX56" i="14"/>
  <c r="AX65" i="14"/>
  <c r="AX55" i="14"/>
  <c r="AX64" i="14"/>
  <c r="AX54" i="14"/>
  <c r="AX63" i="14"/>
  <c r="AX70" i="14"/>
  <c r="AX62" i="14"/>
  <c r="AX57" i="14"/>
  <c r="AX69" i="14"/>
  <c r="AX59" i="14"/>
  <c r="AX68" i="14"/>
  <c r="AX58" i="14"/>
  <c r="AX67" i="14"/>
  <c r="BC14" i="12"/>
  <c r="AB68" i="20" s="1"/>
  <c r="AX28" i="12"/>
  <c r="AX30" i="12"/>
  <c r="AX32" i="12"/>
  <c r="AX22" i="12"/>
  <c r="AX23" i="12" s="1"/>
  <c r="AX24" i="12" s="1"/>
  <c r="AX12" i="12"/>
  <c r="AX102" i="12"/>
  <c r="AX8" i="12"/>
  <c r="BB80" i="12" l="1"/>
  <c r="T22" i="33" s="1"/>
  <c r="T23" i="33" s="1"/>
  <c r="BB79" i="12"/>
  <c r="AX128" i="12"/>
  <c r="BC129" i="12" s="1"/>
  <c r="BH130" i="12" s="1"/>
  <c r="AX33" i="12"/>
  <c r="AX35" i="12" s="1"/>
  <c r="AX36" i="12" l="1"/>
  <c r="AX60" i="12"/>
  <c r="AX63" i="12" s="1"/>
  <c r="AX62" i="12" l="1"/>
  <c r="AX74" i="12"/>
  <c r="AX64" i="12"/>
  <c r="BC75" i="12" l="1"/>
  <c r="AS21" i="12"/>
  <c r="AS19" i="12"/>
  <c r="AS10" i="12"/>
  <c r="AS6" i="12"/>
  <c r="O100" i="28" l="1"/>
  <c r="N100" i="28"/>
  <c r="N99" i="28" l="1"/>
  <c r="O99" i="28"/>
  <c r="AW7" i="14"/>
  <c r="BB7" i="14" l="1"/>
  <c r="BG7" i="14" s="1"/>
  <c r="BL7" i="14" s="1"/>
  <c r="BQ7" i="14" s="1"/>
  <c r="BU7" i="14" s="1"/>
  <c r="BV7" i="14" s="1"/>
  <c r="BW7" i="14" s="1"/>
  <c r="BX7" i="14" s="1"/>
  <c r="BY7" i="14" s="1"/>
  <c r="BZ7" i="14" s="1"/>
  <c r="CA7" i="14" s="1"/>
  <c r="M100" i="28"/>
  <c r="M99" i="28"/>
  <c r="AQ9" i="13"/>
  <c r="AR16" i="14"/>
  <c r="AR7" i="14"/>
  <c r="U9" i="20" l="1"/>
  <c r="AQ19" i="12"/>
  <c r="AQ10" i="12"/>
  <c r="AQ6" i="12"/>
  <c r="AQ21" i="12"/>
  <c r="L99" i="28" l="1"/>
  <c r="L100" i="28"/>
  <c r="R13" i="28"/>
  <c r="R12" i="28"/>
  <c r="R11" i="28"/>
  <c r="R3" i="28"/>
  <c r="AN78" i="13"/>
  <c r="AP21" i="12"/>
  <c r="AP19" i="12"/>
  <c r="AP10" i="12"/>
  <c r="AP6" i="12"/>
  <c r="T9" i="20" l="1"/>
  <c r="AR32" i="14"/>
  <c r="BB32" i="14" s="1"/>
  <c r="F8" i="20"/>
  <c r="E99" i="28" s="1"/>
  <c r="E8" i="20"/>
  <c r="D99" i="28" s="1"/>
  <c r="D8" i="20"/>
  <c r="C99" i="28" s="1"/>
  <c r="J8" i="20"/>
  <c r="K8" i="20"/>
  <c r="I99" i="28" s="1"/>
  <c r="J99" i="28"/>
  <c r="K99" i="28"/>
  <c r="K100" i="28"/>
  <c r="L8" i="20" l="1"/>
  <c r="Q9" i="20" s="1"/>
  <c r="J9" i="20"/>
  <c r="H99" i="28"/>
  <c r="O9" i="20"/>
  <c r="K9" i="20"/>
  <c r="P9" i="20"/>
  <c r="M9" i="20"/>
  <c r="R9" i="20"/>
  <c r="N9" i="20"/>
  <c r="S9" i="20"/>
  <c r="I9" i="20"/>
  <c r="AX31" i="14"/>
  <c r="AO10" i="12"/>
  <c r="AO6" i="12"/>
  <c r="AO21" i="12" l="1"/>
  <c r="AO19" i="12"/>
  <c r="AO78" i="13"/>
  <c r="F49" i="20"/>
  <c r="E49" i="20"/>
  <c r="D49" i="20"/>
  <c r="C49" i="20"/>
  <c r="F15" i="20"/>
  <c r="E100" i="28" s="1"/>
  <c r="E15" i="20"/>
  <c r="D100" i="28" s="1"/>
  <c r="D15" i="20"/>
  <c r="C100" i="28" s="1"/>
  <c r="J100" i="28"/>
  <c r="K15" i="20"/>
  <c r="J15" i="20"/>
  <c r="I15" i="20"/>
  <c r="H12" i="20"/>
  <c r="I12" i="20"/>
  <c r="J12" i="20"/>
  <c r="K12" i="20"/>
  <c r="AN10" i="12"/>
  <c r="AN6" i="12"/>
  <c r="L15" i="20" l="1"/>
  <c r="H100" i="28"/>
  <c r="J16" i="20"/>
  <c r="O16" i="20"/>
  <c r="I100" i="28"/>
  <c r="K16" i="20"/>
  <c r="P16" i="20"/>
  <c r="G100" i="28"/>
  <c r="I16" i="20"/>
  <c r="N16" i="20"/>
  <c r="AN21" i="12"/>
  <c r="AN19" i="12"/>
  <c r="AQ78" i="13"/>
  <c r="AP78" i="13"/>
  <c r="X44" i="12"/>
  <c r="BG32" i="14" l="1"/>
  <c r="AQ8" i="13"/>
  <c r="BL32" i="14" l="1"/>
  <c r="AQ77" i="13"/>
  <c r="D4" i="31"/>
  <c r="D7" i="31"/>
  <c r="D5" i="31"/>
  <c r="E7" i="31"/>
  <c r="E5" i="31"/>
  <c r="E4" i="31"/>
  <c r="F4" i="31"/>
  <c r="G4" i="31"/>
  <c r="BQ32" i="14" l="1"/>
  <c r="E6" i="31"/>
  <c r="E8" i="31"/>
  <c r="D9" i="31"/>
  <c r="E9" i="31"/>
  <c r="BU32" i="14" l="1"/>
  <c r="BV32" i="14" s="1"/>
  <c r="BW32" i="14" s="1"/>
  <c r="E10" i="31"/>
  <c r="BX32" i="14" l="1"/>
  <c r="BY32" i="14" s="1"/>
  <c r="BZ32" i="14" s="1"/>
  <c r="CA32" i="14" s="1"/>
  <c r="AB151" i="12"/>
  <c r="AA151" i="12"/>
  <c r="Z151" i="12"/>
  <c r="Y151" i="12"/>
  <c r="AG151" i="12"/>
  <c r="AF151" i="12"/>
  <c r="AE151" i="12"/>
  <c r="AD151" i="12"/>
  <c r="AN151" i="12"/>
  <c r="AK151" i="12"/>
  <c r="AJ151" i="12"/>
  <c r="AI151" i="12"/>
  <c r="AL151" i="12"/>
  <c r="AB48" i="13" l="1"/>
  <c r="AA48" i="13"/>
  <c r="Z48" i="13"/>
  <c r="Y48" i="13"/>
  <c r="AU67" i="12"/>
  <c r="K7" i="20" l="1"/>
  <c r="K6" i="20"/>
  <c r="AL19" i="12" l="1"/>
  <c r="AL21" i="12"/>
  <c r="AL10" i="12"/>
  <c r="AL6" i="12"/>
  <c r="J35" i="20" l="1"/>
  <c r="J42" i="20"/>
  <c r="J37" i="20" s="1"/>
  <c r="J39" i="20" l="1"/>
  <c r="J41" i="20"/>
  <c r="J6" i="20"/>
  <c r="J7" i="20"/>
  <c r="AK19" i="12" l="1"/>
  <c r="AK21" i="12"/>
  <c r="AK10" i="12"/>
  <c r="AK6" i="12"/>
  <c r="AC185" i="12" l="1"/>
  <c r="Z185" i="12"/>
  <c r="C2" i="28" l="1"/>
  <c r="D2" i="28"/>
  <c r="E2" i="28"/>
  <c r="F2" i="28"/>
  <c r="G2" i="28"/>
  <c r="H2" i="28"/>
  <c r="I2" i="28"/>
  <c r="J2" i="28"/>
  <c r="K2" i="28"/>
  <c r="O3" i="28" s="1"/>
  <c r="L2" i="28"/>
  <c r="M2" i="28"/>
  <c r="G50" i="20"/>
  <c r="I7" i="20"/>
  <c r="F7" i="20"/>
  <c r="E7" i="20"/>
  <c r="D7" i="20"/>
  <c r="J40" i="20"/>
  <c r="I35" i="20"/>
  <c r="F37" i="20"/>
  <c r="H6" i="20"/>
  <c r="I6" i="20"/>
  <c r="M3" i="28" l="1"/>
  <c r="Q3" i="28"/>
  <c r="L3" i="28"/>
  <c r="P3" i="28"/>
  <c r="J3" i="28"/>
  <c r="N3" i="28"/>
  <c r="H39" i="20"/>
  <c r="I40" i="20"/>
  <c r="G42" i="20"/>
  <c r="I42" i="20"/>
  <c r="H42" i="20"/>
  <c r="H37" i="20" s="1"/>
  <c r="I39" i="20"/>
  <c r="G3" i="28"/>
  <c r="I3" i="28"/>
  <c r="K3" i="28"/>
  <c r="H3" i="28"/>
  <c r="AB78" i="13"/>
  <c r="AD78" i="13"/>
  <c r="AF78" i="13"/>
  <c r="AG78" i="13"/>
  <c r="AI78" i="13"/>
  <c r="AS101" i="12"/>
  <c r="AT101" i="12"/>
  <c r="AU101" i="12"/>
  <c r="AV101" i="12"/>
  <c r="AW101" i="12"/>
  <c r="AH36" i="14"/>
  <c r="AH26" i="14"/>
  <c r="I41" i="20" l="1"/>
  <c r="I37" i="20"/>
  <c r="G41" i="20"/>
  <c r="H41" i="20"/>
  <c r="AW37" i="13"/>
  <c r="AW40" i="13"/>
  <c r="AW45" i="13"/>
  <c r="AS46" i="13"/>
  <c r="AT46" i="13"/>
  <c r="AU46" i="13"/>
  <c r="AV46" i="13"/>
  <c r="AW52" i="13"/>
  <c r="AW53" i="13"/>
  <c r="AW65" i="13"/>
  <c r="AS66" i="13"/>
  <c r="AT66" i="13"/>
  <c r="AU66" i="13"/>
  <c r="AV66" i="13"/>
  <c r="AW68" i="13"/>
  <c r="AW66" i="13" l="1"/>
  <c r="AW46" i="13"/>
  <c r="AW40" i="12"/>
  <c r="AW41" i="12"/>
  <c r="AW42" i="12"/>
  <c r="AW43" i="12"/>
  <c r="AW49" i="12"/>
  <c r="AW55" i="12" s="1"/>
  <c r="AW61" i="12"/>
  <c r="AC49" i="14"/>
  <c r="X49" i="14"/>
  <c r="Y103" i="12" s="1"/>
  <c r="AG49" i="14"/>
  <c r="Z103" i="12"/>
  <c r="G37" i="20"/>
  <c r="AI22" i="12"/>
  <c r="AW54" i="12" l="1"/>
  <c r="X22" i="12"/>
  <c r="AC22" i="12"/>
  <c r="AH22" i="12"/>
  <c r="AE78" i="13"/>
  <c r="AH15" i="14"/>
  <c r="V66" i="13"/>
  <c r="O12" i="14"/>
  <c r="O21" i="14" s="1"/>
  <c r="AJ78" i="13" l="1"/>
  <c r="AJ44" i="12"/>
  <c r="AG31" i="14"/>
  <c r="AJ21" i="12"/>
  <c r="AJ19" i="12"/>
  <c r="AJ10" i="12"/>
  <c r="AJ6" i="12"/>
  <c r="H4" i="15"/>
  <c r="AK78" i="13" l="1"/>
  <c r="AL78" i="13"/>
  <c r="AI46" i="13" l="1"/>
  <c r="AI21" i="12"/>
  <c r="AI19" i="12"/>
  <c r="AI6" i="12"/>
  <c r="AI10" i="12"/>
  <c r="AG6" i="12" l="1"/>
  <c r="AH95" i="12" l="1"/>
  <c r="AH91" i="12"/>
  <c r="AH92" i="12" s="1"/>
  <c r="AG38" i="14" l="1"/>
  <c r="AG21" i="12" l="1"/>
  <c r="AG19" i="12"/>
  <c r="AG10" i="12"/>
  <c r="AX44" i="12" l="1"/>
  <c r="AX46" i="12" l="1"/>
  <c r="AX47" i="12" s="1"/>
  <c r="AY44" i="12"/>
  <c r="R120" i="12"/>
  <c r="Q120" i="12"/>
  <c r="W128" i="12"/>
  <c r="Y128" i="12"/>
  <c r="Z128" i="12"/>
  <c r="AX66" i="12" l="1"/>
  <c r="AX57" i="12" s="1"/>
  <c r="AZ44" i="12"/>
  <c r="U135" i="12"/>
  <c r="AX68" i="12" l="1"/>
  <c r="AX71" i="12"/>
  <c r="BA44" i="12"/>
  <c r="BB44" i="12"/>
  <c r="E40" i="20"/>
  <c r="D40" i="20"/>
  <c r="C42" i="20"/>
  <c r="C41" i="20" s="1"/>
  <c r="D42" i="20"/>
  <c r="D41" i="20" s="1"/>
  <c r="E42" i="20"/>
  <c r="AX6" i="13" l="1"/>
  <c r="AX76" i="12"/>
  <c r="BC77" i="12" s="1"/>
  <c r="AX72" i="12"/>
  <c r="E37" i="20"/>
  <c r="D37" i="20"/>
  <c r="C37" i="20"/>
  <c r="E41" i="20"/>
  <c r="V135" i="12" l="1"/>
  <c r="AF101" i="12"/>
  <c r="AF21" i="12"/>
  <c r="AF19" i="12"/>
  <c r="AF6" i="12"/>
  <c r="AF10" i="12"/>
  <c r="W135" i="12" l="1"/>
  <c r="X95" i="12"/>
  <c r="AC95" i="12"/>
  <c r="X91" i="12"/>
  <c r="X92" i="12" s="1"/>
  <c r="R49" i="14"/>
  <c r="S91" i="12" s="1"/>
  <c r="S92" i="12" s="1"/>
  <c r="AB75" i="14" l="1"/>
  <c r="AB103" i="12"/>
  <c r="AC91" i="12"/>
  <c r="AC92" i="12" s="1"/>
  <c r="AH93" i="12" s="1"/>
  <c r="AA103" i="12"/>
  <c r="X93" i="12"/>
  <c r="AC93" i="12" l="1"/>
  <c r="AE82" i="12" l="1"/>
  <c r="S54" i="12" l="1"/>
  <c r="S22" i="12"/>
  <c r="AF66" i="13" l="1"/>
  <c r="AH17" i="14"/>
  <c r="AM17" i="14" s="1"/>
  <c r="AR17" i="14" s="1"/>
  <c r="AW17" i="14" s="1"/>
  <c r="BB17" i="14" l="1"/>
  <c r="BG17" i="14" s="1"/>
  <c r="BL17" i="14" s="1"/>
  <c r="BQ17" i="14" s="1"/>
  <c r="BU17" i="14" s="1"/>
  <c r="BV17" i="14" s="1"/>
  <c r="BW17" i="14" s="1"/>
  <c r="BX17" i="14" s="1"/>
  <c r="BY17" i="14" s="1"/>
  <c r="BZ17" i="14" s="1"/>
  <c r="CA17" i="14" s="1"/>
  <c r="AR101" i="12"/>
  <c r="AQ101" i="12"/>
  <c r="AP101" i="12"/>
  <c r="AO101" i="12"/>
  <c r="AN101" i="12"/>
  <c r="AR49" i="12"/>
  <c r="AR43" i="12"/>
  <c r="AR42" i="12"/>
  <c r="AR41" i="12"/>
  <c r="AR40" i="12"/>
  <c r="AQ66" i="13"/>
  <c r="AP66" i="13"/>
  <c r="AO66" i="13"/>
  <c r="AN66" i="13"/>
  <c r="AQ46" i="13"/>
  <c r="AP46" i="13"/>
  <c r="AO46" i="13"/>
  <c r="AN46" i="13"/>
  <c r="S25" i="14"/>
  <c r="S30" i="14"/>
  <c r="S24" i="14"/>
  <c r="S37" i="14"/>
  <c r="S34" i="14"/>
  <c r="S17" i="14"/>
  <c r="S18" i="14"/>
  <c r="S20" i="14"/>
  <c r="S14" i="14"/>
  <c r="S8" i="14"/>
  <c r="S11" i="14"/>
  <c r="S6" i="14"/>
  <c r="S12" i="14" l="1"/>
  <c r="S21" i="14" s="1"/>
  <c r="AR55" i="12"/>
  <c r="AR54" i="12"/>
  <c r="AE6" i="12" l="1"/>
  <c r="AE10" i="12"/>
  <c r="AE19" i="12" l="1"/>
  <c r="AE21" i="12"/>
  <c r="AN9" i="13"/>
  <c r="AN44" i="12"/>
  <c r="Y21" i="12"/>
  <c r="D66" i="13"/>
  <c r="E66" i="13"/>
  <c r="F66" i="13"/>
  <c r="G66" i="13"/>
  <c r="H66" i="13"/>
  <c r="J66" i="13"/>
  <c r="K66" i="13"/>
  <c r="L66" i="13"/>
  <c r="M66" i="13"/>
  <c r="O66" i="13"/>
  <c r="P66" i="13"/>
  <c r="Q66" i="13"/>
  <c r="R66" i="13"/>
  <c r="T66" i="13"/>
  <c r="U66" i="13"/>
  <c r="W66" i="13"/>
  <c r="Z66" i="13"/>
  <c r="AA66" i="13"/>
  <c r="AG66" i="13"/>
  <c r="AI66" i="13"/>
  <c r="AJ66" i="13"/>
  <c r="AK66" i="13"/>
  <c r="Y66" i="13"/>
  <c r="X17" i="14"/>
  <c r="V21" i="12"/>
  <c r="AA21" i="12"/>
  <c r="S49" i="12"/>
  <c r="AM49" i="12"/>
  <c r="Q21" i="12"/>
  <c r="T21" i="12"/>
  <c r="U21" i="12"/>
  <c r="Z21" i="12"/>
  <c r="D21" i="12"/>
  <c r="E21" i="12"/>
  <c r="F21" i="12"/>
  <c r="G21" i="12"/>
  <c r="O21" i="12"/>
  <c r="D19" i="12"/>
  <c r="E19" i="12"/>
  <c r="P21" i="12"/>
  <c r="E13" i="12"/>
  <c r="F13" i="12"/>
  <c r="G13" i="12"/>
  <c r="O13" i="12"/>
  <c r="P13" i="12"/>
  <c r="Q13" i="12"/>
  <c r="T13" i="12"/>
  <c r="T151" i="12" s="1"/>
  <c r="U13" i="12"/>
  <c r="U151" i="12" s="1"/>
  <c r="V13" i="12"/>
  <c r="Y13" i="12"/>
  <c r="Z13" i="12"/>
  <c r="AA13" i="12"/>
  <c r="AD13" i="12"/>
  <c r="D13" i="12"/>
  <c r="AM55" i="12" l="1"/>
  <c r="AM54" i="12"/>
  <c r="AN8" i="13"/>
  <c r="AD64" i="14"/>
  <c r="AD69" i="14"/>
  <c r="AD57" i="14"/>
  <c r="AS87" i="12"/>
  <c r="AD21" i="12"/>
  <c r="AD19" i="12"/>
  <c r="AB19" i="12"/>
  <c r="AB21" i="12"/>
  <c r="V151" i="12"/>
  <c r="Q151" i="12"/>
  <c r="AA102" i="12"/>
  <c r="AA108" i="12" s="1"/>
  <c r="AO9" i="13"/>
  <c r="AO8" i="13" s="1"/>
  <c r="AO77" i="13" s="1"/>
  <c r="V70" i="14"/>
  <c r="V63" i="14"/>
  <c r="V54" i="14"/>
  <c r="V56" i="14"/>
  <c r="V57" i="14"/>
  <c r="V59" i="14"/>
  <c r="V62" i="14"/>
  <c r="AA57" i="14"/>
  <c r="AA56" i="14"/>
  <c r="AA54" i="14"/>
  <c r="U63" i="14"/>
  <c r="U54" i="14"/>
  <c r="U56" i="14"/>
  <c r="U57" i="14"/>
  <c r="U59" i="14"/>
  <c r="U62" i="14"/>
  <c r="U70" i="14"/>
  <c r="AD62" i="14"/>
  <c r="AD70" i="14"/>
  <c r="AD56" i="14"/>
  <c r="AD59" i="14"/>
  <c r="AD54" i="14"/>
  <c r="AD63" i="14"/>
  <c r="Z63" i="14"/>
  <c r="Z54" i="14"/>
  <c r="Z62" i="14"/>
  <c r="Z56" i="14"/>
  <c r="Z70" i="14"/>
  <c r="Z57" i="14"/>
  <c r="T54" i="14"/>
  <c r="T56" i="14"/>
  <c r="T57" i="14"/>
  <c r="T59" i="14"/>
  <c r="T62" i="14"/>
  <c r="T70" i="14"/>
  <c r="T63" i="14"/>
  <c r="Y62" i="14"/>
  <c r="Y56" i="14"/>
  <c r="Y63" i="14"/>
  <c r="Y70" i="14"/>
  <c r="Y54" i="14"/>
  <c r="Y57" i="14"/>
  <c r="AB66" i="13"/>
  <c r="AN33" i="13" l="1"/>
  <c r="AN35" i="13" s="1"/>
  <c r="AO33" i="13"/>
  <c r="AO35" i="13" s="1"/>
  <c r="AP9" i="13"/>
  <c r="AP8" i="13" s="1"/>
  <c r="AR8" i="13" s="1"/>
  <c r="AS9" i="13"/>
  <c r="AS8" i="13" l="1"/>
  <c r="AR9" i="13"/>
  <c r="AP77" i="13"/>
  <c r="AW80" i="12"/>
  <c r="O22" i="33" s="1"/>
  <c r="O23" i="33" s="1"/>
  <c r="AW79" i="12"/>
  <c r="AQ44" i="12"/>
  <c r="AR39" i="12"/>
  <c r="AR44" i="12" s="1"/>
  <c r="AU9" i="13" l="1"/>
  <c r="AU8" i="13" l="1"/>
  <c r="AW9" i="13"/>
  <c r="AU44" i="12"/>
  <c r="AU77" i="13" l="1"/>
  <c r="AW8" i="13"/>
  <c r="AV44" i="12"/>
  <c r="AW39" i="12"/>
  <c r="AW44" i="12" s="1"/>
  <c r="Z19" i="12"/>
  <c r="AM40" i="12" l="1"/>
  <c r="AM41" i="12"/>
  <c r="AM42" i="12"/>
  <c r="AM43" i="12"/>
  <c r="AH41" i="12"/>
  <c r="AH42" i="12"/>
  <c r="AH43" i="12"/>
  <c r="AB11" i="12"/>
  <c r="H11" i="12"/>
  <c r="G11" i="12"/>
  <c r="F11" i="12"/>
  <c r="AD11" i="12"/>
  <c r="AD10" i="12"/>
  <c r="AA11" i="12"/>
  <c r="Z11" i="12"/>
  <c r="AA10" i="12"/>
  <c r="Z10" i="12"/>
  <c r="Y10" i="12"/>
  <c r="V11" i="12"/>
  <c r="U11" i="12"/>
  <c r="V10" i="12"/>
  <c r="R11" i="12"/>
  <c r="Q11" i="12"/>
  <c r="P11" i="12"/>
  <c r="O11" i="12"/>
  <c r="Q10" i="12"/>
  <c r="P10" i="12"/>
  <c r="O10" i="12"/>
  <c r="G12" i="12"/>
  <c r="O12" i="12"/>
  <c r="Q12" i="12"/>
  <c r="U12" i="12"/>
  <c r="Y12" i="12"/>
  <c r="E12" i="12"/>
  <c r="Y19" i="12"/>
  <c r="H21" i="12"/>
  <c r="E22" i="12"/>
  <c r="AD22" i="12"/>
  <c r="W22" i="12"/>
  <c r="V19" i="12"/>
  <c r="T19" i="12"/>
  <c r="O77" i="13"/>
  <c r="AH18" i="14"/>
  <c r="X34" i="14"/>
  <c r="L12" i="14"/>
  <c r="L21" i="14" s="1"/>
  <c r="K12" i="14"/>
  <c r="K21" i="14" s="1"/>
  <c r="J77" i="13"/>
  <c r="J12" i="14"/>
  <c r="J21" i="14" s="1"/>
  <c r="AH44" i="12" l="1"/>
  <c r="AM18" i="14"/>
  <c r="AR18" i="14" s="1"/>
  <c r="AW18" i="14" s="1"/>
  <c r="AA22" i="12"/>
  <c r="AA19" i="12"/>
  <c r="F22" i="12"/>
  <c r="F19" i="12"/>
  <c r="O22" i="12"/>
  <c r="O19" i="12"/>
  <c r="W21" i="12"/>
  <c r="U22" i="12"/>
  <c r="U19" i="12"/>
  <c r="P22" i="12"/>
  <c r="P19" i="12"/>
  <c r="R21" i="12"/>
  <c r="W19" i="12"/>
  <c r="W13" i="12"/>
  <c r="G22" i="12"/>
  <c r="G19" i="12"/>
  <c r="H19" i="12"/>
  <c r="H13" i="12"/>
  <c r="H12" i="12" s="1"/>
  <c r="AB13" i="12"/>
  <c r="AB47" i="14" s="1"/>
  <c r="Q22" i="12"/>
  <c r="Q19" i="12"/>
  <c r="R19" i="12"/>
  <c r="R13" i="12"/>
  <c r="R151" i="12" s="1"/>
  <c r="W11" i="12"/>
  <c r="AB10" i="12"/>
  <c r="W10" i="12"/>
  <c r="AA8" i="12"/>
  <c r="AA12" i="12"/>
  <c r="O8" i="12"/>
  <c r="Y8" i="12"/>
  <c r="U8" i="12"/>
  <c r="G8" i="12"/>
  <c r="H22" i="12"/>
  <c r="Q8" i="12"/>
  <c r="E8" i="12"/>
  <c r="T22" i="12"/>
  <c r="AD12" i="12"/>
  <c r="AD8" i="12"/>
  <c r="P8" i="12"/>
  <c r="P12" i="12"/>
  <c r="Y22" i="12"/>
  <c r="D12" i="12"/>
  <c r="D8" i="12"/>
  <c r="Z12" i="12"/>
  <c r="Z8" i="12"/>
  <c r="T8" i="12"/>
  <c r="T12" i="12"/>
  <c r="F12" i="12"/>
  <c r="F8" i="12"/>
  <c r="V12" i="12"/>
  <c r="V8" i="12"/>
  <c r="AB22" i="12"/>
  <c r="AF11" i="12"/>
  <c r="V22" i="12"/>
  <c r="R22" i="12"/>
  <c r="AE11" i="12"/>
  <c r="T11" i="12"/>
  <c r="R10" i="12"/>
  <c r="Z22" i="12"/>
  <c r="AJ11" i="12"/>
  <c r="Y11" i="12"/>
  <c r="Z59" i="14"/>
  <c r="AA59" i="14"/>
  <c r="AA70" i="14"/>
  <c r="Y59" i="14"/>
  <c r="AA62" i="14"/>
  <c r="AA63" i="14"/>
  <c r="BB18" i="14" l="1"/>
  <c r="BG18" i="14" s="1"/>
  <c r="BL18" i="14" s="1"/>
  <c r="BQ18" i="14" s="1"/>
  <c r="BU18" i="14" s="1"/>
  <c r="BV18" i="14" s="1"/>
  <c r="BW18" i="14" s="1"/>
  <c r="BX18" i="14" s="1"/>
  <c r="BY18" i="14" s="1"/>
  <c r="BZ18" i="14" s="1"/>
  <c r="CA18" i="14" s="1"/>
  <c r="AT11" i="12"/>
  <c r="W151" i="12"/>
  <c r="T152" i="12"/>
  <c r="T153" i="12" s="1"/>
  <c r="U152" i="12"/>
  <c r="U153" i="12" s="1"/>
  <c r="V152" i="12"/>
  <c r="V153" i="12" s="1"/>
  <c r="W8" i="12"/>
  <c r="W70" i="14"/>
  <c r="W56" i="14"/>
  <c r="W57" i="14"/>
  <c r="W62" i="14"/>
  <c r="W63" i="14"/>
  <c r="W54" i="14"/>
  <c r="AB70" i="14"/>
  <c r="AB57" i="14"/>
  <c r="AB62" i="14"/>
  <c r="AB63" i="14"/>
  <c r="AB56" i="14"/>
  <c r="AB54" i="14"/>
  <c r="AO11" i="12"/>
  <c r="AB12" i="12"/>
  <c r="R8" i="12"/>
  <c r="R70" i="14"/>
  <c r="R56" i="14"/>
  <c r="R62" i="14"/>
  <c r="R57" i="14"/>
  <c r="R63" i="14"/>
  <c r="R54" i="14"/>
  <c r="R59" i="14"/>
  <c r="D14" i="31"/>
  <c r="X10" i="12"/>
  <c r="H8" i="12"/>
  <c r="X21" i="12"/>
  <c r="S21" i="12"/>
  <c r="R12" i="12"/>
  <c r="W59" i="14"/>
  <c r="O15" i="12"/>
  <c r="AC10" i="12"/>
  <c r="D8" i="31" s="1"/>
  <c r="W12" i="12"/>
  <c r="AB8" i="12"/>
  <c r="AG11" i="12"/>
  <c r="AI11" i="12"/>
  <c r="AK11" i="12"/>
  <c r="AB59" i="14"/>
  <c r="H12" i="14"/>
  <c r="H21" i="14" s="1"/>
  <c r="D44" i="12"/>
  <c r="G12" i="14"/>
  <c r="G21" i="14" s="1"/>
  <c r="I24" i="13"/>
  <c r="I7" i="13"/>
  <c r="I18" i="13"/>
  <c r="I53" i="13"/>
  <c r="E46" i="13"/>
  <c r="AZ11" i="12" l="1"/>
  <c r="AY11" i="12"/>
  <c r="AU11" i="12"/>
  <c r="AB152" i="12"/>
  <c r="AD152" i="12"/>
  <c r="W152" i="12"/>
  <c r="W153" i="12" s="1"/>
  <c r="Z152" i="12"/>
  <c r="Z153" i="12" s="1"/>
  <c r="Z155" i="12" s="1"/>
  <c r="Z160" i="12" s="1"/>
  <c r="AA152" i="12"/>
  <c r="AA153" i="12" s="1"/>
  <c r="AA155" i="12" s="1"/>
  <c r="AA160" i="12" s="1"/>
  <c r="Y152" i="12"/>
  <c r="Y153" i="12" s="1"/>
  <c r="Y155" i="12" s="1"/>
  <c r="Y160" i="12" s="1"/>
  <c r="AN11" i="12"/>
  <c r="AH34" i="14"/>
  <c r="AP11" i="12"/>
  <c r="AM9" i="12"/>
  <c r="AL11" i="12"/>
  <c r="I45" i="13"/>
  <c r="I30" i="13"/>
  <c r="I25" i="13"/>
  <c r="AH10" i="12"/>
  <c r="I28" i="13"/>
  <c r="I27" i="13"/>
  <c r="I10" i="13"/>
  <c r="I16" i="13"/>
  <c r="I22" i="13"/>
  <c r="F46" i="13"/>
  <c r="F49" i="14"/>
  <c r="E49" i="14"/>
  <c r="F12" i="14"/>
  <c r="F21" i="14" s="1"/>
  <c r="D54" i="12"/>
  <c r="D86" i="12"/>
  <c r="D87" i="12" s="1"/>
  <c r="D84" i="12"/>
  <c r="D83" i="12"/>
  <c r="D82" i="12"/>
  <c r="D33" i="12"/>
  <c r="D23" i="12"/>
  <c r="D31" i="14"/>
  <c r="D38" i="14" s="1"/>
  <c r="D12" i="14"/>
  <c r="D21" i="14" s="1"/>
  <c r="E12" i="14"/>
  <c r="E21" i="14" s="1"/>
  <c r="K6" i="15" l="1"/>
  <c r="BD11" i="12"/>
  <c r="AM10" i="12"/>
  <c r="F7" i="31"/>
  <c r="F8" i="31" s="1"/>
  <c r="AS11" i="12"/>
  <c r="AD153" i="12"/>
  <c r="AD155" i="12" s="1"/>
  <c r="AC160" i="12" s="1"/>
  <c r="AB153" i="12"/>
  <c r="AB155" i="12" s="1"/>
  <c r="AB160" i="12" s="1"/>
  <c r="AR9" i="12"/>
  <c r="AQ11" i="12"/>
  <c r="D41" i="14"/>
  <c r="D42" i="14" s="1"/>
  <c r="D45" i="14" s="1"/>
  <c r="F51" i="14"/>
  <c r="H46" i="13"/>
  <c r="I52" i="13"/>
  <c r="I66" i="13" s="1"/>
  <c r="I37" i="13"/>
  <c r="I46" i="13" s="1"/>
  <c r="G46" i="13"/>
  <c r="D32" i="12"/>
  <c r="D30" i="12"/>
  <c r="D35" i="12"/>
  <c r="D60" i="12" s="1"/>
  <c r="D24" i="12"/>
  <c r="D28" i="12"/>
  <c r="K11" i="15" l="1"/>
  <c r="BY9" i="12"/>
  <c r="BI11" i="12"/>
  <c r="BJ11" i="12"/>
  <c r="AX11" i="12"/>
  <c r="AR20" i="12"/>
  <c r="AR21" i="12" s="1"/>
  <c r="G14" i="31" s="1"/>
  <c r="AR10" i="12"/>
  <c r="G7" i="31"/>
  <c r="AW9" i="12"/>
  <c r="AV11" i="12"/>
  <c r="D46" i="12"/>
  <c r="D36" i="12"/>
  <c r="S52" i="13"/>
  <c r="R14" i="12"/>
  <c r="O7" i="12"/>
  <c r="P6" i="12"/>
  <c r="Q6" i="12"/>
  <c r="R6" i="12"/>
  <c r="O6" i="12"/>
  <c r="Q12" i="14"/>
  <c r="Q21" i="14" s="1"/>
  <c r="N25" i="13"/>
  <c r="N10" i="13"/>
  <c r="K77" i="13"/>
  <c r="N18" i="13"/>
  <c r="Q15" i="12"/>
  <c r="F82" i="12"/>
  <c r="G49" i="14"/>
  <c r="G51" i="14" s="1"/>
  <c r="H49" i="14"/>
  <c r="H82" i="12" s="1"/>
  <c r="J49" i="14"/>
  <c r="K49" i="14"/>
  <c r="K82" i="12" s="1"/>
  <c r="L49" i="14"/>
  <c r="M49" i="14"/>
  <c r="M82" i="12" s="1"/>
  <c r="Q82" i="12"/>
  <c r="R82" i="12"/>
  <c r="T49" i="14"/>
  <c r="U49" i="14"/>
  <c r="U82" i="12" s="1"/>
  <c r="V49" i="14"/>
  <c r="V82" i="12" s="1"/>
  <c r="P12" i="14"/>
  <c r="P21" i="14" s="1"/>
  <c r="J46" i="13"/>
  <c r="O46" i="13"/>
  <c r="T46" i="13"/>
  <c r="AD46" i="13"/>
  <c r="AE46" i="13"/>
  <c r="AF46" i="13"/>
  <c r="AG46" i="13"/>
  <c r="AJ46" i="13"/>
  <c r="AK46" i="13"/>
  <c r="AL46" i="13"/>
  <c r="S40" i="12"/>
  <c r="S41" i="12"/>
  <c r="S42" i="12"/>
  <c r="S43" i="12"/>
  <c r="M12" i="14"/>
  <c r="M21" i="14" s="1"/>
  <c r="AD32" i="12"/>
  <c r="AD28" i="12"/>
  <c r="AH14" i="14"/>
  <c r="AI77" i="13" s="1"/>
  <c r="AE44" i="12"/>
  <c r="AB23" i="12"/>
  <c r="AB24" i="12" s="1"/>
  <c r="AB33" i="12"/>
  <c r="AB44" i="12"/>
  <c r="V23" i="12"/>
  <c r="V44" i="12"/>
  <c r="V54" i="12"/>
  <c r="AA23" i="12"/>
  <c r="AA44" i="12"/>
  <c r="Z23" i="12"/>
  <c r="Z24" i="12" s="1"/>
  <c r="Z33" i="12"/>
  <c r="I75" i="13"/>
  <c r="T86" i="12"/>
  <c r="T87" i="12" s="1"/>
  <c r="U86" i="12"/>
  <c r="U87" i="12" s="1"/>
  <c r="V86" i="12"/>
  <c r="V87" i="12" s="1"/>
  <c r="W86" i="12"/>
  <c r="W87" i="12" s="1"/>
  <c r="T23" i="12"/>
  <c r="T24" i="12" s="1"/>
  <c r="T54" i="12"/>
  <c r="O32" i="12"/>
  <c r="O33" i="12"/>
  <c r="O44" i="12"/>
  <c r="O54" i="12"/>
  <c r="P23" i="12"/>
  <c r="P33" i="12"/>
  <c r="P44" i="12"/>
  <c r="P54" i="12"/>
  <c r="Q23" i="12"/>
  <c r="Q24" i="12" s="1"/>
  <c r="Q33" i="12"/>
  <c r="Q44" i="12"/>
  <c r="Q54" i="12"/>
  <c r="R33" i="12"/>
  <c r="R44" i="12"/>
  <c r="R54" i="12"/>
  <c r="S39" i="12"/>
  <c r="S70" i="12"/>
  <c r="T44" i="12"/>
  <c r="U23" i="12"/>
  <c r="U24" i="12" s="1"/>
  <c r="U54" i="12"/>
  <c r="W23" i="12"/>
  <c r="W44" i="12"/>
  <c r="W54" i="12"/>
  <c r="Z44" i="12"/>
  <c r="AC43" i="12"/>
  <c r="AC44" i="12" s="1"/>
  <c r="AD44" i="12"/>
  <c r="AF44" i="12"/>
  <c r="AG44" i="12"/>
  <c r="AI44" i="12"/>
  <c r="AM39" i="12"/>
  <c r="Y44" i="12"/>
  <c r="AD47" i="14"/>
  <c r="X18" i="14"/>
  <c r="X8" i="14"/>
  <c r="X11" i="14"/>
  <c r="AB82" i="12"/>
  <c r="Y102" i="12"/>
  <c r="Y108" i="12" s="1"/>
  <c r="AD102" i="12"/>
  <c r="AD108" i="12" s="1"/>
  <c r="AC82" i="12"/>
  <c r="AD30" i="12"/>
  <c r="X37" i="14"/>
  <c r="AB128" i="12"/>
  <c r="AB129" i="12" s="1"/>
  <c r="AA128" i="12"/>
  <c r="V128" i="12"/>
  <c r="U128" i="12"/>
  <c r="T128" i="12"/>
  <c r="AM101" i="12"/>
  <c r="AL101" i="12"/>
  <c r="AK101" i="12"/>
  <c r="AJ101" i="12"/>
  <c r="AI101" i="12"/>
  <c r="Z12" i="14"/>
  <c r="Z21" i="14" s="1"/>
  <c r="AA12" i="14"/>
  <c r="AA21" i="14" s="1"/>
  <c r="AB12" i="14"/>
  <c r="AB21" i="14" s="1"/>
  <c r="Y12" i="14"/>
  <c r="Y21" i="14" s="1"/>
  <c r="U12" i="14"/>
  <c r="U21" i="14" s="1"/>
  <c r="V12" i="14"/>
  <c r="V21" i="14" s="1"/>
  <c r="W12" i="14"/>
  <c r="W21" i="14" s="1"/>
  <c r="T12" i="14"/>
  <c r="T21" i="14" s="1"/>
  <c r="R12" i="14"/>
  <c r="R21" i="14" s="1"/>
  <c r="AB6" i="12"/>
  <c r="X25" i="14"/>
  <c r="F33" i="12"/>
  <c r="G33" i="12"/>
  <c r="H33" i="12"/>
  <c r="E33" i="12"/>
  <c r="F30" i="12"/>
  <c r="N82" i="12"/>
  <c r="V31" i="14"/>
  <c r="V38" i="14" s="1"/>
  <c r="W31" i="14"/>
  <c r="W38" i="14" s="1"/>
  <c r="U31" i="14"/>
  <c r="U38" i="14" s="1"/>
  <c r="T31" i="14"/>
  <c r="T38" i="14" s="1"/>
  <c r="Q31" i="14"/>
  <c r="Q38" i="14" s="1"/>
  <c r="R31" i="14"/>
  <c r="R38" i="14" s="1"/>
  <c r="P31" i="14"/>
  <c r="P38" i="14" s="1"/>
  <c r="O31" i="14"/>
  <c r="O38" i="14" s="1"/>
  <c r="M31" i="14"/>
  <c r="M38" i="14" s="1"/>
  <c r="H31" i="14"/>
  <c r="B23" i="11"/>
  <c r="C18" i="11"/>
  <c r="D18" i="11" s="1"/>
  <c r="E18" i="11" s="1"/>
  <c r="F18" i="11" s="1"/>
  <c r="B18" i="11"/>
  <c r="C17" i="11"/>
  <c r="B17" i="11"/>
  <c r="K15" i="11"/>
  <c r="J15" i="11"/>
  <c r="I15" i="11"/>
  <c r="C15" i="11"/>
  <c r="B15" i="11"/>
  <c r="K14" i="11"/>
  <c r="J14" i="11"/>
  <c r="I14" i="11"/>
  <c r="K13" i="11"/>
  <c r="J13" i="11"/>
  <c r="I13" i="11"/>
  <c r="L13" i="11" s="1"/>
  <c r="C13" i="11"/>
  <c r="B13" i="11"/>
  <c r="K12" i="11"/>
  <c r="J12" i="11"/>
  <c r="I12" i="11"/>
  <c r="L12" i="11" s="1"/>
  <c r="K11" i="11"/>
  <c r="J11" i="11"/>
  <c r="I11" i="11"/>
  <c r="L11" i="11" s="1"/>
  <c r="K10" i="11"/>
  <c r="J10" i="11"/>
  <c r="I10" i="11"/>
  <c r="L10" i="11" s="1"/>
  <c r="C5" i="11"/>
  <c r="D5" i="11" s="1"/>
  <c r="E5" i="11" s="1"/>
  <c r="D3" i="11"/>
  <c r="E3" i="11" s="1"/>
  <c r="F3" i="11" s="1"/>
  <c r="B3" i="11"/>
  <c r="K2" i="11"/>
  <c r="J2" i="11"/>
  <c r="C2" i="11"/>
  <c r="B2" i="11"/>
  <c r="B6" i="11" s="1"/>
  <c r="I68" i="13"/>
  <c r="B2" i="13"/>
  <c r="S82" i="12"/>
  <c r="AA31" i="14"/>
  <c r="AA38" i="14" s="1"/>
  <c r="Z31" i="14"/>
  <c r="Z38" i="14" s="1"/>
  <c r="Y31" i="14"/>
  <c r="Y38" i="14" s="1"/>
  <c r="L31" i="14"/>
  <c r="L38" i="14" s="1"/>
  <c r="K31" i="14"/>
  <c r="K38" i="14" s="1"/>
  <c r="J31" i="14"/>
  <c r="J38" i="14" s="1"/>
  <c r="G31" i="14"/>
  <c r="G38" i="14" s="1"/>
  <c r="F31" i="14"/>
  <c r="F38" i="14" s="1"/>
  <c r="E31" i="14"/>
  <c r="E38" i="14" s="1"/>
  <c r="X24" i="14"/>
  <c r="X20" i="14"/>
  <c r="X14" i="14"/>
  <c r="B2" i="14"/>
  <c r="AH101" i="12"/>
  <c r="AG101" i="12"/>
  <c r="AE101" i="12"/>
  <c r="AD101" i="12"/>
  <c r="AC101" i="12"/>
  <c r="AB101" i="12"/>
  <c r="AA101" i="12"/>
  <c r="Z101" i="12"/>
  <c r="Y101" i="12"/>
  <c r="X101" i="12"/>
  <c r="W101" i="12"/>
  <c r="V101" i="12"/>
  <c r="AA84" i="12"/>
  <c r="Z84" i="12"/>
  <c r="Y84" i="12"/>
  <c r="W84" i="12"/>
  <c r="V84" i="12"/>
  <c r="U84" i="12"/>
  <c r="T84" i="12"/>
  <c r="H84" i="12"/>
  <c r="H86" i="12" s="1"/>
  <c r="H87" i="12" s="1"/>
  <c r="G84" i="12"/>
  <c r="G86" i="12" s="1"/>
  <c r="G87" i="12" s="1"/>
  <c r="F84" i="12"/>
  <c r="F86" i="12" s="1"/>
  <c r="F87" i="12" s="1"/>
  <c r="E84" i="12"/>
  <c r="E86" i="12" s="1"/>
  <c r="E87" i="12" s="1"/>
  <c r="X82" i="12"/>
  <c r="I82" i="12"/>
  <c r="E82" i="12"/>
  <c r="H54" i="12"/>
  <c r="G54" i="12"/>
  <c r="F54" i="12"/>
  <c r="E54" i="12"/>
  <c r="H44" i="12"/>
  <c r="G44" i="12"/>
  <c r="F44" i="12"/>
  <c r="E44" i="12"/>
  <c r="R7" i="12"/>
  <c r="Q7" i="12"/>
  <c r="P7" i="12"/>
  <c r="H7" i="12"/>
  <c r="G7" i="12"/>
  <c r="F7" i="12"/>
  <c r="E4" i="15"/>
  <c r="P32" i="12"/>
  <c r="W6" i="12"/>
  <c r="H46" i="15"/>
  <c r="W7" i="12"/>
  <c r="Z120" i="12"/>
  <c r="Z7" i="12"/>
  <c r="Z6" i="12"/>
  <c r="AA30" i="12"/>
  <c r="W120" i="12"/>
  <c r="AA6" i="12"/>
  <c r="P28" i="12"/>
  <c r="V120" i="12"/>
  <c r="V6" i="12"/>
  <c r="AA120" i="12"/>
  <c r="AA7" i="12"/>
  <c r="V7" i="12"/>
  <c r="P30" i="12"/>
  <c r="U120" i="12"/>
  <c r="Y120" i="12"/>
  <c r="U7" i="12"/>
  <c r="T120" i="12"/>
  <c r="Y6" i="12"/>
  <c r="T7" i="12"/>
  <c r="Y7" i="12"/>
  <c r="E45" i="15"/>
  <c r="H62" i="14"/>
  <c r="AB120" i="12"/>
  <c r="AB7" i="12"/>
  <c r="W102" i="12"/>
  <c r="W15" i="12"/>
  <c r="AB30" i="12"/>
  <c r="AB32" i="12"/>
  <c r="AA15" i="12"/>
  <c r="AA14" i="12"/>
  <c r="Z102" i="12"/>
  <c r="Z108" i="12" s="1"/>
  <c r="Z15" i="12"/>
  <c r="Z30" i="12"/>
  <c r="Z14" i="12"/>
  <c r="Z28" i="12"/>
  <c r="V102" i="12"/>
  <c r="V15" i="12"/>
  <c r="V30" i="12"/>
  <c r="T102" i="12"/>
  <c r="U15" i="12"/>
  <c r="U102" i="12"/>
  <c r="U32" i="12"/>
  <c r="Y15" i="12"/>
  <c r="Y14" i="12"/>
  <c r="AD6" i="12"/>
  <c r="AD120" i="12"/>
  <c r="AD7" i="12"/>
  <c r="AD15" i="12"/>
  <c r="AB102" i="12"/>
  <c r="AB108" i="12" s="1"/>
  <c r="AB14" i="12"/>
  <c r="AB15" i="12"/>
  <c r="AD14" i="12"/>
  <c r="AB31" i="14"/>
  <c r="AB38" i="14" s="1"/>
  <c r="AD128" i="12"/>
  <c r="AD31" i="14"/>
  <c r="AD38" i="14" s="1"/>
  <c r="AB84" i="12"/>
  <c r="AD12" i="14"/>
  <c r="AD21" i="14" s="1"/>
  <c r="BX9" i="12" l="1"/>
  <c r="BY11" i="12" s="1"/>
  <c r="BY20" i="12"/>
  <c r="BS11" i="12"/>
  <c r="J5" i="11"/>
  <c r="I6" i="11"/>
  <c r="L3" i="11"/>
  <c r="K5" i="11"/>
  <c r="K6" i="11"/>
  <c r="J6" i="11"/>
  <c r="L4" i="11"/>
  <c r="I4" i="11"/>
  <c r="J4" i="11"/>
  <c r="J7" i="11"/>
  <c r="I7" i="11"/>
  <c r="G8" i="31"/>
  <c r="BC11" i="12"/>
  <c r="L5" i="11"/>
  <c r="J3" i="11"/>
  <c r="K3" i="11"/>
  <c r="L14" i="11"/>
  <c r="L6" i="11" s="1"/>
  <c r="AW20" i="12"/>
  <c r="AW21" i="12" s="1"/>
  <c r="BA11" i="12"/>
  <c r="BB9" i="12"/>
  <c r="AW10" i="12"/>
  <c r="AD41" i="14"/>
  <c r="AD42" i="14" s="1"/>
  <c r="AD45" i="14" s="1"/>
  <c r="L31" i="15"/>
  <c r="AS151" i="12"/>
  <c r="AI13" i="12"/>
  <c r="AG13" i="12"/>
  <c r="AG49" i="13" s="1"/>
  <c r="AC13" i="12"/>
  <c r="AC19" i="12"/>
  <c r="D13" i="31" s="1"/>
  <c r="I31" i="14"/>
  <c r="I38" i="14" s="1"/>
  <c r="H38" i="14"/>
  <c r="H41" i="14" s="1"/>
  <c r="I41" i="14" s="1"/>
  <c r="AC31" i="14"/>
  <c r="AC38" i="14" s="1"/>
  <c r="AC41" i="14" s="1"/>
  <c r="AC42" i="14" s="1"/>
  <c r="AB41" i="14"/>
  <c r="AB42" i="14" s="1"/>
  <c r="R41" i="14"/>
  <c r="R42" i="14" s="1"/>
  <c r="R45" i="14" s="1"/>
  <c r="S31" i="14"/>
  <c r="S38" i="14" s="1"/>
  <c r="AA41" i="14"/>
  <c r="AA42" i="14" s="1"/>
  <c r="AA45" i="14" s="1"/>
  <c r="S19" i="12"/>
  <c r="S13" i="12"/>
  <c r="AF13" i="12"/>
  <c r="AF49" i="13" s="1"/>
  <c r="X19" i="12"/>
  <c r="X13" i="12"/>
  <c r="U28" i="12"/>
  <c r="AA32" i="12"/>
  <c r="T30" i="12"/>
  <c r="V32" i="12"/>
  <c r="W32" i="12"/>
  <c r="Y33" i="12"/>
  <c r="W28" i="12"/>
  <c r="AA28" i="12"/>
  <c r="N31" i="14"/>
  <c r="N38" i="14" s="1"/>
  <c r="M41" i="14"/>
  <c r="N41" i="14" s="1"/>
  <c r="C3" i="11"/>
  <c r="AA51" i="14"/>
  <c r="C16" i="11"/>
  <c r="Q41" i="14"/>
  <c r="Q42" i="14" s="1"/>
  <c r="Q45" i="14" s="1"/>
  <c r="W41" i="14"/>
  <c r="W42" i="14" s="1"/>
  <c r="AA82" i="12"/>
  <c r="K4" i="11"/>
  <c r="B16" i="11"/>
  <c r="G82" i="12"/>
  <c r="I5" i="11"/>
  <c r="B14" i="11"/>
  <c r="K7" i="11"/>
  <c r="L15" i="11"/>
  <c r="D23" i="11"/>
  <c r="C23" i="11"/>
  <c r="B31" i="11"/>
  <c r="C31" i="11" s="1"/>
  <c r="D31" i="11" s="1"/>
  <c r="P82" i="12"/>
  <c r="K51" i="14"/>
  <c r="K50" i="14"/>
  <c r="C6" i="11"/>
  <c r="C14" i="11"/>
  <c r="W82" i="12"/>
  <c r="W103" i="12" s="1"/>
  <c r="W108" i="12" s="1"/>
  <c r="X108" i="12" s="1"/>
  <c r="W50" i="14"/>
  <c r="Y82" i="12"/>
  <c r="Z51" i="14"/>
  <c r="D2" i="11"/>
  <c r="C4" i="11"/>
  <c r="L26" i="15"/>
  <c r="S86" i="12"/>
  <c r="S84" i="12"/>
  <c r="T82" i="12"/>
  <c r="U103" i="12" s="1"/>
  <c r="J82" i="12"/>
  <c r="J51" i="14"/>
  <c r="J50" i="14"/>
  <c r="AB51" i="14"/>
  <c r="Z41" i="14"/>
  <c r="Z42" i="14" s="1"/>
  <c r="Z45" i="14" s="1"/>
  <c r="I3" i="11"/>
  <c r="B4" i="11"/>
  <c r="B8" i="11" s="1"/>
  <c r="B11" i="11" s="1"/>
  <c r="B21" i="11" s="1"/>
  <c r="L82" i="12"/>
  <c r="L51" i="14"/>
  <c r="L50" i="14"/>
  <c r="O41" i="14"/>
  <c r="O42" i="14" s="1"/>
  <c r="O45" i="14" s="1"/>
  <c r="AD50" i="14"/>
  <c r="O82" i="12"/>
  <c r="AD51" i="14"/>
  <c r="X31" i="14"/>
  <c r="X38" i="14" s="1"/>
  <c r="Y41" i="14"/>
  <c r="Y42" i="14" s="1"/>
  <c r="Y45" i="14" s="1"/>
  <c r="P41" i="14"/>
  <c r="P42" i="14" s="1"/>
  <c r="P45" i="14" s="1"/>
  <c r="M51" i="14"/>
  <c r="M50" i="14"/>
  <c r="H51" i="14"/>
  <c r="N45" i="13"/>
  <c r="L46" i="13"/>
  <c r="N24" i="13"/>
  <c r="L77" i="13"/>
  <c r="N22" i="13"/>
  <c r="N53" i="13"/>
  <c r="P77" i="13"/>
  <c r="V46" i="13"/>
  <c r="N52" i="13"/>
  <c r="U46" i="13"/>
  <c r="N30" i="13"/>
  <c r="K46" i="13"/>
  <c r="P46" i="13"/>
  <c r="N27" i="13"/>
  <c r="V28" i="12"/>
  <c r="U33" i="12"/>
  <c r="U35" i="12" s="1"/>
  <c r="U60" i="12" s="1"/>
  <c r="Y28" i="12"/>
  <c r="T32" i="12"/>
  <c r="U121" i="12"/>
  <c r="U124" i="12" s="1"/>
  <c r="U125" i="12" s="1"/>
  <c r="AF120" i="12"/>
  <c r="N68" i="13"/>
  <c r="S44" i="12"/>
  <c r="P35" i="12"/>
  <c r="P46" i="12" s="1"/>
  <c r="S33" i="12"/>
  <c r="AI7" i="12"/>
  <c r="Y121" i="12"/>
  <c r="T28" i="12"/>
  <c r="AB28" i="12"/>
  <c r="AM44" i="12"/>
  <c r="AD33" i="12"/>
  <c r="U44" i="12"/>
  <c r="T33" i="12"/>
  <c r="T35" i="12" s="1"/>
  <c r="T60" i="12" s="1"/>
  <c r="T63" i="12" s="1"/>
  <c r="W33" i="12"/>
  <c r="W35" i="12" s="1"/>
  <c r="W46" i="12" s="1"/>
  <c r="AB35" i="12"/>
  <c r="AB36" i="12" s="1"/>
  <c r="AD121" i="12"/>
  <c r="AD124" i="12" s="1"/>
  <c r="AD125" i="12" s="1"/>
  <c r="Z121" i="12"/>
  <c r="Z124" i="12" s="1"/>
  <c r="Z125" i="12" s="1"/>
  <c r="AA33" i="12"/>
  <c r="AA35" i="12" s="1"/>
  <c r="V33" i="12"/>
  <c r="V35" i="12" s="1"/>
  <c r="V46" i="12" s="1"/>
  <c r="P24" i="12"/>
  <c r="V24" i="12"/>
  <c r="AI120" i="12"/>
  <c r="W121" i="12"/>
  <c r="W124" i="12" s="1"/>
  <c r="W125" i="12" s="1"/>
  <c r="X87" i="12"/>
  <c r="AG120" i="12"/>
  <c r="AG7" i="12"/>
  <c r="Y32" i="12"/>
  <c r="U30" i="12"/>
  <c r="Z32" i="12"/>
  <c r="V121" i="12"/>
  <c r="V124" i="12" s="1"/>
  <c r="V125" i="12" s="1"/>
  <c r="G15" i="12"/>
  <c r="AD23" i="12"/>
  <c r="Y30" i="12"/>
  <c r="W30" i="12"/>
  <c r="T121" i="12"/>
  <c r="T124" i="12" s="1"/>
  <c r="T125" i="12" s="1"/>
  <c r="E28" i="12"/>
  <c r="E54" i="14"/>
  <c r="E70" i="14"/>
  <c r="E63" i="14"/>
  <c r="E59" i="14"/>
  <c r="E62" i="14"/>
  <c r="E56" i="14"/>
  <c r="E47" i="14"/>
  <c r="Y23" i="12"/>
  <c r="AA24" i="12"/>
  <c r="G28" i="12"/>
  <c r="Q32" i="12"/>
  <c r="Q35" i="12"/>
  <c r="Q60" i="12" s="1"/>
  <c r="Q63" i="12" s="1"/>
  <c r="R32" i="12"/>
  <c r="G30" i="12"/>
  <c r="G32" i="12"/>
  <c r="R28" i="12"/>
  <c r="P15" i="12"/>
  <c r="W14" i="12"/>
  <c r="P14" i="12"/>
  <c r="H47" i="14"/>
  <c r="H70" i="14"/>
  <c r="H56" i="14"/>
  <c r="H59" i="14"/>
  <c r="H54" i="14"/>
  <c r="H63" i="14"/>
  <c r="T15" i="12"/>
  <c r="V14" i="12"/>
  <c r="F32" i="12"/>
  <c r="O28" i="12"/>
  <c r="H15" i="12"/>
  <c r="R15" i="12"/>
  <c r="H30" i="12"/>
  <c r="H32" i="12"/>
  <c r="H28" i="12"/>
  <c r="Q28" i="12"/>
  <c r="Q30" i="12"/>
  <c r="G63" i="14"/>
  <c r="G62" i="14"/>
  <c r="G59" i="14"/>
  <c r="G56" i="14"/>
  <c r="G54" i="14"/>
  <c r="G70" i="14"/>
  <c r="G47" i="14"/>
  <c r="R23" i="12"/>
  <c r="K70" i="14"/>
  <c r="K62" i="14"/>
  <c r="K47" i="14"/>
  <c r="K59" i="14"/>
  <c r="K56" i="14"/>
  <c r="K54" i="14"/>
  <c r="K63" i="14"/>
  <c r="L63" i="14"/>
  <c r="L62" i="14"/>
  <c r="L47" i="14"/>
  <c r="L59" i="14"/>
  <c r="L56" i="14"/>
  <c r="L54" i="14"/>
  <c r="L70" i="14"/>
  <c r="O14" i="12"/>
  <c r="Q14" i="12"/>
  <c r="F23" i="12"/>
  <c r="F35" i="12" s="1"/>
  <c r="F62" i="14"/>
  <c r="F47" i="14"/>
  <c r="F70" i="14"/>
  <c r="F63" i="14"/>
  <c r="F56" i="14"/>
  <c r="F59" i="14"/>
  <c r="F54" i="14"/>
  <c r="J59" i="14"/>
  <c r="J56" i="14"/>
  <c r="J54" i="14"/>
  <c r="J63" i="14"/>
  <c r="J62" i="14"/>
  <c r="J47" i="14"/>
  <c r="J70" i="14"/>
  <c r="F28" i="12"/>
  <c r="O30" i="12"/>
  <c r="R30" i="12"/>
  <c r="H23" i="12"/>
  <c r="H24" i="12" s="1"/>
  <c r="O23" i="12"/>
  <c r="M47" i="14"/>
  <c r="M59" i="14"/>
  <c r="M54" i="14"/>
  <c r="M70" i="14"/>
  <c r="M63" i="14"/>
  <c r="M62" i="14"/>
  <c r="M56" i="14"/>
  <c r="AA121" i="12"/>
  <c r="AC6" i="12"/>
  <c r="D6" i="31" s="1"/>
  <c r="AB121" i="12"/>
  <c r="W24" i="12"/>
  <c r="Z35" i="12"/>
  <c r="Z46" i="12" s="1"/>
  <c r="X6" i="12"/>
  <c r="E31" i="15"/>
  <c r="F31" i="15" s="1"/>
  <c r="H31" i="15"/>
  <c r="E26" i="15"/>
  <c r="F26" i="15" s="1"/>
  <c r="E46" i="15"/>
  <c r="H26" i="15"/>
  <c r="N16" i="13"/>
  <c r="V103" i="12"/>
  <c r="I12" i="14"/>
  <c r="I21" i="14" s="1"/>
  <c r="AC12" i="14"/>
  <c r="AB50" i="14"/>
  <c r="Y51" i="14"/>
  <c r="AC84" i="12"/>
  <c r="K41" i="14"/>
  <c r="K42" i="14" s="1"/>
  <c r="K45" i="14" s="1"/>
  <c r="V129" i="12"/>
  <c r="V130" i="12" s="1"/>
  <c r="AD82" i="12"/>
  <c r="N12" i="14"/>
  <c r="N21" i="14" s="1"/>
  <c r="V41" i="14"/>
  <c r="V42" i="14" s="1"/>
  <c r="V45" i="14" s="1"/>
  <c r="U41" i="14"/>
  <c r="U42" i="14" s="1"/>
  <c r="U45" i="14" s="1"/>
  <c r="T41" i="14"/>
  <c r="T42" i="14" s="1"/>
  <c r="T45" i="14" s="1"/>
  <c r="L41" i="14"/>
  <c r="L42" i="14" s="1"/>
  <c r="L45" i="14" s="1"/>
  <c r="G41" i="14"/>
  <c r="G42" i="14" s="1"/>
  <c r="G45" i="14" s="1"/>
  <c r="G23" i="12"/>
  <c r="D62" i="12"/>
  <c r="D63" i="12"/>
  <c r="D74" i="12" s="1"/>
  <c r="D66" i="12"/>
  <c r="D57" i="12" s="1"/>
  <c r="D47" i="12"/>
  <c r="H45" i="15"/>
  <c r="W129" i="12"/>
  <c r="W130" i="12" s="1"/>
  <c r="AD129" i="12"/>
  <c r="J41" i="14"/>
  <c r="J42" i="14" s="1"/>
  <c r="J45" i="14" s="1"/>
  <c r="X84" i="12"/>
  <c r="X12" i="14"/>
  <c r="F41" i="14"/>
  <c r="F42" i="14" s="1"/>
  <c r="F45" i="14" s="1"/>
  <c r="U129" i="12"/>
  <c r="T129" i="12"/>
  <c r="E41" i="14"/>
  <c r="E42" i="14" s="1"/>
  <c r="E45" i="14" s="1"/>
  <c r="E32" i="12"/>
  <c r="E30" i="12"/>
  <c r="E23" i="12"/>
  <c r="F15" i="12"/>
  <c r="BX11" i="12" l="1"/>
  <c r="BX20" i="12"/>
  <c r="L7" i="11"/>
  <c r="C8" i="11"/>
  <c r="C11" i="11" s="1"/>
  <c r="BB20" i="12"/>
  <c r="BB21" i="12" s="1"/>
  <c r="BF11" i="12"/>
  <c r="BG9" i="12"/>
  <c r="BB10" i="12"/>
  <c r="C71" i="28"/>
  <c r="C30" i="28"/>
  <c r="C32" i="28"/>
  <c r="AI68" i="14"/>
  <c r="AI64" i="14"/>
  <c r="AI58" i="14"/>
  <c r="AI54" i="14"/>
  <c r="AI67" i="14"/>
  <c r="AI57" i="14"/>
  <c r="AI70" i="14"/>
  <c r="AI66" i="14"/>
  <c r="AI62" i="14"/>
  <c r="AI56" i="14"/>
  <c r="AI69" i="14"/>
  <c r="AI65" i="14"/>
  <c r="AI59" i="14"/>
  <c r="AI55" i="14"/>
  <c r="AI63" i="14"/>
  <c r="AG69" i="14"/>
  <c r="AG64" i="14"/>
  <c r="AG57" i="14"/>
  <c r="AA46" i="12"/>
  <c r="AF69" i="14"/>
  <c r="AF64" i="14"/>
  <c r="AF57" i="14"/>
  <c r="AS120" i="12"/>
  <c r="AS13" i="12"/>
  <c r="AC45" i="14"/>
  <c r="F5" i="31"/>
  <c r="N66" i="13"/>
  <c r="AI32" i="12"/>
  <c r="AI28" i="12"/>
  <c r="AI30" i="12"/>
  <c r="AG59" i="14"/>
  <c r="AG70" i="14"/>
  <c r="AG54" i="14"/>
  <c r="AG62" i="14"/>
  <c r="AG56" i="14"/>
  <c r="AG63" i="14"/>
  <c r="AG30" i="12"/>
  <c r="AG28" i="12"/>
  <c r="AG32" i="12"/>
  <c r="AF102" i="12"/>
  <c r="AF108" i="12" s="1"/>
  <c r="X12" i="12"/>
  <c r="AK120" i="12"/>
  <c r="AF56" i="14"/>
  <c r="AF63" i="14"/>
  <c r="AF54" i="14"/>
  <c r="AF59" i="14"/>
  <c r="AF70" i="14"/>
  <c r="AF30" i="12"/>
  <c r="AF62" i="14"/>
  <c r="AF28" i="12"/>
  <c r="AF32" i="12"/>
  <c r="X96" i="12"/>
  <c r="AC30" i="12"/>
  <c r="AC96" i="12"/>
  <c r="AN7" i="12"/>
  <c r="I31" i="15"/>
  <c r="AN13" i="12"/>
  <c r="AN120" i="12"/>
  <c r="AS147" i="12" s="1"/>
  <c r="AX148" i="12" s="1"/>
  <c r="AH25" i="14"/>
  <c r="AQ151" i="12"/>
  <c r="AL13" i="12"/>
  <c r="AK13" i="12"/>
  <c r="S41" i="14"/>
  <c r="S42" i="14"/>
  <c r="S45" i="14" s="1"/>
  <c r="X41" i="14"/>
  <c r="M42" i="14"/>
  <c r="N42" i="14" s="1"/>
  <c r="N45" i="14" s="1"/>
  <c r="X42" i="14"/>
  <c r="X45" i="14" s="1"/>
  <c r="W45" i="14"/>
  <c r="AC8" i="12"/>
  <c r="AC15" i="12"/>
  <c r="X8" i="12"/>
  <c r="AC32" i="12"/>
  <c r="U122" i="12"/>
  <c r="U126" i="12" s="1"/>
  <c r="AC102" i="12"/>
  <c r="AC12" i="12"/>
  <c r="AF8" i="12"/>
  <c r="E2" i="11"/>
  <c r="D6" i="11"/>
  <c r="D15" i="11"/>
  <c r="D17" i="11" s="1"/>
  <c r="D13" i="11"/>
  <c r="D4" i="11"/>
  <c r="X33" i="12"/>
  <c r="S12" i="12"/>
  <c r="X28" i="12"/>
  <c r="B29" i="11"/>
  <c r="B24" i="11"/>
  <c r="B25" i="11" s="1"/>
  <c r="C21" i="11"/>
  <c r="S8" i="12"/>
  <c r="V47" i="12"/>
  <c r="N7" i="13"/>
  <c r="S66" i="13"/>
  <c r="AC66" i="13"/>
  <c r="N28" i="13"/>
  <c r="S68" i="13"/>
  <c r="N37" i="13"/>
  <c r="N46" i="13" s="1"/>
  <c r="M46" i="13"/>
  <c r="W46" i="13"/>
  <c r="W77" i="13"/>
  <c r="Q77" i="13"/>
  <c r="R77" i="13"/>
  <c r="Q46" i="13"/>
  <c r="R46" i="13"/>
  <c r="AG102" i="12"/>
  <c r="AG108" i="12" s="1"/>
  <c r="AH37" i="14"/>
  <c r="AI12" i="12"/>
  <c r="AI8" i="12"/>
  <c r="AG12" i="12"/>
  <c r="AG14" i="12"/>
  <c r="AH24" i="14"/>
  <c r="AG8" i="12"/>
  <c r="AF12" i="12"/>
  <c r="X102" i="12"/>
  <c r="U63" i="12"/>
  <c r="U62" i="12"/>
  <c r="AB46" i="12"/>
  <c r="I26" i="15"/>
  <c r="X14" i="12"/>
  <c r="AC14" i="12"/>
  <c r="D10" i="31" s="1"/>
  <c r="X23" i="12"/>
  <c r="X24" i="12" s="1"/>
  <c r="X32" i="12"/>
  <c r="W60" i="12"/>
  <c r="W62" i="12" s="1"/>
  <c r="AC23" i="12"/>
  <c r="AC24" i="12" s="1"/>
  <c r="D15" i="31" s="1"/>
  <c r="AC28" i="12"/>
  <c r="P60" i="12"/>
  <c r="P62" i="12" s="1"/>
  <c r="AB60" i="12"/>
  <c r="P36" i="12"/>
  <c r="U46" i="12"/>
  <c r="AL7" i="12"/>
  <c r="AI15" i="12"/>
  <c r="T122" i="12"/>
  <c r="T126" i="12" s="1"/>
  <c r="Y122" i="12"/>
  <c r="Y126" i="12" s="1"/>
  <c r="AL120" i="12"/>
  <c r="V133" i="12"/>
  <c r="Y124" i="12"/>
  <c r="Y125" i="12" s="1"/>
  <c r="AD122" i="12"/>
  <c r="Z122" i="12"/>
  <c r="Z126" i="12" s="1"/>
  <c r="U36" i="12"/>
  <c r="X30" i="12"/>
  <c r="V122" i="12"/>
  <c r="T62" i="12"/>
  <c r="W122" i="12"/>
  <c r="W126" i="12" s="1"/>
  <c r="W131" i="12" s="1"/>
  <c r="W132" i="12" s="1"/>
  <c r="T36" i="12"/>
  <c r="T46" i="12"/>
  <c r="T66" i="12" s="1"/>
  <c r="T57" i="12" s="1"/>
  <c r="AF14" i="12"/>
  <c r="AG15" i="12"/>
  <c r="F24" i="12"/>
  <c r="AC33" i="12"/>
  <c r="AD35" i="12"/>
  <c r="AD24" i="12"/>
  <c r="V60" i="12"/>
  <c r="V63" i="12" s="1"/>
  <c r="V66" i="12"/>
  <c r="W36" i="12"/>
  <c r="V36" i="12"/>
  <c r="Y35" i="12"/>
  <c r="Y24" i="12"/>
  <c r="AI14" i="12"/>
  <c r="AI102" i="12"/>
  <c r="AI108" i="12" s="1"/>
  <c r="Q36" i="12"/>
  <c r="Q46" i="12"/>
  <c r="Q47" i="12" s="1"/>
  <c r="Q62" i="12"/>
  <c r="H35" i="12"/>
  <c r="H36" i="12" s="1"/>
  <c r="Q74" i="12"/>
  <c r="Q64" i="12"/>
  <c r="O24" i="12"/>
  <c r="O35" i="12"/>
  <c r="R35" i="12"/>
  <c r="R24" i="12"/>
  <c r="Z36" i="12"/>
  <c r="Z60" i="12"/>
  <c r="Z62" i="12" s="1"/>
  <c r="AA122" i="12"/>
  <c r="AA126" i="12" s="1"/>
  <c r="AB122" i="12"/>
  <c r="AB126" i="12" s="1"/>
  <c r="AB124" i="12"/>
  <c r="AB125" i="12" s="1"/>
  <c r="AA124" i="12"/>
  <c r="AA125" i="12" s="1"/>
  <c r="T64" i="12"/>
  <c r="T74" i="12"/>
  <c r="W66" i="12"/>
  <c r="W57" i="12" s="1"/>
  <c r="W47" i="12"/>
  <c r="S30" i="12"/>
  <c r="S28" i="12"/>
  <c r="S23" i="12"/>
  <c r="S32" i="12"/>
  <c r="P66" i="12"/>
  <c r="P47" i="12"/>
  <c r="W110" i="12"/>
  <c r="W109" i="12"/>
  <c r="Z66" i="12"/>
  <c r="Z57" i="12" s="1"/>
  <c r="Z47" i="12"/>
  <c r="W133" i="12"/>
  <c r="AA133" i="12"/>
  <c r="AB45" i="14"/>
  <c r="G24" i="12"/>
  <c r="G35" i="12"/>
  <c r="G46" i="12" s="1"/>
  <c r="F60" i="12"/>
  <c r="F36" i="12"/>
  <c r="F46" i="12"/>
  <c r="D71" i="12"/>
  <c r="D68" i="12"/>
  <c r="D58" i="12"/>
  <c r="D64" i="12"/>
  <c r="AD130" i="12"/>
  <c r="AB130" i="12"/>
  <c r="T130" i="12"/>
  <c r="U130" i="12"/>
  <c r="AA109" i="12"/>
  <c r="H42" i="14"/>
  <c r="E35" i="12"/>
  <c r="E24" i="12"/>
  <c r="BM11" i="12" l="1"/>
  <c r="BG20" i="12"/>
  <c r="BG21" i="12" s="1"/>
  <c r="BK11" i="12"/>
  <c r="BL9" i="12"/>
  <c r="BL10" i="12" s="1"/>
  <c r="BG10" i="12"/>
  <c r="AS141" i="12"/>
  <c r="AX142" i="12" s="1"/>
  <c r="AL69" i="14"/>
  <c r="AL65" i="14"/>
  <c r="AL59" i="14"/>
  <c r="AL55" i="14"/>
  <c r="AL68" i="14"/>
  <c r="AL64" i="14"/>
  <c r="AL58" i="14"/>
  <c r="AL54" i="14"/>
  <c r="AL67" i="14"/>
  <c r="AL63" i="14"/>
  <c r="AL57" i="14"/>
  <c r="AL70" i="14"/>
  <c r="AL66" i="14"/>
  <c r="AL62" i="14"/>
  <c r="AL56" i="14"/>
  <c r="AN68" i="14"/>
  <c r="AN64" i="14"/>
  <c r="AN58" i="14"/>
  <c r="AN54" i="14"/>
  <c r="AN67" i="14"/>
  <c r="AN57" i="14"/>
  <c r="AN70" i="14"/>
  <c r="AN66" i="14"/>
  <c r="AN62" i="14"/>
  <c r="AN56" i="14"/>
  <c r="AN69" i="14"/>
  <c r="AN59" i="14"/>
  <c r="AN55" i="14"/>
  <c r="AN63" i="14"/>
  <c r="AN65" i="14"/>
  <c r="AK70" i="14"/>
  <c r="AK66" i="14"/>
  <c r="AK62" i="14"/>
  <c r="AK56" i="14"/>
  <c r="AK69" i="14"/>
  <c r="AK65" i="14"/>
  <c r="AK59" i="14"/>
  <c r="AK55" i="14"/>
  <c r="AK68" i="14"/>
  <c r="AK64" i="14"/>
  <c r="AK58" i="14"/>
  <c r="AK54" i="14"/>
  <c r="AK67" i="14"/>
  <c r="AK63" i="14"/>
  <c r="AK57" i="14"/>
  <c r="AS68" i="14"/>
  <c r="AS64" i="14"/>
  <c r="AS58" i="14"/>
  <c r="AS54" i="14"/>
  <c r="AS67" i="14"/>
  <c r="AS63" i="14"/>
  <c r="AS57" i="14"/>
  <c r="AS70" i="14"/>
  <c r="AS66" i="14"/>
  <c r="AS62" i="14"/>
  <c r="AS56" i="14"/>
  <c r="AS69" i="14"/>
  <c r="AS65" i="14"/>
  <c r="AS59" i="14"/>
  <c r="AS55" i="14"/>
  <c r="AD57" i="12"/>
  <c r="AA36" i="12"/>
  <c r="AA60" i="12"/>
  <c r="AA63" i="12" s="1"/>
  <c r="AA74" i="12" s="1"/>
  <c r="AA47" i="12"/>
  <c r="AA66" i="12"/>
  <c r="AA57" i="12" s="1"/>
  <c r="AL28" i="12"/>
  <c r="AL30" i="12"/>
  <c r="AL32" i="12"/>
  <c r="AN28" i="12"/>
  <c r="AN32" i="12"/>
  <c r="AN30" i="12"/>
  <c r="F9" i="31"/>
  <c r="F10" i="31" s="1"/>
  <c r="F6" i="31"/>
  <c r="AX14" i="12"/>
  <c r="AS30" i="12"/>
  <c r="AS28" i="12"/>
  <c r="AS32" i="12"/>
  <c r="AS22" i="12"/>
  <c r="AS23" i="12" s="1"/>
  <c r="AP151" i="12"/>
  <c r="AN22" i="12"/>
  <c r="AN23" i="12" s="1"/>
  <c r="AS8" i="12"/>
  <c r="AS102" i="12"/>
  <c r="AS14" i="12"/>
  <c r="AS12" i="12"/>
  <c r="AM26" i="14"/>
  <c r="AS7" i="12"/>
  <c r="AK32" i="12"/>
  <c r="AK28" i="12"/>
  <c r="AK30" i="12"/>
  <c r="AK49" i="14"/>
  <c r="AK82" i="12" s="1"/>
  <c r="AB131" i="12"/>
  <c r="AB132" i="12" s="1"/>
  <c r="AF82" i="12"/>
  <c r="AM34" i="14"/>
  <c r="AG82" i="12"/>
  <c r="AH82" i="12" s="1"/>
  <c r="AD110" i="12"/>
  <c r="AL8" i="12"/>
  <c r="AN8" i="12"/>
  <c r="AK12" i="12"/>
  <c r="AN12" i="12"/>
  <c r="AI128" i="12"/>
  <c r="AI49" i="14"/>
  <c r="AI82" i="12" s="1"/>
  <c r="AN15" i="12"/>
  <c r="AN14" i="12"/>
  <c r="AN102" i="12"/>
  <c r="AF47" i="14"/>
  <c r="D6" i="13"/>
  <c r="D33" i="13" s="1"/>
  <c r="D48" i="13" s="1"/>
  <c r="D49" i="13" s="1"/>
  <c r="D76" i="12"/>
  <c r="AB63" i="12"/>
  <c r="AB74" i="12" s="1"/>
  <c r="AB62" i="12"/>
  <c r="AH11" i="14"/>
  <c r="AG47" i="14"/>
  <c r="AH8" i="14"/>
  <c r="AK8" i="12"/>
  <c r="AP120" i="12"/>
  <c r="AU147" i="12" s="1"/>
  <c r="AP13" i="12"/>
  <c r="AQ120" i="12"/>
  <c r="AV147" i="12" s="1"/>
  <c r="AX149" i="12" s="1"/>
  <c r="AQ13" i="12"/>
  <c r="AQ7" i="12"/>
  <c r="AF50" i="14"/>
  <c r="AG50" i="14"/>
  <c r="AG128" i="12"/>
  <c r="AG129" i="12" s="1"/>
  <c r="AG130" i="12" s="1"/>
  <c r="AK14" i="12"/>
  <c r="AK102" i="12"/>
  <c r="AK108" i="12" s="1"/>
  <c r="M45" i="14"/>
  <c r="P63" i="12"/>
  <c r="P74" i="12" s="1"/>
  <c r="M77" i="13"/>
  <c r="V126" i="12"/>
  <c r="V131" i="12" s="1"/>
  <c r="V132" i="12" s="1"/>
  <c r="AB109" i="12"/>
  <c r="AB110" i="12"/>
  <c r="D8" i="11"/>
  <c r="D11" i="11" s="1"/>
  <c r="D21" i="11"/>
  <c r="D24" i="11" s="1"/>
  <c r="D25" i="11" s="1"/>
  <c r="C24" i="11"/>
  <c r="C25" i="11" s="1"/>
  <c r="B32" i="11"/>
  <c r="B33" i="11" s="1"/>
  <c r="C29" i="11"/>
  <c r="E6" i="11"/>
  <c r="E4" i="11"/>
  <c r="E13" i="11"/>
  <c r="F2" i="11"/>
  <c r="E15" i="11"/>
  <c r="E17" i="11" s="1"/>
  <c r="U64" i="12"/>
  <c r="V57" i="12"/>
  <c r="V58" i="12" s="1"/>
  <c r="S46" i="13"/>
  <c r="AH30" i="14"/>
  <c r="AH31" i="14" s="1"/>
  <c r="AH38" i="14" s="1"/>
  <c r="AL15" i="12"/>
  <c r="AL12" i="12"/>
  <c r="AC35" i="12"/>
  <c r="AC46" i="12" s="1"/>
  <c r="U47" i="12"/>
  <c r="U66" i="12"/>
  <c r="U57" i="12" s="1"/>
  <c r="AB47" i="12"/>
  <c r="W63" i="12"/>
  <c r="X35" i="12"/>
  <c r="AB66" i="12"/>
  <c r="AB57" i="12" s="1"/>
  <c r="AD126" i="12"/>
  <c r="V62" i="12"/>
  <c r="H60" i="12"/>
  <c r="H63" i="12" s="1"/>
  <c r="H64" i="12" s="1"/>
  <c r="T47" i="12"/>
  <c r="S108" i="12"/>
  <c r="AI33" i="12"/>
  <c r="AG33" i="12"/>
  <c r="AL49" i="14"/>
  <c r="AL82" i="12" s="1"/>
  <c r="AM82" i="12" s="1"/>
  <c r="AL102" i="12"/>
  <c r="AL108" i="12" s="1"/>
  <c r="AL14" i="12"/>
  <c r="V68" i="12"/>
  <c r="V71" i="12"/>
  <c r="V72" i="12" s="1"/>
  <c r="H46" i="12"/>
  <c r="H47" i="12" s="1"/>
  <c r="Q66" i="12"/>
  <c r="Q57" i="12" s="1"/>
  <c r="Q58" i="12" s="1"/>
  <c r="AF33" i="12"/>
  <c r="AF128" i="12"/>
  <c r="AF129" i="12" s="1"/>
  <c r="AF130" i="12" s="1"/>
  <c r="AI31" i="14"/>
  <c r="AI38" i="14" s="1"/>
  <c r="Y36" i="12"/>
  <c r="Y46" i="12"/>
  <c r="Y60" i="12"/>
  <c r="AD46" i="12"/>
  <c r="AD60" i="12"/>
  <c r="AD36" i="12"/>
  <c r="AF31" i="14"/>
  <c r="AF38" i="14" s="1"/>
  <c r="W137" i="12"/>
  <c r="R60" i="12"/>
  <c r="R36" i="12"/>
  <c r="R46" i="12"/>
  <c r="AA131" i="12"/>
  <c r="AA137" i="12" s="1"/>
  <c r="O46" i="12"/>
  <c r="O36" i="12"/>
  <c r="O60" i="12"/>
  <c r="Z63" i="12"/>
  <c r="Z74" i="12" s="1"/>
  <c r="V74" i="12"/>
  <c r="V64" i="12"/>
  <c r="W71" i="12"/>
  <c r="W6" i="13" s="1"/>
  <c r="W58" i="12"/>
  <c r="W68" i="12"/>
  <c r="T71" i="12"/>
  <c r="T58" i="12"/>
  <c r="T68" i="12"/>
  <c r="S24" i="12"/>
  <c r="S35" i="12"/>
  <c r="P71" i="12"/>
  <c r="P57" i="12"/>
  <c r="P58" i="12" s="1"/>
  <c r="P68" i="12"/>
  <c r="Z68" i="12"/>
  <c r="Z71" i="12"/>
  <c r="AB133" i="12"/>
  <c r="G60" i="12"/>
  <c r="G36" i="12"/>
  <c r="F47" i="12"/>
  <c r="F66" i="12"/>
  <c r="F63" i="12"/>
  <c r="F62" i="12"/>
  <c r="D72" i="12"/>
  <c r="AD133" i="12"/>
  <c r="Y131" i="12"/>
  <c r="Y132" i="12" s="1"/>
  <c r="Y133" i="12"/>
  <c r="I42" i="14"/>
  <c r="I45" i="14" s="1"/>
  <c r="H45" i="14"/>
  <c r="T131" i="12"/>
  <c r="T133" i="12"/>
  <c r="U131" i="12"/>
  <c r="U133" i="12"/>
  <c r="Z133" i="12"/>
  <c r="Z131" i="12"/>
  <c r="E46" i="12"/>
  <c r="E60" i="12"/>
  <c r="E63" i="12" s="1"/>
  <c r="E36" i="12"/>
  <c r="BP11" i="12" l="1"/>
  <c r="BU9" i="12"/>
  <c r="H11" i="15"/>
  <c r="I11" i="15" s="1"/>
  <c r="BQ9" i="12"/>
  <c r="BL20" i="12"/>
  <c r="BL21" i="12" s="1"/>
  <c r="AV141" i="12"/>
  <c r="AX143" i="12" s="1"/>
  <c r="AA64" i="12"/>
  <c r="AA62" i="12"/>
  <c r="AU141" i="12"/>
  <c r="AV149" i="12"/>
  <c r="AP70" i="14"/>
  <c r="AP66" i="14"/>
  <c r="AP62" i="14"/>
  <c r="AP56" i="14"/>
  <c r="AP69" i="14"/>
  <c r="AP65" i="14"/>
  <c r="AP59" i="14"/>
  <c r="AP55" i="14"/>
  <c r="AP68" i="14"/>
  <c r="AP64" i="14"/>
  <c r="AP58" i="14"/>
  <c r="AP54" i="14"/>
  <c r="AP67" i="14"/>
  <c r="AP57" i="14"/>
  <c r="AP63" i="14"/>
  <c r="AQ69" i="14"/>
  <c r="AQ65" i="14"/>
  <c r="AQ59" i="14"/>
  <c r="AQ55" i="14"/>
  <c r="AQ68" i="14"/>
  <c r="AQ64" i="14"/>
  <c r="AQ58" i="14"/>
  <c r="AQ54" i="14"/>
  <c r="AQ67" i="14"/>
  <c r="AQ63" i="14"/>
  <c r="AQ57" i="14"/>
  <c r="AQ70" i="14"/>
  <c r="AQ66" i="14"/>
  <c r="AQ62" i="14"/>
  <c r="AQ56" i="14"/>
  <c r="AC60" i="12"/>
  <c r="AC62" i="12" s="1"/>
  <c r="AC57" i="12"/>
  <c r="X46" i="12"/>
  <c r="X66" i="12" s="1"/>
  <c r="X57" i="12"/>
  <c r="AS24" i="12"/>
  <c r="AX7" i="12"/>
  <c r="AU151" i="12"/>
  <c r="AC36" i="12"/>
  <c r="D17" i="31"/>
  <c r="AQ28" i="12"/>
  <c r="AQ30" i="12"/>
  <c r="AQ32" i="12"/>
  <c r="AP30" i="12"/>
  <c r="AP32" i="12"/>
  <c r="AP28" i="12"/>
  <c r="AP22" i="12"/>
  <c r="AP23" i="12" s="1"/>
  <c r="AU120" i="12"/>
  <c r="AU13" i="12"/>
  <c r="AV7" i="12"/>
  <c r="AV151" i="12"/>
  <c r="AS33" i="12"/>
  <c r="AS35" i="12" s="1"/>
  <c r="AS128" i="12"/>
  <c r="AX129" i="12" s="1"/>
  <c r="BC130" i="12" s="1"/>
  <c r="AS31" i="14"/>
  <c r="AM15" i="14"/>
  <c r="AS15" i="12"/>
  <c r="AV120" i="12"/>
  <c r="AV13" i="12"/>
  <c r="AR34" i="14"/>
  <c r="AI47" i="14"/>
  <c r="AD131" i="12"/>
  <c r="AD137" i="12" s="1"/>
  <c r="AC108" i="12"/>
  <c r="AC109" i="12" s="1"/>
  <c r="AN49" i="14"/>
  <c r="AN82" i="12" s="1"/>
  <c r="AN103" i="12" s="1"/>
  <c r="AN108" i="12" s="1"/>
  <c r="AB64" i="12"/>
  <c r="AN33" i="12"/>
  <c r="AN35" i="12" s="1"/>
  <c r="AN57" i="12" s="1"/>
  <c r="AD111" i="12"/>
  <c r="AQ8" i="12"/>
  <c r="AK128" i="12"/>
  <c r="P64" i="12"/>
  <c r="AN128" i="12"/>
  <c r="AN31" i="14"/>
  <c r="AN38" i="14" s="1"/>
  <c r="D70" i="13"/>
  <c r="AM11" i="14"/>
  <c r="AP12" i="12"/>
  <c r="AP14" i="12"/>
  <c r="AP102" i="12"/>
  <c r="AP8" i="12"/>
  <c r="AR37" i="14"/>
  <c r="AQ12" i="12"/>
  <c r="AQ15" i="12"/>
  <c r="AQ102" i="12"/>
  <c r="AQ14" i="12"/>
  <c r="AQ22" i="12"/>
  <c r="AL128" i="12"/>
  <c r="AN24" i="12"/>
  <c r="AM8" i="14"/>
  <c r="AL47" i="14"/>
  <c r="AI50" i="14"/>
  <c r="AI129" i="12"/>
  <c r="AI130" i="12" s="1"/>
  <c r="AK33" i="12"/>
  <c r="AK31" i="14"/>
  <c r="AK38" i="14" s="1"/>
  <c r="V137" i="12"/>
  <c r="E8" i="11"/>
  <c r="E11" i="11" s="1"/>
  <c r="F13" i="11"/>
  <c r="B22" i="11"/>
  <c r="F15" i="11"/>
  <c r="F6" i="11"/>
  <c r="F4" i="11"/>
  <c r="B30" i="11"/>
  <c r="C32" i="11"/>
  <c r="C33" i="11" s="1"/>
  <c r="D29" i="11"/>
  <c r="D32" i="11" s="1"/>
  <c r="D33" i="11" s="1"/>
  <c r="W64" i="12"/>
  <c r="W74" i="12"/>
  <c r="AB75" i="12" s="1"/>
  <c r="AC66" i="12"/>
  <c r="X36" i="12"/>
  <c r="AB71" i="12"/>
  <c r="U68" i="12"/>
  <c r="X60" i="12"/>
  <c r="H62" i="12"/>
  <c r="H66" i="12"/>
  <c r="H71" i="12" s="1"/>
  <c r="H6" i="13" s="1"/>
  <c r="H74" i="12"/>
  <c r="AI51" i="14"/>
  <c r="AL33" i="12"/>
  <c r="Q71" i="12"/>
  <c r="Q68" i="12"/>
  <c r="AM30" i="14"/>
  <c r="AM24" i="14"/>
  <c r="AM25" i="14"/>
  <c r="AA71" i="12"/>
  <c r="AA68" i="12"/>
  <c r="V76" i="12"/>
  <c r="V6" i="13"/>
  <c r="AD66" i="12"/>
  <c r="AD47" i="12"/>
  <c r="Y66" i="12"/>
  <c r="Y57" i="12" s="1"/>
  <c r="Y47" i="12"/>
  <c r="AB137" i="12"/>
  <c r="AD63" i="12"/>
  <c r="AD74" i="12" s="1"/>
  <c r="AD62" i="12"/>
  <c r="Y63" i="12"/>
  <c r="Y62" i="12"/>
  <c r="AG51" i="14"/>
  <c r="AA132" i="12"/>
  <c r="O47" i="12"/>
  <c r="O66" i="12"/>
  <c r="L6" i="13"/>
  <c r="L33" i="13" s="1"/>
  <c r="M6" i="13"/>
  <c r="M33" i="13" s="1"/>
  <c r="O63" i="12"/>
  <c r="O62" i="12"/>
  <c r="R66" i="12"/>
  <c r="R47" i="12"/>
  <c r="R63" i="12"/>
  <c r="R62" i="12"/>
  <c r="Z64" i="12"/>
  <c r="T6" i="13"/>
  <c r="T33" i="13" s="1"/>
  <c r="T72" i="12"/>
  <c r="T76" i="12"/>
  <c r="W76" i="12"/>
  <c r="W72" i="12"/>
  <c r="W33" i="13"/>
  <c r="AA75" i="12"/>
  <c r="S36" i="12"/>
  <c r="S60" i="12"/>
  <c r="S46" i="12"/>
  <c r="P76" i="12"/>
  <c r="P72" i="12"/>
  <c r="P6" i="13"/>
  <c r="P33" i="13" s="1"/>
  <c r="Z76" i="12"/>
  <c r="Z72" i="12"/>
  <c r="G66" i="12"/>
  <c r="G47" i="12"/>
  <c r="G63" i="12"/>
  <c r="G62" i="12"/>
  <c r="F74" i="12"/>
  <c r="F64" i="12"/>
  <c r="F57" i="12"/>
  <c r="F58" i="12" s="1"/>
  <c r="F68" i="12"/>
  <c r="F71" i="12"/>
  <c r="Y137" i="12"/>
  <c r="T132" i="12"/>
  <c r="T137" i="12"/>
  <c r="U137" i="12"/>
  <c r="U132" i="12"/>
  <c r="Z132" i="12"/>
  <c r="Z137" i="12"/>
  <c r="E74" i="12"/>
  <c r="E64" i="12"/>
  <c r="E62" i="12"/>
  <c r="E66" i="12"/>
  <c r="E47" i="12"/>
  <c r="BZ9" i="12" l="1"/>
  <c r="BW11" i="12"/>
  <c r="E11" i="15"/>
  <c r="F11" i="15" s="1"/>
  <c r="L11" i="15"/>
  <c r="N6" i="15"/>
  <c r="H6" i="15"/>
  <c r="I6" i="15" s="1"/>
  <c r="E6" i="15"/>
  <c r="F6" i="15" s="1"/>
  <c r="L6" i="15"/>
  <c r="BU11" i="12"/>
  <c r="BU20" i="12"/>
  <c r="BV20" i="12" s="1"/>
  <c r="BV9" i="12"/>
  <c r="BQ10" i="12"/>
  <c r="BQ20" i="12"/>
  <c r="BQ21" i="12" s="1"/>
  <c r="BJ13" i="12"/>
  <c r="BO14" i="12" s="1"/>
  <c r="BJ151" i="12"/>
  <c r="BJ120" i="12"/>
  <c r="AV143" i="12"/>
  <c r="BE49" i="14"/>
  <c r="BE82" i="12" s="1"/>
  <c r="BE120" i="12"/>
  <c r="BE151" i="12"/>
  <c r="BC7" i="12"/>
  <c r="AV54" i="14"/>
  <c r="AV64" i="14"/>
  <c r="AV30" i="12"/>
  <c r="AV55" i="14"/>
  <c r="AV65" i="14"/>
  <c r="AV28" i="12"/>
  <c r="AV56" i="14"/>
  <c r="AV66" i="14"/>
  <c r="AV57" i="14"/>
  <c r="AV67" i="14"/>
  <c r="AV58" i="14"/>
  <c r="AV68" i="14"/>
  <c r="AV59" i="14"/>
  <c r="AV69" i="14"/>
  <c r="AV62" i="14"/>
  <c r="AV70" i="14"/>
  <c r="AV63" i="14"/>
  <c r="AV32" i="12"/>
  <c r="AS60" i="12"/>
  <c r="AS46" i="12"/>
  <c r="AS66" i="12" s="1"/>
  <c r="AS57" i="12"/>
  <c r="AV22" i="12"/>
  <c r="AV23" i="12" s="1"/>
  <c r="AV24" i="12" s="1"/>
  <c r="AU67" i="14"/>
  <c r="AU63" i="14"/>
  <c r="AU57" i="14"/>
  <c r="AU59" i="14"/>
  <c r="AU64" i="14"/>
  <c r="AU54" i="14"/>
  <c r="AU70" i="14"/>
  <c r="AU66" i="14"/>
  <c r="AU62" i="14"/>
  <c r="AU56" i="14"/>
  <c r="AU69" i="14"/>
  <c r="AU65" i="14"/>
  <c r="AU55" i="14"/>
  <c r="AU68" i="14"/>
  <c r="AU58" i="14"/>
  <c r="AU28" i="12"/>
  <c r="AU30" i="12"/>
  <c r="AU32" i="12"/>
  <c r="D18" i="31"/>
  <c r="C72" i="28"/>
  <c r="AW11" i="14"/>
  <c r="AW10" i="14"/>
  <c r="AW16" i="14"/>
  <c r="AW20" i="14"/>
  <c r="AU22" i="12"/>
  <c r="AU23" i="12" s="1"/>
  <c r="AU24" i="12" s="1"/>
  <c r="AU12" i="12"/>
  <c r="AU128" i="12"/>
  <c r="X47" i="12"/>
  <c r="AZ151" i="12"/>
  <c r="AZ120" i="12"/>
  <c r="AZ147" i="12" s="1"/>
  <c r="AZ13" i="12"/>
  <c r="AX15" i="12"/>
  <c r="BA7" i="12"/>
  <c r="BA151" i="12"/>
  <c r="BA13" i="12"/>
  <c r="BA120" i="12"/>
  <c r="BA147" i="12" s="1"/>
  <c r="AS38" i="14"/>
  <c r="AU102" i="12"/>
  <c r="AU8" i="12"/>
  <c r="AU14" i="12"/>
  <c r="AV15" i="12"/>
  <c r="AS36" i="12"/>
  <c r="AV102" i="12"/>
  <c r="AW8" i="14"/>
  <c r="AV12" i="12"/>
  <c r="AV14" i="12"/>
  <c r="AV8" i="12"/>
  <c r="AR15" i="14"/>
  <c r="AP49" i="14"/>
  <c r="AN129" i="12"/>
  <c r="AN130" i="12" s="1"/>
  <c r="AS129" i="12"/>
  <c r="AX130" i="12" s="1"/>
  <c r="AN50" i="14"/>
  <c r="AQ82" i="12"/>
  <c r="AD132" i="12"/>
  <c r="AK50" i="14"/>
  <c r="AD109" i="12"/>
  <c r="AB111" i="12"/>
  <c r="AD113" i="12" s="1"/>
  <c r="AP33" i="12"/>
  <c r="AP35" i="12" s="1"/>
  <c r="AP57" i="12" s="1"/>
  <c r="AP24" i="12"/>
  <c r="AP38" i="14"/>
  <c r="AP128" i="12"/>
  <c r="AQ23" i="12"/>
  <c r="AR20" i="14"/>
  <c r="AQ33" i="12"/>
  <c r="AQ128" i="12"/>
  <c r="AQ31" i="14"/>
  <c r="AQ38" i="14" s="1"/>
  <c r="AR24" i="14"/>
  <c r="AR11" i="14"/>
  <c r="AL50" i="14"/>
  <c r="AN51" i="14"/>
  <c r="AN46" i="12"/>
  <c r="AN66" i="12" s="1"/>
  <c r="AN60" i="12"/>
  <c r="AN36" i="12"/>
  <c r="AN47" i="14"/>
  <c r="AL129" i="12"/>
  <c r="AL130" i="12" s="1"/>
  <c r="AK129" i="12"/>
  <c r="AK130" i="12" s="1"/>
  <c r="AI109" i="12"/>
  <c r="F8" i="11"/>
  <c r="F11" i="11" s="1"/>
  <c r="C22" i="11"/>
  <c r="C30" i="11"/>
  <c r="F17" i="11"/>
  <c r="H72" i="12"/>
  <c r="H57" i="12"/>
  <c r="H58" i="12" s="1"/>
  <c r="X58" i="12"/>
  <c r="V33" i="13"/>
  <c r="H33" i="13"/>
  <c r="H70" i="13" s="1"/>
  <c r="AC68" i="12"/>
  <c r="AC63" i="12"/>
  <c r="AC74" i="12" s="1"/>
  <c r="AC71" i="12"/>
  <c r="AC76" i="12" s="1"/>
  <c r="AC47" i="12"/>
  <c r="AB72" i="12"/>
  <c r="AB76" i="12"/>
  <c r="AB77" i="12" s="1"/>
  <c r="AA76" i="12"/>
  <c r="AA77" i="12" s="1"/>
  <c r="AA72" i="12"/>
  <c r="H76" i="12"/>
  <c r="H68" i="12"/>
  <c r="AL51" i="14"/>
  <c r="Q76" i="12"/>
  <c r="Q72" i="12"/>
  <c r="AM31" i="14"/>
  <c r="Y71" i="12"/>
  <c r="Y68" i="12"/>
  <c r="Y64" i="12"/>
  <c r="Y74" i="12"/>
  <c r="AD75" i="12" s="1"/>
  <c r="AD58" i="12"/>
  <c r="AD68" i="12"/>
  <c r="AD71" i="12"/>
  <c r="AD64" i="12"/>
  <c r="AG109" i="12"/>
  <c r="AI110" i="12"/>
  <c r="K6" i="13"/>
  <c r="K33" i="13" s="1"/>
  <c r="L70" i="13"/>
  <c r="L83" i="12"/>
  <c r="L48" i="13"/>
  <c r="L49" i="13" s="1"/>
  <c r="O74" i="12"/>
  <c r="O64" i="12"/>
  <c r="R74" i="12"/>
  <c r="R64" i="12"/>
  <c r="J6" i="13"/>
  <c r="J33" i="13" s="1"/>
  <c r="R71" i="12"/>
  <c r="R68" i="12"/>
  <c r="R57" i="12"/>
  <c r="R58" i="12" s="1"/>
  <c r="M48" i="13"/>
  <c r="M49" i="13" s="1"/>
  <c r="M70" i="13"/>
  <c r="M83" i="12"/>
  <c r="O68" i="12"/>
  <c r="O57" i="12"/>
  <c r="O58" i="12" s="1"/>
  <c r="O71" i="12"/>
  <c r="T48" i="13"/>
  <c r="T49" i="13" s="1"/>
  <c r="T83" i="12"/>
  <c r="T70" i="13"/>
  <c r="W70" i="13"/>
  <c r="W48" i="13"/>
  <c r="W49" i="13" s="1"/>
  <c r="W83" i="12"/>
  <c r="S66" i="12"/>
  <c r="S57" i="12" s="1"/>
  <c r="S47" i="12"/>
  <c r="S62" i="12"/>
  <c r="S63" i="12"/>
  <c r="P70" i="13"/>
  <c r="P83" i="12"/>
  <c r="P48" i="13"/>
  <c r="P49" i="13" s="1"/>
  <c r="G74" i="12"/>
  <c r="G64" i="12"/>
  <c r="G57" i="12"/>
  <c r="G58" i="12" s="1"/>
  <c r="G68" i="12"/>
  <c r="G71" i="12"/>
  <c r="I6" i="13"/>
  <c r="I33" i="13" s="1"/>
  <c r="F6" i="13"/>
  <c r="F76" i="12"/>
  <c r="F72" i="12"/>
  <c r="E68" i="12"/>
  <c r="E57" i="12"/>
  <c r="E58" i="12" s="1"/>
  <c r="E71" i="12"/>
  <c r="BZ20" i="12" l="1"/>
  <c r="BZ11" i="12"/>
  <c r="CA9" i="12"/>
  <c r="AI42" i="20"/>
  <c r="AI38" i="20" s="1"/>
  <c r="AI40" i="20" s="1"/>
  <c r="K21" i="35"/>
  <c r="BV10" i="12"/>
  <c r="BV21" i="12"/>
  <c r="BJ28" i="12"/>
  <c r="BJ30" i="12"/>
  <c r="BJ32" i="12"/>
  <c r="BJ67" i="14"/>
  <c r="BJ64" i="14"/>
  <c r="BJ62" i="14"/>
  <c r="BJ58" i="14"/>
  <c r="BJ56" i="14"/>
  <c r="BJ55" i="14"/>
  <c r="BJ66" i="14"/>
  <c r="BJ65" i="14"/>
  <c r="BJ59" i="14"/>
  <c r="BJ57" i="14"/>
  <c r="BJ69" i="14"/>
  <c r="BJ68" i="14"/>
  <c r="BJ63" i="14"/>
  <c r="BJ70" i="14"/>
  <c r="BJ54" i="14"/>
  <c r="BJ22" i="12"/>
  <c r="BJ23" i="12" s="1"/>
  <c r="BJ24" i="12" s="1"/>
  <c r="D22" i="11"/>
  <c r="D30" i="11"/>
  <c r="BE14" i="12"/>
  <c r="AD68" i="20" s="1"/>
  <c r="BA141" i="12"/>
  <c r="BA142" i="12" s="1"/>
  <c r="BE128" i="12"/>
  <c r="BJ8" i="12"/>
  <c r="BA148" i="12"/>
  <c r="Y42" i="20"/>
  <c r="Y37" i="20" s="1"/>
  <c r="AZ141" i="12"/>
  <c r="BJ102" i="12"/>
  <c r="BJ14" i="12"/>
  <c r="AH68" i="20" s="1"/>
  <c r="BJ12" i="12"/>
  <c r="AZ149" i="12"/>
  <c r="AZ148" i="12"/>
  <c r="Z42" i="20"/>
  <c r="Z41" i="20" s="1"/>
  <c r="BA66" i="14"/>
  <c r="BA56" i="14"/>
  <c r="BA65" i="14"/>
  <c r="BA55" i="14"/>
  <c r="BA63" i="14"/>
  <c r="BA62" i="14"/>
  <c r="BA69" i="14"/>
  <c r="BA59" i="14"/>
  <c r="BA57" i="14"/>
  <c r="BA32" i="12"/>
  <c r="BA30" i="12"/>
  <c r="BA64" i="14"/>
  <c r="BA54" i="14"/>
  <c r="BA70" i="14"/>
  <c r="BA68" i="14"/>
  <c r="BA58" i="14"/>
  <c r="BA67" i="14"/>
  <c r="BA28" i="12"/>
  <c r="AZ69" i="14"/>
  <c r="AZ59" i="14"/>
  <c r="AZ32" i="12"/>
  <c r="AZ70" i="14"/>
  <c r="AZ68" i="14"/>
  <c r="AZ58" i="14"/>
  <c r="AZ30" i="12"/>
  <c r="AZ65" i="14"/>
  <c r="AZ67" i="14"/>
  <c r="AZ57" i="14"/>
  <c r="AZ28" i="12"/>
  <c r="AZ55" i="14"/>
  <c r="AZ63" i="14"/>
  <c r="AZ62" i="14"/>
  <c r="AZ66" i="14"/>
  <c r="AZ56" i="14"/>
  <c r="AZ64" i="14"/>
  <c r="AZ54" i="14"/>
  <c r="BA22" i="12"/>
  <c r="BA23" i="12" s="1"/>
  <c r="BA24" i="12" s="1"/>
  <c r="AZ22" i="12"/>
  <c r="AZ23" i="12" s="1"/>
  <c r="AR82" i="12"/>
  <c r="BC15" i="12"/>
  <c r="BE102" i="12"/>
  <c r="BE108" i="12" s="1"/>
  <c r="BF13" i="12"/>
  <c r="BF151" i="12"/>
  <c r="BF120" i="12"/>
  <c r="BF7" i="12"/>
  <c r="BB37" i="14"/>
  <c r="BB30" i="14"/>
  <c r="BB24" i="14"/>
  <c r="BB20" i="14"/>
  <c r="BB25" i="14"/>
  <c r="BB10" i="14"/>
  <c r="BB26" i="14"/>
  <c r="BB11" i="14"/>
  <c r="BB16" i="14"/>
  <c r="AV135" i="12"/>
  <c r="AU135" i="12"/>
  <c r="AX135" i="12"/>
  <c r="AD76" i="12"/>
  <c r="AP60" i="12"/>
  <c r="AP63" i="12" s="1"/>
  <c r="AQ24" i="12"/>
  <c r="AQ35" i="12"/>
  <c r="AQ57" i="12" s="1"/>
  <c r="AP50" i="14"/>
  <c r="AP82" i="12"/>
  <c r="AS82" i="12"/>
  <c r="AZ102" i="12"/>
  <c r="AZ14" i="12"/>
  <c r="AZ12" i="12"/>
  <c r="BA14" i="12"/>
  <c r="BA102" i="12"/>
  <c r="BA15" i="12"/>
  <c r="BA12" i="12"/>
  <c r="AZ8" i="12"/>
  <c r="BA8" i="12"/>
  <c r="AX47" i="14"/>
  <c r="AU33" i="12"/>
  <c r="AU35" i="12" s="1"/>
  <c r="AU36" i="12" s="1"/>
  <c r="AU31" i="14"/>
  <c r="AV47" i="14"/>
  <c r="AS130" i="12"/>
  <c r="AS47" i="12"/>
  <c r="AS62" i="12"/>
  <c r="AS63" i="12"/>
  <c r="AS74" i="12" s="1"/>
  <c r="AV33" i="12"/>
  <c r="AV35" i="12" s="1"/>
  <c r="AW15" i="14"/>
  <c r="AV128" i="12"/>
  <c r="AV31" i="14"/>
  <c r="AS50" i="14"/>
  <c r="AQ129" i="12"/>
  <c r="AP129" i="12"/>
  <c r="AP130" i="12" s="1"/>
  <c r="AU129" i="12"/>
  <c r="AS51" i="14"/>
  <c r="V48" i="13"/>
  <c r="V49" i="13" s="1"/>
  <c r="AQ50" i="14"/>
  <c r="AN109" i="12"/>
  <c r="AR31" i="14"/>
  <c r="AR38" i="14" s="1"/>
  <c r="AP46" i="12"/>
  <c r="AP66" i="12" s="1"/>
  <c r="AP36" i="12"/>
  <c r="AQ51" i="14"/>
  <c r="AN47" i="12"/>
  <c r="AN68" i="12"/>
  <c r="AL109" i="12"/>
  <c r="AN110" i="12"/>
  <c r="H48" i="13"/>
  <c r="H49" i="13" s="1"/>
  <c r="V83" i="12"/>
  <c r="V70" i="13"/>
  <c r="F33" i="13"/>
  <c r="F70" i="13" s="1"/>
  <c r="H83" i="12"/>
  <c r="Q33" i="13"/>
  <c r="AC64" i="12"/>
  <c r="AC72" i="12"/>
  <c r="Y75" i="12"/>
  <c r="Y72" i="12"/>
  <c r="Y76" i="12"/>
  <c r="AD72" i="12"/>
  <c r="N6" i="13"/>
  <c r="N33" i="13" s="1"/>
  <c r="R76" i="12"/>
  <c r="R72" i="12"/>
  <c r="R33" i="13"/>
  <c r="J70" i="13"/>
  <c r="J75" i="13" s="1"/>
  <c r="J48" i="13"/>
  <c r="J49" i="13" s="1"/>
  <c r="J83" i="12"/>
  <c r="O76" i="12"/>
  <c r="O6" i="13"/>
  <c r="O33" i="13" s="1"/>
  <c r="O72" i="12"/>
  <c r="S64" i="12"/>
  <c r="S58" i="12"/>
  <c r="S71" i="12"/>
  <c r="S68" i="12"/>
  <c r="AM37" i="14"/>
  <c r="E6" i="13"/>
  <c r="G72" i="12"/>
  <c r="G6" i="13"/>
  <c r="G76" i="12"/>
  <c r="E72" i="12"/>
  <c r="E76" i="12"/>
  <c r="K22" i="35"/>
  <c r="BY5" i="12" l="1"/>
  <c r="K5" i="15"/>
  <c r="AN39" i="20"/>
  <c r="AI34" i="20"/>
  <c r="AI37" i="20" s="1"/>
  <c r="AI39" i="20"/>
  <c r="AH67" i="20" s="1"/>
  <c r="CA10" i="12"/>
  <c r="BY18" i="12"/>
  <c r="BY22" i="12" s="1"/>
  <c r="BY120" i="12"/>
  <c r="BY151" i="12"/>
  <c r="BY13" i="12"/>
  <c r="CA20" i="12"/>
  <c r="CA21" i="12" s="1"/>
  <c r="G21" i="35"/>
  <c r="BF62" i="14"/>
  <c r="P21" i="35"/>
  <c r="BO128" i="12"/>
  <c r="BT120" i="12"/>
  <c r="BT151" i="12"/>
  <c r="BH15" i="12"/>
  <c r="BM7" i="12"/>
  <c r="AE42" i="20"/>
  <c r="AE41" i="20" s="1"/>
  <c r="BF32" i="12"/>
  <c r="BF28" i="12"/>
  <c r="BF30" i="12"/>
  <c r="BF56" i="14"/>
  <c r="BF70" i="14"/>
  <c r="BF58" i="14"/>
  <c r="BF63" i="14"/>
  <c r="BF64" i="14"/>
  <c r="BF65" i="14"/>
  <c r="BF66" i="14"/>
  <c r="BF67" i="14"/>
  <c r="BF54" i="14"/>
  <c r="BF68" i="14"/>
  <c r="BF55" i="14"/>
  <c r="BF57" i="14"/>
  <c r="BF59" i="14"/>
  <c r="BF69" i="14"/>
  <c r="BF22" i="12"/>
  <c r="BF23" i="12" s="1"/>
  <c r="BF24" i="12" s="1"/>
  <c r="Y41" i="20"/>
  <c r="BJ33" i="12"/>
  <c r="BJ35" i="12" s="1"/>
  <c r="BJ46" i="12" s="1"/>
  <c r="BJ128" i="12"/>
  <c r="BJ129" i="12" s="1"/>
  <c r="BK13" i="12"/>
  <c r="L21" i="35" s="1"/>
  <c r="BK7" i="12"/>
  <c r="BK151" i="12"/>
  <c r="BK120" i="12"/>
  <c r="BJ31" i="14"/>
  <c r="AZ142" i="12"/>
  <c r="AZ143" i="12"/>
  <c r="BB28" i="14"/>
  <c r="BB31" i="14" s="1"/>
  <c r="AS103" i="12"/>
  <c r="AS108" i="12" s="1"/>
  <c r="AS109" i="12" s="1"/>
  <c r="AQ103" i="12"/>
  <c r="AQ108" i="12" s="1"/>
  <c r="AQ109" i="12" s="1"/>
  <c r="BF8" i="12"/>
  <c r="BE31" i="14"/>
  <c r="BG37" i="14"/>
  <c r="BG25" i="14"/>
  <c r="BG24" i="14"/>
  <c r="BG16" i="14"/>
  <c r="BG28" i="14"/>
  <c r="BG26" i="14"/>
  <c r="BF14" i="12"/>
  <c r="AE68" i="20" s="1"/>
  <c r="BF12" i="12"/>
  <c r="BF15" i="12"/>
  <c r="BF102" i="12"/>
  <c r="BF108" i="12" s="1"/>
  <c r="W28" i="31" s="1"/>
  <c r="AW23" i="13"/>
  <c r="AW32" i="13"/>
  <c r="Y77" i="12"/>
  <c r="AD77" i="12"/>
  <c r="AQ60" i="12"/>
  <c r="AS68" i="12"/>
  <c r="AZ31" i="14"/>
  <c r="BA128" i="12"/>
  <c r="AZ24" i="12"/>
  <c r="BA31" i="14"/>
  <c r="BA33" i="12"/>
  <c r="BA35" i="12" s="1"/>
  <c r="BA60" i="12" s="1"/>
  <c r="AZ33" i="12"/>
  <c r="AZ35" i="12" s="1"/>
  <c r="AZ60" i="12" s="1"/>
  <c r="BB15" i="14"/>
  <c r="BA47" i="14"/>
  <c r="BB8" i="14"/>
  <c r="AZ128" i="12"/>
  <c r="AV129" i="12"/>
  <c r="AV130" i="12" s="1"/>
  <c r="AU38" i="14"/>
  <c r="AU60" i="12"/>
  <c r="AU63" i="12" s="1"/>
  <c r="AS64" i="12"/>
  <c r="AV60" i="12"/>
  <c r="AV63" i="12" s="1"/>
  <c r="AV36" i="12"/>
  <c r="AV46" i="12"/>
  <c r="AM38" i="14"/>
  <c r="AU46" i="12"/>
  <c r="AU130" i="12"/>
  <c r="AQ130" i="12"/>
  <c r="AV38" i="14"/>
  <c r="AU49" i="14"/>
  <c r="AU82" i="12" s="1"/>
  <c r="AD49" i="13"/>
  <c r="Q70" i="13"/>
  <c r="AQ46" i="12"/>
  <c r="AQ66" i="12" s="1"/>
  <c r="AQ36" i="12"/>
  <c r="AP68" i="12"/>
  <c r="AP47" i="12"/>
  <c r="F48" i="13"/>
  <c r="F49" i="13" s="1"/>
  <c r="F83" i="12"/>
  <c r="Q83" i="12"/>
  <c r="Q48" i="13"/>
  <c r="Q49" i="13" s="1"/>
  <c r="E33" i="13"/>
  <c r="E70" i="13" s="1"/>
  <c r="G33" i="13"/>
  <c r="G70" i="13" s="1"/>
  <c r="K48" i="13"/>
  <c r="K49" i="13" s="1"/>
  <c r="K83" i="12"/>
  <c r="K70" i="13"/>
  <c r="N70" i="13"/>
  <c r="N75" i="13" s="1"/>
  <c r="N48" i="13"/>
  <c r="N83" i="12"/>
  <c r="O70" i="13"/>
  <c r="O48" i="13"/>
  <c r="O49" i="13" s="1"/>
  <c r="O83" i="12"/>
  <c r="R48" i="13"/>
  <c r="R49" i="13" s="1"/>
  <c r="R70" i="13"/>
  <c r="R83" i="12"/>
  <c r="S33" i="13"/>
  <c r="S72" i="12"/>
  <c r="I48" i="13"/>
  <c r="I49" i="13" s="1"/>
  <c r="I70" i="13"/>
  <c r="I83" i="12"/>
  <c r="AH20" i="14"/>
  <c r="L22" i="35"/>
  <c r="P22" i="35"/>
  <c r="G22" i="35"/>
  <c r="AI35" i="20" l="1"/>
  <c r="AH66" i="20" s="1"/>
  <c r="AN35" i="20"/>
  <c r="BY8" i="12"/>
  <c r="BY34" i="14"/>
  <c r="AI36" i="20"/>
  <c r="K10" i="15"/>
  <c r="BO129" i="12"/>
  <c r="BO130" i="12" s="1"/>
  <c r="BY24" i="14"/>
  <c r="BY16" i="14"/>
  <c r="BY26" i="14"/>
  <c r="BY28" i="14"/>
  <c r="Z21" i="35"/>
  <c r="BY37" i="14"/>
  <c r="BY30" i="14"/>
  <c r="BY20" i="14"/>
  <c r="BY10" i="14"/>
  <c r="BY8" i="14"/>
  <c r="BY15" i="14"/>
  <c r="BY11" i="14"/>
  <c r="BY25" i="14"/>
  <c r="BY102" i="12"/>
  <c r="BY31" i="12"/>
  <c r="BY27" i="12"/>
  <c r="BY29" i="12"/>
  <c r="BY14" i="12"/>
  <c r="BY23" i="12"/>
  <c r="BY12" i="12"/>
  <c r="BN152" i="12"/>
  <c r="BO152" i="12"/>
  <c r="BN121" i="12"/>
  <c r="BN124" i="12" s="1"/>
  <c r="BN125" i="12" s="1"/>
  <c r="BO121" i="12"/>
  <c r="BO133" i="12" s="1"/>
  <c r="Z40" i="20"/>
  <c r="AA38" i="20"/>
  <c r="P31" i="35"/>
  <c r="U21" i="35"/>
  <c r="K18" i="15"/>
  <c r="BT102" i="12"/>
  <c r="K19" i="15"/>
  <c r="K20" i="15"/>
  <c r="BU5" i="12"/>
  <c r="AJ42" i="20"/>
  <c r="AJ38" i="20" s="1"/>
  <c r="AK38" i="20" s="1"/>
  <c r="BK28" i="12"/>
  <c r="BK30" i="12"/>
  <c r="BK32" i="12"/>
  <c r="BK66" i="14"/>
  <c r="BK62" i="14"/>
  <c r="BK58" i="14"/>
  <c r="BK70" i="14"/>
  <c r="BK55" i="14"/>
  <c r="BK54" i="14"/>
  <c r="BK67" i="14"/>
  <c r="BK65" i="14"/>
  <c r="BK64" i="14"/>
  <c r="BK63" i="14"/>
  <c r="BK59" i="14"/>
  <c r="BK57" i="14"/>
  <c r="BK56" i="14"/>
  <c r="BK69" i="14"/>
  <c r="BK68" i="14"/>
  <c r="BK22" i="12"/>
  <c r="BK23" i="12" s="1"/>
  <c r="W29" i="31"/>
  <c r="W24" i="31"/>
  <c r="BM15" i="12"/>
  <c r="BP151" i="12"/>
  <c r="BR152" i="12" s="1"/>
  <c r="BP120" i="12"/>
  <c r="BR121" i="12" s="1"/>
  <c r="BP13" i="12"/>
  <c r="BP7" i="12"/>
  <c r="AB40" i="20"/>
  <c r="AG40" i="20"/>
  <c r="Z34" i="20"/>
  <c r="Z39" i="20"/>
  <c r="BG30" i="14"/>
  <c r="BG31" i="14" s="1"/>
  <c r="BJ60" i="12"/>
  <c r="AS110" i="12"/>
  <c r="BJ36" i="12"/>
  <c r="K31" i="35" s="1"/>
  <c r="BJ47" i="12"/>
  <c r="BJ66" i="12"/>
  <c r="BL16" i="14"/>
  <c r="BL37" i="14"/>
  <c r="BK15" i="12"/>
  <c r="BK102" i="12"/>
  <c r="BK14" i="12"/>
  <c r="AI68" i="20" s="1"/>
  <c r="BK12" i="12"/>
  <c r="BK8" i="12"/>
  <c r="BE60" i="12"/>
  <c r="BE46" i="12"/>
  <c r="BE66" i="12" s="1"/>
  <c r="BF33" i="12"/>
  <c r="BF35" i="12" s="1"/>
  <c r="BG10" i="14"/>
  <c r="BF31" i="14"/>
  <c r="BF38" i="14" s="1"/>
  <c r="BF128" i="12"/>
  <c r="BF129" i="12" s="1"/>
  <c r="BF47" i="14"/>
  <c r="BG8" i="14"/>
  <c r="BG20" i="14"/>
  <c r="BG15" i="14"/>
  <c r="BG11" i="14"/>
  <c r="AZ129" i="12"/>
  <c r="AZ130" i="12" s="1"/>
  <c r="BE129" i="12"/>
  <c r="BJ130" i="12" s="1"/>
  <c r="BC47" i="14"/>
  <c r="BA129" i="12"/>
  <c r="BA130" i="12" s="1"/>
  <c r="AU47" i="12"/>
  <c r="AU66" i="12"/>
  <c r="AU57" i="12" s="1"/>
  <c r="AV47" i="12"/>
  <c r="AV66" i="12"/>
  <c r="AV57" i="12" s="1"/>
  <c r="AQ68" i="12"/>
  <c r="AZ36" i="12"/>
  <c r="AZ46" i="12"/>
  <c r="AZ66" i="12" s="1"/>
  <c r="AZ57" i="12" s="1"/>
  <c r="BA36" i="12"/>
  <c r="BA46" i="12"/>
  <c r="BA66" i="12" s="1"/>
  <c r="BA57" i="12" s="1"/>
  <c r="AX75" i="12"/>
  <c r="AD83" i="12"/>
  <c r="AU62" i="12"/>
  <c r="AV62" i="12"/>
  <c r="AV64" i="12"/>
  <c r="AV74" i="12"/>
  <c r="AU64" i="12"/>
  <c r="AU74" i="12"/>
  <c r="AU50" i="14"/>
  <c r="AV49" i="14"/>
  <c r="AV82" i="12" s="1"/>
  <c r="AW82" i="12" s="1"/>
  <c r="BB34" i="14"/>
  <c r="BB38" i="14" s="1"/>
  <c r="AD70" i="13"/>
  <c r="AD34" i="13"/>
  <c r="AQ47" i="12"/>
  <c r="AP71" i="12"/>
  <c r="AP76" i="12" s="1"/>
  <c r="AQ71" i="12"/>
  <c r="AQ76" i="12" s="1"/>
  <c r="AN71" i="12"/>
  <c r="AN76" i="12" s="1"/>
  <c r="AR8" i="14"/>
  <c r="AQ47" i="14"/>
  <c r="G83" i="12"/>
  <c r="G48" i="13"/>
  <c r="G49" i="13" s="1"/>
  <c r="E83" i="12"/>
  <c r="E48" i="13"/>
  <c r="E49" i="13" s="1"/>
  <c r="E75" i="13"/>
  <c r="F75" i="13"/>
  <c r="N49" i="13"/>
  <c r="S48" i="13"/>
  <c r="S83" i="12"/>
  <c r="S70" i="13"/>
  <c r="U22" i="35"/>
  <c r="K32" i="35"/>
  <c r="Z22" i="35"/>
  <c r="P32" i="35"/>
  <c r="AO42" i="20" l="1"/>
  <c r="AO34" i="20" s="1"/>
  <c r="BR15" i="12"/>
  <c r="BR124" i="12"/>
  <c r="BR125" i="12" s="1"/>
  <c r="BR133" i="12"/>
  <c r="BY24" i="12"/>
  <c r="AO37" i="20"/>
  <c r="AO36" i="20"/>
  <c r="AQ36" i="20"/>
  <c r="AT35" i="20"/>
  <c r="BY33" i="12"/>
  <c r="BY35" i="12" s="1"/>
  <c r="BZ5" i="12"/>
  <c r="BW7" i="12"/>
  <c r="BY128" i="12"/>
  <c r="BY31" i="14"/>
  <c r="BP30" i="12"/>
  <c r="BP28" i="12"/>
  <c r="BP32" i="12"/>
  <c r="Q21" i="35"/>
  <c r="BP59" i="14"/>
  <c r="BP57" i="14"/>
  <c r="BP56" i="14"/>
  <c r="BP55" i="14"/>
  <c r="BP54" i="14"/>
  <c r="BP66" i="14"/>
  <c r="BP47" i="14"/>
  <c r="BP62" i="14"/>
  <c r="BP58" i="14"/>
  <c r="BP70" i="14"/>
  <c r="BP69" i="14"/>
  <c r="BP68" i="14"/>
  <c r="BP67" i="14"/>
  <c r="BP65" i="14"/>
  <c r="BP64" i="14"/>
  <c r="BP63" i="14"/>
  <c r="BP22" i="12"/>
  <c r="BP23" i="12" s="1"/>
  <c r="BO124" i="12"/>
  <c r="BO125" i="12" s="1"/>
  <c r="BJ57" i="12"/>
  <c r="Z36" i="20"/>
  <c r="AB36" i="20"/>
  <c r="AA39" i="20"/>
  <c r="BU151" i="12"/>
  <c r="BU18" i="12"/>
  <c r="BU22" i="12" s="1"/>
  <c r="BU7" i="12"/>
  <c r="BU13" i="12"/>
  <c r="BU120" i="12"/>
  <c r="BT31" i="14"/>
  <c r="BT128" i="12"/>
  <c r="BT129" i="12" s="1"/>
  <c r="BT130" i="12" s="1"/>
  <c r="AJ34" i="20"/>
  <c r="AO39" i="20"/>
  <c r="AL40" i="20"/>
  <c r="AJ40" i="20"/>
  <c r="BJ62" i="12"/>
  <c r="BE57" i="12"/>
  <c r="BP8" i="12"/>
  <c r="AE34" i="20"/>
  <c r="Z37" i="20"/>
  <c r="BQ16" i="14"/>
  <c r="BP102" i="12"/>
  <c r="BQ37" i="14"/>
  <c r="BP14" i="12"/>
  <c r="BP15" i="12"/>
  <c r="BP12" i="12"/>
  <c r="BF60" i="12"/>
  <c r="BF62" i="12" s="1"/>
  <c r="AJ39" i="20"/>
  <c r="AI67" i="20" s="1"/>
  <c r="AE40" i="20"/>
  <c r="AE39" i="20"/>
  <c r="AE67" i="20" s="1"/>
  <c r="Z35" i="20"/>
  <c r="BE62" i="12"/>
  <c r="BJ63" i="12"/>
  <c r="BJ64" i="12" s="1"/>
  <c r="AV103" i="12"/>
  <c r="AV108" i="12" s="1"/>
  <c r="BL8" i="14"/>
  <c r="BK47" i="14"/>
  <c r="BL25" i="14"/>
  <c r="BK31" i="14"/>
  <c r="BL24" i="14"/>
  <c r="BL15" i="14"/>
  <c r="BL11" i="14"/>
  <c r="BL10" i="14"/>
  <c r="BL20" i="14"/>
  <c r="BL28" i="14"/>
  <c r="BL26" i="14"/>
  <c r="BJ71" i="12"/>
  <c r="BJ76" i="12" s="1"/>
  <c r="BJ68" i="12"/>
  <c r="BK24" i="12"/>
  <c r="BK128" i="12"/>
  <c r="BK129" i="12" s="1"/>
  <c r="BK130" i="12" s="1"/>
  <c r="BL30" i="14"/>
  <c r="BH47" i="14"/>
  <c r="BK33" i="12"/>
  <c r="BK35" i="12" s="1"/>
  <c r="BK60" i="12" s="1"/>
  <c r="BE130" i="12"/>
  <c r="BF46" i="12"/>
  <c r="BF47" i="12" s="1"/>
  <c r="BF36" i="12"/>
  <c r="G31" i="35" s="1"/>
  <c r="BE47" i="12"/>
  <c r="BF130" i="12"/>
  <c r="AU68" i="12"/>
  <c r="BA63" i="12"/>
  <c r="BA62" i="12"/>
  <c r="AZ47" i="12"/>
  <c r="AZ62" i="12"/>
  <c r="AZ63" i="12"/>
  <c r="BA47" i="12"/>
  <c r="AV51" i="14"/>
  <c r="AV50" i="14"/>
  <c r="AS47" i="14"/>
  <c r="AP72" i="12"/>
  <c r="AQ72" i="12"/>
  <c r="AN72" i="12"/>
  <c r="G75" i="13"/>
  <c r="S73" i="13"/>
  <c r="L75" i="13"/>
  <c r="K75" i="13"/>
  <c r="P75" i="13"/>
  <c r="O75" i="13"/>
  <c r="S49" i="13"/>
  <c r="Q22" i="35"/>
  <c r="G32" i="35"/>
  <c r="BU34" i="14" l="1"/>
  <c r="BU30" i="14"/>
  <c r="BY129" i="12"/>
  <c r="BY130" i="12" s="1"/>
  <c r="BY36" i="12"/>
  <c r="Z31" i="35" s="1"/>
  <c r="BY46" i="12"/>
  <c r="BY60" i="12"/>
  <c r="BY61" i="12" s="1"/>
  <c r="BY63" i="12" s="1"/>
  <c r="BZ151" i="12"/>
  <c r="BZ18" i="12"/>
  <c r="BZ22" i="12" s="1"/>
  <c r="BZ120" i="12"/>
  <c r="BZ7" i="12"/>
  <c r="BZ13" i="12"/>
  <c r="V21" i="35"/>
  <c r="BW15" i="12"/>
  <c r="BU8" i="12"/>
  <c r="BQ19" i="13"/>
  <c r="AJ36" i="20"/>
  <c r="AL36" i="20"/>
  <c r="AE37" i="20"/>
  <c r="AE36" i="20"/>
  <c r="AG36" i="20"/>
  <c r="AK34" i="20"/>
  <c r="AK42" i="20" s="1"/>
  <c r="AK41" i="20" s="1"/>
  <c r="AJ37" i="20"/>
  <c r="AJ35" i="20"/>
  <c r="AI66" i="20" s="1"/>
  <c r="U31" i="35"/>
  <c r="BU26" i="14"/>
  <c r="BU15" i="14"/>
  <c r="BU10" i="14"/>
  <c r="BU20" i="14"/>
  <c r="BU37" i="14"/>
  <c r="BV37" i="14" s="1"/>
  <c r="BU25" i="14"/>
  <c r="BU28" i="14"/>
  <c r="BU8" i="14"/>
  <c r="BU16" i="14"/>
  <c r="BV16" i="14" s="1"/>
  <c r="BU11" i="14"/>
  <c r="BU24" i="14"/>
  <c r="BU15" i="12"/>
  <c r="BU14" i="12"/>
  <c r="BU23" i="12"/>
  <c r="BU31" i="12"/>
  <c r="BU27" i="12"/>
  <c r="BU102" i="12"/>
  <c r="BU29" i="12"/>
  <c r="BU12" i="12"/>
  <c r="AO35" i="20"/>
  <c r="BF63" i="12"/>
  <c r="BF74" i="12" s="1"/>
  <c r="G23" i="35" s="1"/>
  <c r="AE35" i="20"/>
  <c r="AE66" i="20" s="1"/>
  <c r="P23" i="35"/>
  <c r="BP24" i="12"/>
  <c r="BQ24" i="14"/>
  <c r="BP31" i="14"/>
  <c r="BQ8" i="14"/>
  <c r="BR47" i="14" s="1"/>
  <c r="BQ26" i="14"/>
  <c r="BM47" i="14"/>
  <c r="BQ15" i="14"/>
  <c r="BQ25" i="14"/>
  <c r="BQ11" i="14"/>
  <c r="BQ28" i="14"/>
  <c r="BP33" i="12"/>
  <c r="BP35" i="12" s="1"/>
  <c r="BQ20" i="14"/>
  <c r="BQ10" i="14"/>
  <c r="BQ30" i="14"/>
  <c r="BP128" i="12"/>
  <c r="BP129" i="12" s="1"/>
  <c r="BP130" i="12" s="1"/>
  <c r="BJ74" i="12"/>
  <c r="BK36" i="12"/>
  <c r="L31" i="35" s="1"/>
  <c r="BK46" i="12"/>
  <c r="BL31" i="14"/>
  <c r="BO77" i="12"/>
  <c r="BJ72" i="12"/>
  <c r="BF66" i="12"/>
  <c r="BE71" i="12"/>
  <c r="BE76" i="12" s="1"/>
  <c r="BE68" i="12"/>
  <c r="AX49" i="14"/>
  <c r="AX82" i="12" s="1"/>
  <c r="AX38" i="14"/>
  <c r="AZ74" i="12"/>
  <c r="AZ64" i="12"/>
  <c r="BA74" i="12"/>
  <c r="BA64" i="12"/>
  <c r="BA68" i="12"/>
  <c r="BA71" i="12"/>
  <c r="BA76" i="12" s="1"/>
  <c r="AZ71" i="12"/>
  <c r="AZ76" i="12" s="1"/>
  <c r="AZ68" i="12"/>
  <c r="AV109" i="12"/>
  <c r="AN48" i="13"/>
  <c r="AN49" i="13" s="1"/>
  <c r="S75" i="13"/>
  <c r="T72" i="13"/>
  <c r="T73" i="13" s="1"/>
  <c r="H75" i="13"/>
  <c r="M75" i="13"/>
  <c r="U32" i="35"/>
  <c r="Z32" i="35"/>
  <c r="L32" i="35"/>
  <c r="P24" i="35"/>
  <c r="G24" i="35"/>
  <c r="V22" i="35"/>
  <c r="BZ8" i="12" l="1"/>
  <c r="BZ34" i="14"/>
  <c r="K35" i="15"/>
  <c r="BZ24" i="14"/>
  <c r="BZ11" i="14"/>
  <c r="BZ16" i="14"/>
  <c r="CA16" i="14" s="1"/>
  <c r="AA21" i="35"/>
  <c r="BZ37" i="14"/>
  <c r="CA37" i="14" s="1"/>
  <c r="BZ30" i="14"/>
  <c r="BZ20" i="14"/>
  <c r="BZ10" i="14"/>
  <c r="BZ26" i="14"/>
  <c r="BZ15" i="14"/>
  <c r="BZ25" i="14"/>
  <c r="BZ28" i="14"/>
  <c r="BZ8" i="14"/>
  <c r="BZ31" i="12"/>
  <c r="BZ15" i="12"/>
  <c r="BZ102" i="12"/>
  <c r="BZ27" i="12"/>
  <c r="BZ29" i="12"/>
  <c r="BZ14" i="12"/>
  <c r="BZ23" i="12"/>
  <c r="BZ12" i="12"/>
  <c r="BY64" i="12"/>
  <c r="BY74" i="12"/>
  <c r="BY66" i="12"/>
  <c r="BY47" i="12"/>
  <c r="K23" i="35"/>
  <c r="BO75" i="12"/>
  <c r="AK37" i="20"/>
  <c r="BV10" i="14"/>
  <c r="BW23" i="13" s="1"/>
  <c r="BU23" i="13"/>
  <c r="BU24" i="12"/>
  <c r="BV15" i="14"/>
  <c r="BW25" i="13" s="1"/>
  <c r="BU25" i="13"/>
  <c r="BV26" i="14"/>
  <c r="BW29" i="13" s="1"/>
  <c r="BU29" i="13"/>
  <c r="BU128" i="12"/>
  <c r="BU129" i="12" s="1"/>
  <c r="BU130" i="12" s="1"/>
  <c r="BV30" i="14"/>
  <c r="BU31" i="14"/>
  <c r="BV24" i="14"/>
  <c r="BW27" i="13" s="1"/>
  <c r="BU27" i="13"/>
  <c r="BV11" i="14"/>
  <c r="BW24" i="13" s="1"/>
  <c r="BU24" i="13"/>
  <c r="BU47" i="14"/>
  <c r="BV8" i="14"/>
  <c r="BU22" i="13"/>
  <c r="BV28" i="14"/>
  <c r="BW32" i="13" s="1"/>
  <c r="BU32" i="13"/>
  <c r="BV20" i="14"/>
  <c r="BW26" i="13" s="1"/>
  <c r="BU26" i="13"/>
  <c r="BV25" i="14"/>
  <c r="BW28" i="13" s="1"/>
  <c r="BU28" i="13"/>
  <c r="K38" i="15"/>
  <c r="BU33" i="12"/>
  <c r="BU35" i="12" s="1"/>
  <c r="BF64" i="12"/>
  <c r="BF57" i="12"/>
  <c r="BP46" i="12"/>
  <c r="BP60" i="12"/>
  <c r="BP62" i="12" s="1"/>
  <c r="BP36" i="12"/>
  <c r="Q31" i="35" s="1"/>
  <c r="BQ31" i="14"/>
  <c r="BF68" i="12"/>
  <c r="BK66" i="12"/>
  <c r="BK47" i="12"/>
  <c r="BF75" i="12"/>
  <c r="BF71" i="12"/>
  <c r="BE6" i="13"/>
  <c r="BJ77" i="12"/>
  <c r="BE72" i="12"/>
  <c r="BA6" i="13"/>
  <c r="AZ6" i="13"/>
  <c r="AX50" i="14"/>
  <c r="AX108" i="12"/>
  <c r="AX51" i="14"/>
  <c r="AZ38" i="14"/>
  <c r="AZ72" i="12"/>
  <c r="BA75" i="12"/>
  <c r="BA72" i="12"/>
  <c r="AZ75" i="12"/>
  <c r="AP33" i="13"/>
  <c r="AP35" i="13" s="1"/>
  <c r="AN83" i="12"/>
  <c r="Q75" i="13"/>
  <c r="Q32" i="35"/>
  <c r="K24" i="35"/>
  <c r="AA22" i="35"/>
  <c r="BF72" i="12" l="1"/>
  <c r="BF76" i="12"/>
  <c r="CA25" i="14"/>
  <c r="BZ28" i="13"/>
  <c r="CA15" i="14"/>
  <c r="BZ25" i="13"/>
  <c r="BZ24" i="12"/>
  <c r="CA30" i="14"/>
  <c r="BZ128" i="12"/>
  <c r="BZ129" i="12" s="1"/>
  <c r="BZ130" i="12" s="1"/>
  <c r="BY68" i="12"/>
  <c r="BY71" i="12"/>
  <c r="BY76" i="12" s="1"/>
  <c r="CA11" i="14"/>
  <c r="BZ24" i="13"/>
  <c r="BY75" i="12"/>
  <c r="Z23" i="35"/>
  <c r="BZ47" i="14"/>
  <c r="CA8" i="14"/>
  <c r="BZ22" i="13"/>
  <c r="CA24" i="14"/>
  <c r="BZ27" i="13"/>
  <c r="BZ31" i="14"/>
  <c r="BZ29" i="13"/>
  <c r="CA26" i="14"/>
  <c r="CA10" i="14"/>
  <c r="BZ23" i="13"/>
  <c r="CA20" i="14"/>
  <c r="BZ26" i="13"/>
  <c r="BZ33" i="12"/>
  <c r="BZ35" i="12" s="1"/>
  <c r="BW22" i="13"/>
  <c r="BW47" i="14"/>
  <c r="CA28" i="14"/>
  <c r="BZ32" i="13"/>
  <c r="U23" i="35"/>
  <c r="BU46" i="12"/>
  <c r="BU36" i="12"/>
  <c r="V31" i="35" s="1"/>
  <c r="BU60" i="12"/>
  <c r="BU61" i="12" s="1"/>
  <c r="BU63" i="12" s="1"/>
  <c r="BV31" i="14"/>
  <c r="BP66" i="12"/>
  <c r="BP47" i="12"/>
  <c r="BK68" i="12"/>
  <c r="BK71" i="12"/>
  <c r="BK76" i="12" s="1"/>
  <c r="BF6" i="13"/>
  <c r="BF77" i="12"/>
  <c r="BE77" i="12"/>
  <c r="AZ49" i="14"/>
  <c r="AP83" i="12"/>
  <c r="AP48" i="13"/>
  <c r="BA49" i="14"/>
  <c r="BA82" i="12" s="1"/>
  <c r="BA38" i="14"/>
  <c r="AX110" i="12"/>
  <c r="AX109" i="12"/>
  <c r="U72" i="13"/>
  <c r="U24" i="35"/>
  <c r="Z24" i="35"/>
  <c r="V32" i="35"/>
  <c r="BZ60" i="12" l="1"/>
  <c r="BZ46" i="12"/>
  <c r="BZ36" i="12"/>
  <c r="AA31" i="35" s="1"/>
  <c r="CA31" i="14"/>
  <c r="BY6" i="13"/>
  <c r="BY72" i="12"/>
  <c r="BP63" i="12"/>
  <c r="BP74" i="12" s="1"/>
  <c r="Q23" i="35" s="1"/>
  <c r="BQ19" i="14"/>
  <c r="BU74" i="12"/>
  <c r="V23" i="35" s="1"/>
  <c r="BU64" i="12"/>
  <c r="BU66" i="12"/>
  <c r="BU47" i="12"/>
  <c r="BT6" i="13"/>
  <c r="BP71" i="12"/>
  <c r="BP76" i="12" s="1"/>
  <c r="BP68" i="12"/>
  <c r="AZ50" i="14"/>
  <c r="AZ82" i="12"/>
  <c r="BK72" i="12"/>
  <c r="BK77" i="12"/>
  <c r="BA51" i="14"/>
  <c r="BA50" i="14"/>
  <c r="AM20" i="14"/>
  <c r="Q24" i="35"/>
  <c r="V24" i="35"/>
  <c r="AA32" i="35"/>
  <c r="BY77" i="12" l="1"/>
  <c r="BZ66" i="12"/>
  <c r="BZ47" i="12"/>
  <c r="BZ61" i="12"/>
  <c r="BZ63" i="12" s="1"/>
  <c r="BP64" i="12"/>
  <c r="BU71" i="12"/>
  <c r="BU76" i="12" s="1"/>
  <c r="BU68" i="12"/>
  <c r="BU75" i="12"/>
  <c r="BP72" i="12"/>
  <c r="BP77" i="12"/>
  <c r="BA108" i="12"/>
  <c r="BA109" i="12" s="1"/>
  <c r="AE128" i="12"/>
  <c r="AE129" i="12" s="1"/>
  <c r="AE130" i="12" s="1"/>
  <c r="AE31" i="14"/>
  <c r="AE38" i="14" s="1"/>
  <c r="BZ74" i="12" l="1"/>
  <c r="BZ64" i="12"/>
  <c r="BZ68" i="12"/>
  <c r="BZ71" i="12"/>
  <c r="BZ76" i="12" s="1"/>
  <c r="BU6" i="13"/>
  <c r="BU77" i="12"/>
  <c r="BU72" i="12"/>
  <c r="BC49" i="14"/>
  <c r="BC82" i="12" s="1"/>
  <c r="BC38" i="14"/>
  <c r="AE51" i="14"/>
  <c r="AF51" i="14"/>
  <c r="AE50" i="14"/>
  <c r="BZ6" i="13" l="1"/>
  <c r="BZ77" i="12"/>
  <c r="BZ72" i="12"/>
  <c r="BZ75" i="12"/>
  <c r="AA23" i="35"/>
  <c r="BC108" i="12"/>
  <c r="BC51" i="14"/>
  <c r="BC50" i="14"/>
  <c r="AG110" i="12"/>
  <c r="AF109" i="12"/>
  <c r="AA24" i="35"/>
  <c r="BE38" i="14" l="1"/>
  <c r="BC110" i="12"/>
  <c r="BC109" i="12"/>
  <c r="X63" i="12"/>
  <c r="X71" i="12"/>
  <c r="X76" i="12" s="1"/>
  <c r="U71" i="12"/>
  <c r="U72" i="12" s="1"/>
  <c r="U74" i="12"/>
  <c r="Z75" i="12" s="1"/>
  <c r="BG34" i="14" l="1"/>
  <c r="BG38" i="14" s="1"/>
  <c r="BF49" i="14"/>
  <c r="BF82" i="12" s="1"/>
  <c r="BE50" i="14"/>
  <c r="X68" i="12"/>
  <c r="X62" i="12"/>
  <c r="U6" i="13"/>
  <c r="U76" i="12"/>
  <c r="X72" i="12"/>
  <c r="X64" i="12"/>
  <c r="X74" i="12"/>
  <c r="U58" i="12"/>
  <c r="BJ49" i="14" l="1"/>
  <c r="BH49" i="14"/>
  <c r="BH38" i="14"/>
  <c r="BF51" i="14"/>
  <c r="BF50" i="14"/>
  <c r="U33" i="13"/>
  <c r="U48" i="13" s="1"/>
  <c r="U49" i="13" s="1"/>
  <c r="Z77" i="12"/>
  <c r="X34" i="13"/>
  <c r="X70" i="13"/>
  <c r="X73" i="13" s="1"/>
  <c r="X83" i="12"/>
  <c r="AC75" i="12"/>
  <c r="AC77" i="12"/>
  <c r="BJ82" i="12" l="1"/>
  <c r="BO50" i="14"/>
  <c r="BH50" i="14"/>
  <c r="BH82" i="12"/>
  <c r="BH108" i="12"/>
  <c r="BH51" i="14"/>
  <c r="BJ50" i="14"/>
  <c r="BJ38" i="14"/>
  <c r="BF109" i="12"/>
  <c r="U83" i="12"/>
  <c r="U70" i="13"/>
  <c r="U73" i="13" s="1"/>
  <c r="X49" i="13"/>
  <c r="X75" i="13"/>
  <c r="BH109" i="12" l="1"/>
  <c r="X28" i="31"/>
  <c r="X29" i="31" s="1"/>
  <c r="BH110" i="12"/>
  <c r="BL34" i="14"/>
  <c r="BK49" i="14"/>
  <c r="BK38" i="14"/>
  <c r="V72" i="13"/>
  <c r="V73" i="13" s="1"/>
  <c r="BK82" i="12" l="1"/>
  <c r="BP50" i="14"/>
  <c r="BL38" i="14"/>
  <c r="BK51" i="14"/>
  <c r="BK108" i="12"/>
  <c r="BK50" i="14"/>
  <c r="W72" i="13"/>
  <c r="W73" i="13" s="1"/>
  <c r="BK109" i="12" l="1"/>
  <c r="AA28" i="31"/>
  <c r="AA29" i="31" s="1"/>
  <c r="BM49" i="14"/>
  <c r="BR50" i="14" s="1"/>
  <c r="BM38" i="14"/>
  <c r="Y72" i="13"/>
  <c r="W75" i="13"/>
  <c r="BM82" i="12" l="1"/>
  <c r="BN51" i="14"/>
  <c r="BM108" i="12"/>
  <c r="BM51" i="14"/>
  <c r="BM50" i="14"/>
  <c r="BO82" i="12"/>
  <c r="AE12" i="14"/>
  <c r="AE21" i="14" l="1"/>
  <c r="AE41" i="14" s="1"/>
  <c r="AE42" i="14" s="1"/>
  <c r="AE45" i="14" s="1"/>
  <c r="BO111" i="12"/>
  <c r="BR109" i="12"/>
  <c r="BN110" i="12"/>
  <c r="AB28" i="31"/>
  <c r="BQ34" i="14"/>
  <c r="BP38" i="14"/>
  <c r="BM109" i="12"/>
  <c r="BM110" i="12"/>
  <c r="AB29" i="31" l="1"/>
  <c r="BQ38" i="14"/>
  <c r="BP108" i="12"/>
  <c r="AG22" i="12"/>
  <c r="AG23" i="12" s="1"/>
  <c r="AL22" i="12"/>
  <c r="AL23" i="12" s="1"/>
  <c r="AL24" i="12" s="1"/>
  <c r="AK22" i="12"/>
  <c r="AK23" i="12" s="1"/>
  <c r="AM20" i="12"/>
  <c r="AM21" i="12" s="1"/>
  <c r="F14" i="31" s="1"/>
  <c r="AI23" i="12"/>
  <c r="AI24" i="12" s="1"/>
  <c r="AH21" i="12"/>
  <c r="E14" i="31" s="1"/>
  <c r="AE28" i="31" l="1"/>
  <c r="AE29" i="31" s="1"/>
  <c r="BR110" i="12"/>
  <c r="BR111" i="12"/>
  <c r="BR82" i="12"/>
  <c r="BP109" i="12"/>
  <c r="AK24" i="12"/>
  <c r="AK35" i="12"/>
  <c r="AK60" i="12" s="1"/>
  <c r="AF22" i="12"/>
  <c r="AF23" i="12" s="1"/>
  <c r="AF24" i="12" s="1"/>
  <c r="AL35" i="12"/>
  <c r="AL57" i="12" s="1"/>
  <c r="AI35" i="12"/>
  <c r="AI57" i="12" s="1"/>
  <c r="AG24" i="12"/>
  <c r="AG35" i="12"/>
  <c r="AG57" i="12" s="1"/>
  <c r="AF28" i="31" l="1"/>
  <c r="AF29" i="31" s="1"/>
  <c r="BT49" i="14"/>
  <c r="BT82" i="12" s="1"/>
  <c r="BT38" i="14"/>
  <c r="AK57" i="12"/>
  <c r="AK63" i="12"/>
  <c r="AK74" i="12" s="1"/>
  <c r="AK46" i="12"/>
  <c r="AK66" i="12" s="1"/>
  <c r="AF35" i="12"/>
  <c r="AK36" i="12"/>
  <c r="AI36" i="12"/>
  <c r="AI60" i="12"/>
  <c r="AI46" i="12"/>
  <c r="AL36" i="12"/>
  <c r="AL60" i="12"/>
  <c r="AL46" i="12"/>
  <c r="AL66" i="12" s="1"/>
  <c r="AG36" i="12"/>
  <c r="AG60" i="12"/>
  <c r="AG46" i="12"/>
  <c r="BT50" i="14" l="1"/>
  <c r="BV34" i="14"/>
  <c r="BU49" i="14"/>
  <c r="BU30" i="13"/>
  <c r="BU38" i="14"/>
  <c r="AF46" i="12"/>
  <c r="AF66" i="12" s="1"/>
  <c r="AF57" i="12"/>
  <c r="AF60" i="12"/>
  <c r="AF62" i="12" s="1"/>
  <c r="AF36" i="12"/>
  <c r="AI47" i="12"/>
  <c r="AI66" i="12"/>
  <c r="AI68" i="12" s="1"/>
  <c r="AK47" i="12"/>
  <c r="AK68" i="12"/>
  <c r="AG47" i="12"/>
  <c r="AG66" i="12"/>
  <c r="AG62" i="12" s="1"/>
  <c r="AL47" i="12"/>
  <c r="AL68" i="12"/>
  <c r="BV38" i="14" l="1"/>
  <c r="BU51" i="14"/>
  <c r="BU50" i="14"/>
  <c r="BU103" i="12"/>
  <c r="BU108" i="12" s="1"/>
  <c r="AF47" i="12"/>
  <c r="AG63" i="12"/>
  <c r="AG74" i="12" s="1"/>
  <c r="AL71" i="12"/>
  <c r="AL76" i="12" s="1"/>
  <c r="AF63" i="12"/>
  <c r="AF74" i="12" s="1"/>
  <c r="AG58" i="12"/>
  <c r="AG68" i="12"/>
  <c r="AG71" i="12"/>
  <c r="AF68" i="12"/>
  <c r="AF58" i="12"/>
  <c r="AF71" i="12"/>
  <c r="AF76" i="12" s="1"/>
  <c r="AI58" i="12"/>
  <c r="BW49" i="14" l="1"/>
  <c r="BW38" i="14"/>
  <c r="BW30" i="13"/>
  <c r="BU109" i="12"/>
  <c r="AG76" i="12"/>
  <c r="AG77" i="12" s="1"/>
  <c r="AG64" i="12"/>
  <c r="AG75" i="12"/>
  <c r="AF77" i="12"/>
  <c r="AK71" i="12"/>
  <c r="AI71" i="12"/>
  <c r="AI76" i="12" s="1"/>
  <c r="AI77" i="12" s="1"/>
  <c r="AF64" i="12"/>
  <c r="AL72" i="12"/>
  <c r="AQ77" i="12"/>
  <c r="AG72" i="12"/>
  <c r="AF72" i="12"/>
  <c r="BW103" i="12" l="1"/>
  <c r="BW108" i="12" s="1"/>
  <c r="BW50" i="14"/>
  <c r="BW51" i="14"/>
  <c r="BY49" i="14"/>
  <c r="BY38" i="14"/>
  <c r="AK76" i="12"/>
  <c r="AP77" i="12" s="1"/>
  <c r="AK72" i="12"/>
  <c r="AG83" i="12"/>
  <c r="AF83" i="12"/>
  <c r="AL77" i="12"/>
  <c r="AI72" i="12"/>
  <c r="AF75" i="12"/>
  <c r="BY50" i="14" l="1"/>
  <c r="CA34" i="14"/>
  <c r="CA38" i="14" s="1"/>
  <c r="BZ49" i="14"/>
  <c r="BZ30" i="13"/>
  <c r="BZ38" i="14"/>
  <c r="BW110" i="12"/>
  <c r="BW109" i="12"/>
  <c r="AK77" i="12"/>
  <c r="AN77" i="12"/>
  <c r="BZ103" i="12" l="1"/>
  <c r="BZ108" i="12" s="1"/>
  <c r="BZ50" i="14"/>
  <c r="BZ51" i="14"/>
  <c r="AI48" i="13"/>
  <c r="AI49" i="13" s="1"/>
  <c r="AI83" i="12"/>
  <c r="AI34" i="13"/>
  <c r="AI70" i="13"/>
  <c r="AE13" i="12"/>
  <c r="BZ109" i="12" l="1"/>
  <c r="AE64" i="14"/>
  <c r="AE69" i="14"/>
  <c r="AE57" i="14"/>
  <c r="AE63" i="14"/>
  <c r="AE54" i="14"/>
  <c r="AE62" i="14"/>
  <c r="AE70" i="14"/>
  <c r="AE56" i="14"/>
  <c r="AE59" i="14"/>
  <c r="AE47" i="14"/>
  <c r="AE28" i="12"/>
  <c r="AE30" i="12"/>
  <c r="AE32" i="12"/>
  <c r="AE12" i="12"/>
  <c r="AF15" i="12"/>
  <c r="AE15" i="12"/>
  <c r="AE14" i="12"/>
  <c r="AE102" i="12"/>
  <c r="AE8" i="12"/>
  <c r="AF7" i="12"/>
  <c r="AE7" i="12"/>
  <c r="AE120" i="12"/>
  <c r="AE108" i="12" l="1"/>
  <c r="AG111" i="12" s="1"/>
  <c r="AE152" i="12"/>
  <c r="AE153" i="12" s="1"/>
  <c r="AE155" i="12" s="1"/>
  <c r="AI152" i="12"/>
  <c r="AI153" i="12" s="1"/>
  <c r="AI155" i="12" s="1"/>
  <c r="AG152" i="12"/>
  <c r="AG153" i="12" s="1"/>
  <c r="AG155" i="12" s="1"/>
  <c r="AF152" i="12"/>
  <c r="AF153" i="12" s="1"/>
  <c r="AF155" i="12" s="1"/>
  <c r="AE33" i="12"/>
  <c r="AK7" i="12"/>
  <c r="AJ120" i="12"/>
  <c r="AN121" i="12" s="1"/>
  <c r="AJ7" i="12"/>
  <c r="AM13" i="12"/>
  <c r="AJ13" i="12"/>
  <c r="AG121" i="12"/>
  <c r="AI121" i="12"/>
  <c r="AF121" i="12"/>
  <c r="AE121" i="12"/>
  <c r="AH6" i="12"/>
  <c r="AI111" i="12" l="1"/>
  <c r="AI112" i="12" s="1"/>
  <c r="AE109" i="12"/>
  <c r="AH108" i="12"/>
  <c r="AH109" i="12" s="1"/>
  <c r="AE111" i="12"/>
  <c r="AE113" i="12" s="1"/>
  <c r="AE110" i="12"/>
  <c r="AF111" i="12"/>
  <c r="AF112" i="12" s="1"/>
  <c r="AF110" i="12"/>
  <c r="AJ67" i="14"/>
  <c r="AJ57" i="14"/>
  <c r="AJ70" i="14"/>
  <c r="AJ66" i="14"/>
  <c r="AJ62" i="14"/>
  <c r="AJ56" i="14"/>
  <c r="AJ69" i="14"/>
  <c r="AJ65" i="14"/>
  <c r="AJ59" i="14"/>
  <c r="AJ55" i="14"/>
  <c r="AJ68" i="14"/>
  <c r="AJ64" i="14"/>
  <c r="AJ58" i="14"/>
  <c r="AJ54" i="14"/>
  <c r="AJ63" i="14"/>
  <c r="E71" i="28"/>
  <c r="AM34" i="13"/>
  <c r="E30" i="28"/>
  <c r="E32" i="28"/>
  <c r="AO151" i="12"/>
  <c r="AJ28" i="12"/>
  <c r="AJ32" i="12"/>
  <c r="AJ30" i="12"/>
  <c r="AH96" i="12"/>
  <c r="AG112" i="12"/>
  <c r="AH8" i="12"/>
  <c r="AN122" i="12"/>
  <c r="AO120" i="12"/>
  <c r="AO13" i="12"/>
  <c r="AO7" i="12"/>
  <c r="AP7" i="12"/>
  <c r="AR5" i="12"/>
  <c r="G5" i="31" s="1"/>
  <c r="AJ8" i="12"/>
  <c r="AN124" i="12"/>
  <c r="AN125" i="12" s="1"/>
  <c r="AN133" i="12"/>
  <c r="AI124" i="12"/>
  <c r="AI125" i="12" s="1"/>
  <c r="AI122" i="12"/>
  <c r="AI126" i="12" s="1"/>
  <c r="AI133" i="12"/>
  <c r="AH12" i="12"/>
  <c r="AH30" i="12"/>
  <c r="AH14" i="12"/>
  <c r="AH32" i="12"/>
  <c r="AH102" i="12"/>
  <c r="AH28" i="12"/>
  <c r="AE124" i="12"/>
  <c r="AE125" i="12" s="1"/>
  <c r="AE133" i="12"/>
  <c r="AE122" i="12"/>
  <c r="AE126" i="12" s="1"/>
  <c r="AK15" i="12"/>
  <c r="AJ102" i="12"/>
  <c r="AJ108" i="12" s="1"/>
  <c r="AJ15" i="12"/>
  <c r="AJ12" i="12"/>
  <c r="AJ14" i="12"/>
  <c r="AM18" i="12"/>
  <c r="AM19" i="12" s="1"/>
  <c r="F13" i="31" s="1"/>
  <c r="AJ22" i="12"/>
  <c r="AM22" i="12" s="1"/>
  <c r="AG133" i="12"/>
  <c r="AG122" i="12"/>
  <c r="AG126" i="12" s="1"/>
  <c r="AG124" i="12"/>
  <c r="AG125" i="12" s="1"/>
  <c r="AF124" i="12"/>
  <c r="AF125" i="12" s="1"/>
  <c r="AF133" i="12"/>
  <c r="AF122" i="12"/>
  <c r="AF126" i="12" s="1"/>
  <c r="AM6" i="12"/>
  <c r="AL121" i="12"/>
  <c r="AK121" i="12"/>
  <c r="AJ121" i="12"/>
  <c r="AI113" i="12" l="1"/>
  <c r="AG113" i="12"/>
  <c r="AF113" i="12"/>
  <c r="AT141" i="12"/>
  <c r="AU143" i="12" s="1"/>
  <c r="AS121" i="12"/>
  <c r="AS124" i="12" s="1"/>
  <c r="AS125" i="12" s="1"/>
  <c r="AT147" i="12"/>
  <c r="AO67" i="14"/>
  <c r="AO57" i="14"/>
  <c r="AO70" i="14"/>
  <c r="AO66" i="14"/>
  <c r="AO62" i="14"/>
  <c r="AO56" i="14"/>
  <c r="AO69" i="14"/>
  <c r="AO65" i="14"/>
  <c r="AO59" i="14"/>
  <c r="AO55" i="14"/>
  <c r="AO68" i="14"/>
  <c r="AO64" i="14"/>
  <c r="AO58" i="14"/>
  <c r="AO54" i="14"/>
  <c r="AO63" i="14"/>
  <c r="AT151" i="12"/>
  <c r="AX152" i="12" s="1"/>
  <c r="AO32" i="12"/>
  <c r="AO28" i="12"/>
  <c r="AO30" i="12"/>
  <c r="AW5" i="12"/>
  <c r="AT13" i="12"/>
  <c r="AU7" i="12"/>
  <c r="AT120" i="12"/>
  <c r="AT22" i="12"/>
  <c r="AW22" i="12" s="1"/>
  <c r="AT7" i="12"/>
  <c r="G9" i="31"/>
  <c r="G6" i="31"/>
  <c r="AR13" i="12"/>
  <c r="AJ152" i="12"/>
  <c r="AJ153" i="12" s="1"/>
  <c r="AL152" i="12"/>
  <c r="AL153" i="12" s="1"/>
  <c r="AN152" i="12"/>
  <c r="AK152" i="12"/>
  <c r="AK153" i="12" s="1"/>
  <c r="AS152" i="12"/>
  <c r="AF131" i="12"/>
  <c r="AF137" i="12" s="1"/>
  <c r="AE131" i="12"/>
  <c r="AE132" i="12" s="1"/>
  <c r="AI131" i="12"/>
  <c r="AI132" i="12" s="1"/>
  <c r="AG131" i="12"/>
  <c r="AG132" i="12" s="1"/>
  <c r="AM29" i="12"/>
  <c r="AJ128" i="12"/>
  <c r="AJ49" i="14"/>
  <c r="AM31" i="12"/>
  <c r="AN126" i="12"/>
  <c r="AJ47" i="14"/>
  <c r="AK47" i="14"/>
  <c r="AO8" i="12"/>
  <c r="AO49" i="14"/>
  <c r="AO82" i="12" s="1"/>
  <c r="AO14" i="12"/>
  <c r="AO102" i="12"/>
  <c r="AO12" i="12"/>
  <c r="AO15" i="12"/>
  <c r="AP15" i="12"/>
  <c r="AO22" i="12"/>
  <c r="AR22" i="12" s="1"/>
  <c r="AR18" i="12"/>
  <c r="AR19" i="12" s="1"/>
  <c r="G13" i="31" s="1"/>
  <c r="AP121" i="12"/>
  <c r="AO121" i="12"/>
  <c r="AQ121" i="12"/>
  <c r="AR6" i="12"/>
  <c r="AM102" i="12"/>
  <c r="AM14" i="12"/>
  <c r="AM12" i="12"/>
  <c r="AM23" i="12"/>
  <c r="AK133" i="12"/>
  <c r="AK122" i="12"/>
  <c r="AK126" i="12" s="1"/>
  <c r="AK124" i="12"/>
  <c r="AK125" i="12" s="1"/>
  <c r="AJ33" i="12"/>
  <c r="AM27" i="12"/>
  <c r="AL124" i="12"/>
  <c r="AL125" i="12" s="1"/>
  <c r="AL122" i="12"/>
  <c r="AL126" i="12" s="1"/>
  <c r="AL133" i="12"/>
  <c r="AM8" i="12"/>
  <c r="AJ23" i="12"/>
  <c r="AJ24" i="12" s="1"/>
  <c r="AJ124" i="12"/>
  <c r="AJ125" i="12" s="1"/>
  <c r="AJ122" i="12"/>
  <c r="AJ126" i="12" s="1"/>
  <c r="AJ31" i="14"/>
  <c r="AJ38" i="14" s="1"/>
  <c r="AS122" i="12" l="1"/>
  <c r="AS126" i="12" s="1"/>
  <c r="AS131" i="12" s="1"/>
  <c r="AS132" i="12" s="1"/>
  <c r="AS133" i="12"/>
  <c r="G10" i="31"/>
  <c r="AO103" i="12"/>
  <c r="AO108" i="12" s="1"/>
  <c r="AP103" i="12"/>
  <c r="AP108" i="12" s="1"/>
  <c r="AT143" i="12"/>
  <c r="F71" i="28"/>
  <c r="J6" i="33"/>
  <c r="AT149" i="12"/>
  <c r="AU149" i="12"/>
  <c r="AT14" i="12"/>
  <c r="AT67" i="14"/>
  <c r="AT64" i="14"/>
  <c r="AT57" i="14"/>
  <c r="AT70" i="14"/>
  <c r="AT66" i="14"/>
  <c r="AT63" i="14"/>
  <c r="AT56" i="14"/>
  <c r="AT69" i="14"/>
  <c r="AT65" i="14"/>
  <c r="AT62" i="14"/>
  <c r="AT54" i="14"/>
  <c r="AT68" i="14"/>
  <c r="AT58" i="14"/>
  <c r="AT55" i="14"/>
  <c r="AT59" i="14"/>
  <c r="AT30" i="12"/>
  <c r="AT28" i="12"/>
  <c r="AT32" i="12"/>
  <c r="AT12" i="12"/>
  <c r="AW31" i="12"/>
  <c r="AJ35" i="12"/>
  <c r="AU15" i="12"/>
  <c r="AX153" i="12"/>
  <c r="AY13" i="12"/>
  <c r="AY7" i="12"/>
  <c r="AY151" i="12"/>
  <c r="BC152" i="12" s="1"/>
  <c r="BB5" i="12"/>
  <c r="AY120" i="12"/>
  <c r="AZ7" i="12"/>
  <c r="AU121" i="12"/>
  <c r="AU133" i="12" s="1"/>
  <c r="AX121" i="12"/>
  <c r="AT8" i="12"/>
  <c r="AW6" i="12"/>
  <c r="AW18" i="12"/>
  <c r="AW19" i="12" s="1"/>
  <c r="AW13" i="12"/>
  <c r="AS137" i="12"/>
  <c r="AT121" i="12"/>
  <c r="AV121" i="12"/>
  <c r="AT15" i="12"/>
  <c r="AT102" i="12"/>
  <c r="AW29" i="12"/>
  <c r="AT23" i="12"/>
  <c r="AT152" i="12"/>
  <c r="AU152" i="12"/>
  <c r="AV152" i="12"/>
  <c r="AQ122" i="12"/>
  <c r="AQ126" i="12" s="1"/>
  <c r="AN153" i="12"/>
  <c r="AN155" i="12" s="1"/>
  <c r="AS153" i="12"/>
  <c r="AO124" i="12"/>
  <c r="AO125" i="12" s="1"/>
  <c r="AK48" i="13"/>
  <c r="AE137" i="12"/>
  <c r="AJ111" i="12"/>
  <c r="AJ82" i="12"/>
  <c r="AK155" i="12"/>
  <c r="AJ155" i="12"/>
  <c r="AL155" i="12"/>
  <c r="AF132" i="12"/>
  <c r="AO152" i="12"/>
  <c r="AP152" i="12"/>
  <c r="AQ152" i="12"/>
  <c r="AG137" i="12"/>
  <c r="AI137" i="12"/>
  <c r="AN131" i="12"/>
  <c r="AN132" i="12" s="1"/>
  <c r="AK131" i="12"/>
  <c r="AK132" i="12" s="1"/>
  <c r="AL131" i="12"/>
  <c r="AM32" i="12"/>
  <c r="AR29" i="12"/>
  <c r="AR12" i="12"/>
  <c r="AR23" i="12"/>
  <c r="AR102" i="12"/>
  <c r="AM30" i="12"/>
  <c r="AR31" i="12"/>
  <c r="AR14" i="12"/>
  <c r="AR8" i="12"/>
  <c r="AO122" i="12"/>
  <c r="AO126" i="12" s="1"/>
  <c r="AP124" i="12"/>
  <c r="AP125" i="12" s="1"/>
  <c r="AP133" i="12"/>
  <c r="AO23" i="12"/>
  <c r="AO24" i="12" s="1"/>
  <c r="AO50" i="14"/>
  <c r="AO128" i="12"/>
  <c r="AO47" i="14"/>
  <c r="AP47" i="14"/>
  <c r="AP122" i="12"/>
  <c r="AP126" i="12" s="1"/>
  <c r="AO33" i="12"/>
  <c r="AR27" i="12"/>
  <c r="AQ124" i="12"/>
  <c r="AQ125" i="12" s="1"/>
  <c r="AQ133" i="12"/>
  <c r="AO31" i="14"/>
  <c r="AO38" i="14" s="1"/>
  <c r="AJ129" i="12"/>
  <c r="AJ130" i="12" s="1"/>
  <c r="AJ131" i="12" s="1"/>
  <c r="AJ132" i="12" s="1"/>
  <c r="AJ51" i="14"/>
  <c r="AK51" i="14"/>
  <c r="AJ50" i="14"/>
  <c r="AM28" i="12"/>
  <c r="AM33" i="12"/>
  <c r="AM24" i="12"/>
  <c r="F15" i="31" s="1"/>
  <c r="AK58" i="12"/>
  <c r="X34" i="20" l="1"/>
  <c r="AY141" i="12"/>
  <c r="AY142" i="12" s="1"/>
  <c r="BC121" i="12"/>
  <c r="BC124" i="12" s="1"/>
  <c r="BC125" i="12" s="1"/>
  <c r="AY147" i="12"/>
  <c r="BD151" i="12"/>
  <c r="BH152" i="12" s="1"/>
  <c r="BH153" i="12" s="1"/>
  <c r="BC153" i="12"/>
  <c r="BG5" i="12"/>
  <c r="AY63" i="14"/>
  <c r="AY67" i="14"/>
  <c r="AY70" i="14"/>
  <c r="AY62" i="14"/>
  <c r="AY58" i="14"/>
  <c r="AY57" i="14"/>
  <c r="AY54" i="14"/>
  <c r="AY69" i="14"/>
  <c r="AY59" i="14"/>
  <c r="AY68" i="14"/>
  <c r="AY64" i="14"/>
  <c r="AY55" i="14"/>
  <c r="AY66" i="14"/>
  <c r="AY56" i="14"/>
  <c r="AY65" i="14"/>
  <c r="AY30" i="12"/>
  <c r="AY28" i="12"/>
  <c r="AY32" i="12"/>
  <c r="BD13" i="12"/>
  <c r="E21" i="35" s="1"/>
  <c r="BD120" i="12"/>
  <c r="BD7" i="12"/>
  <c r="AR24" i="12"/>
  <c r="G15" i="31" s="1"/>
  <c r="J7" i="33"/>
  <c r="G71" i="28"/>
  <c r="O6" i="33"/>
  <c r="J28" i="33"/>
  <c r="BB6" i="12"/>
  <c r="AJ60" i="12"/>
  <c r="AJ57" i="12"/>
  <c r="AT24" i="12"/>
  <c r="AX155" i="12"/>
  <c r="AW25" i="13"/>
  <c r="AW29" i="13"/>
  <c r="AW28" i="13"/>
  <c r="AW30" i="13"/>
  <c r="AT33" i="12"/>
  <c r="AT35" i="12" s="1"/>
  <c r="AW24" i="13"/>
  <c r="AW27" i="13"/>
  <c r="AU124" i="12"/>
  <c r="AU125" i="12" s="1"/>
  <c r="AU122" i="12"/>
  <c r="AU126" i="12" s="1"/>
  <c r="AU131" i="12" s="1"/>
  <c r="AU132" i="12" s="1"/>
  <c r="AT31" i="14"/>
  <c r="AT38" i="14" s="1"/>
  <c r="AT49" i="14"/>
  <c r="AT128" i="12"/>
  <c r="AT129" i="12" s="1"/>
  <c r="AY121" i="12"/>
  <c r="BA121" i="12"/>
  <c r="AZ121" i="12"/>
  <c r="BB18" i="12"/>
  <c r="BB19" i="12" s="1"/>
  <c r="AY22" i="12"/>
  <c r="BB22" i="12" s="1"/>
  <c r="AX124" i="12"/>
  <c r="AX125" i="12" s="1"/>
  <c r="AX133" i="12"/>
  <c r="AX122" i="12"/>
  <c r="AX126" i="12" s="1"/>
  <c r="AX131" i="12" s="1"/>
  <c r="BB13" i="12"/>
  <c r="AY8" i="12"/>
  <c r="AY102" i="12"/>
  <c r="AY15" i="12"/>
  <c r="AY14" i="12"/>
  <c r="AY12" i="12"/>
  <c r="AZ15" i="12"/>
  <c r="AY152" i="12"/>
  <c r="BA152" i="12"/>
  <c r="AZ152" i="12"/>
  <c r="AV122" i="12"/>
  <c r="AV126" i="12" s="1"/>
  <c r="AV131" i="12" s="1"/>
  <c r="AW32" i="12"/>
  <c r="AT124" i="12"/>
  <c r="AT125" i="12" s="1"/>
  <c r="AW26" i="13"/>
  <c r="AW102" i="12"/>
  <c r="AW8" i="12"/>
  <c r="AW14" i="12"/>
  <c r="AW12" i="12"/>
  <c r="AW30" i="12"/>
  <c r="AW23" i="12"/>
  <c r="AT122" i="12"/>
  <c r="AT126" i="12" s="1"/>
  <c r="AV133" i="12"/>
  <c r="AV124" i="12"/>
  <c r="AV125" i="12" s="1"/>
  <c r="AS155" i="12"/>
  <c r="AT47" i="14"/>
  <c r="AW27" i="12"/>
  <c r="AW28" i="12" s="1"/>
  <c r="AW22" i="13"/>
  <c r="AU47" i="14"/>
  <c r="AK83" i="12"/>
  <c r="AO153" i="12"/>
  <c r="AO155" i="12" s="1"/>
  <c r="AT153" i="12"/>
  <c r="AT155" i="12" s="1"/>
  <c r="AQ153" i="12"/>
  <c r="AV153" i="12"/>
  <c r="AV155" i="12" s="1"/>
  <c r="AP153" i="12"/>
  <c r="AP155" i="12" s="1"/>
  <c r="AU153" i="12"/>
  <c r="AU155" i="12" s="1"/>
  <c r="AO129" i="12"/>
  <c r="AO130" i="12" s="1"/>
  <c r="AO133" i="12" s="1"/>
  <c r="AL48" i="13"/>
  <c r="AL58" i="12"/>
  <c r="AM14" i="14"/>
  <c r="AN77" i="13" s="1"/>
  <c r="AN137" i="12"/>
  <c r="AK111" i="12"/>
  <c r="AL111" i="12"/>
  <c r="AN111" i="12"/>
  <c r="AK137" i="12"/>
  <c r="AL132" i="12"/>
  <c r="AL137" i="12"/>
  <c r="AQ131" i="12"/>
  <c r="AQ132" i="12" s="1"/>
  <c r="AP131" i="12"/>
  <c r="AP137" i="12" s="1"/>
  <c r="AM35" i="12"/>
  <c r="AR30" i="12"/>
  <c r="AR32" i="12"/>
  <c r="AO35" i="12"/>
  <c r="AR28" i="12"/>
  <c r="AR33" i="12"/>
  <c r="AR35" i="12" s="1"/>
  <c r="AO51" i="14"/>
  <c r="AP51" i="14"/>
  <c r="AJ133" i="12"/>
  <c r="AJ137" i="12"/>
  <c r="AJ109" i="12"/>
  <c r="AM108" i="12"/>
  <c r="AJ110" i="12"/>
  <c r="AJ36" i="12"/>
  <c r="AJ46" i="12"/>
  <c r="AK109" i="12"/>
  <c r="AL110" i="12"/>
  <c r="AK110" i="12"/>
  <c r="E22" i="35"/>
  <c r="AA34" i="20" l="1"/>
  <c r="AA35" i="20" s="1"/>
  <c r="Y36" i="20"/>
  <c r="X36" i="20"/>
  <c r="BC122" i="12"/>
  <c r="BC126" i="12" s="1"/>
  <c r="BC131" i="12" s="1"/>
  <c r="BC132" i="12" s="1"/>
  <c r="O21" i="35"/>
  <c r="BQ5" i="12"/>
  <c r="BD152" i="12"/>
  <c r="BD153" i="12" s="1"/>
  <c r="BC133" i="12"/>
  <c r="BF152" i="12"/>
  <c r="BF153" i="12" s="1"/>
  <c r="BE15" i="12"/>
  <c r="BD70" i="14"/>
  <c r="BD62" i="14"/>
  <c r="BD63" i="14"/>
  <c r="BD69" i="14"/>
  <c r="BD59" i="14"/>
  <c r="BD64" i="14"/>
  <c r="BD68" i="14"/>
  <c r="BD58" i="14"/>
  <c r="BD67" i="14"/>
  <c r="BD57" i="14"/>
  <c r="BD55" i="14"/>
  <c r="BD66" i="14"/>
  <c r="BD56" i="14"/>
  <c r="BD54" i="14"/>
  <c r="BD65" i="14"/>
  <c r="BE152" i="12"/>
  <c r="BE153" i="12" s="1"/>
  <c r="BA143" i="12"/>
  <c r="AY143" i="12"/>
  <c r="AC42" i="20"/>
  <c r="AC41" i="20" s="1"/>
  <c r="BD23" i="12"/>
  <c r="BD24" i="12" s="1"/>
  <c r="BD32" i="12"/>
  <c r="BD30" i="12"/>
  <c r="BD28" i="12"/>
  <c r="BG22" i="12"/>
  <c r="BI7" i="12"/>
  <c r="BI151" i="12"/>
  <c r="BM152" i="12" s="1"/>
  <c r="BL5" i="12"/>
  <c r="BI120" i="12"/>
  <c r="BM121" i="12" s="1"/>
  <c r="BR122" i="12" s="1"/>
  <c r="BJ7" i="12"/>
  <c r="AY149" i="12"/>
  <c r="AY148" i="12"/>
  <c r="BA149" i="12"/>
  <c r="BF121" i="12"/>
  <c r="BF124" i="12" s="1"/>
  <c r="BF125" i="12" s="1"/>
  <c r="BH121" i="12"/>
  <c r="BH122" i="12" s="1"/>
  <c r="BH126" i="12" s="1"/>
  <c r="BH131" i="12" s="1"/>
  <c r="BH132" i="12" s="1"/>
  <c r="BG6" i="12"/>
  <c r="BG13" i="12"/>
  <c r="H21" i="35" s="1"/>
  <c r="BG18" i="12"/>
  <c r="BG19" i="12" s="1"/>
  <c r="BD121" i="12"/>
  <c r="BE121" i="12"/>
  <c r="BE122" i="12" s="1"/>
  <c r="X35" i="20"/>
  <c r="BD15" i="12"/>
  <c r="T6" i="33"/>
  <c r="M28" i="34" s="1"/>
  <c r="BD102" i="12"/>
  <c r="X42" i="20"/>
  <c r="X41" i="20" s="1"/>
  <c r="BD8" i="12"/>
  <c r="BD12" i="12"/>
  <c r="BD14" i="12"/>
  <c r="AC68" i="20" s="1"/>
  <c r="G17" i="31"/>
  <c r="J8" i="33"/>
  <c r="BB31" i="12"/>
  <c r="BB32" i="12" s="1"/>
  <c r="AW24" i="12"/>
  <c r="O7" i="33"/>
  <c r="L25" i="34"/>
  <c r="M25" i="34" s="1"/>
  <c r="N25" i="34" s="1"/>
  <c r="L28" i="34"/>
  <c r="O28" i="33"/>
  <c r="BC135" i="12"/>
  <c r="BC155" i="12" s="1"/>
  <c r="AZ153" i="12"/>
  <c r="BA153" i="12"/>
  <c r="AZ122" i="12"/>
  <c r="AZ126" i="12" s="1"/>
  <c r="AZ131" i="12" s="1"/>
  <c r="AZ132" i="12" s="1"/>
  <c r="AY153" i="12"/>
  <c r="BA122" i="12"/>
  <c r="BA126" i="12" s="1"/>
  <c r="BA131" i="12" s="1"/>
  <c r="AY124" i="12"/>
  <c r="AY125" i="12" s="1"/>
  <c r="AT60" i="12"/>
  <c r="AT63" i="12" s="1"/>
  <c r="AT90" i="12" s="1"/>
  <c r="AT46" i="12"/>
  <c r="AT66" i="12" s="1"/>
  <c r="BB29" i="13"/>
  <c r="AY135" i="12"/>
  <c r="BA135" i="12"/>
  <c r="AZ135" i="12"/>
  <c r="AZ22" i="13"/>
  <c r="BB22" i="13" s="1"/>
  <c r="BB24" i="13"/>
  <c r="BB30" i="13"/>
  <c r="AQ155" i="12"/>
  <c r="BB26" i="13"/>
  <c r="BB25" i="13"/>
  <c r="BB23" i="13"/>
  <c r="AO60" i="12"/>
  <c r="AO57" i="12"/>
  <c r="BB32" i="13"/>
  <c r="BB28" i="13"/>
  <c r="BB27" i="13"/>
  <c r="BB14" i="12"/>
  <c r="H71" i="28"/>
  <c r="AT50" i="14"/>
  <c r="AT82" i="12"/>
  <c r="AO36" i="12"/>
  <c r="AU51" i="14"/>
  <c r="AY122" i="12"/>
  <c r="AY126" i="12" s="1"/>
  <c r="AT51" i="14"/>
  <c r="AY23" i="12"/>
  <c r="AY24" i="12" s="1"/>
  <c r="AY49" i="14"/>
  <c r="AY82" i="12" s="1"/>
  <c r="AY128" i="12"/>
  <c r="AY31" i="14"/>
  <c r="AY38" i="14" s="1"/>
  <c r="AZ124" i="12"/>
  <c r="AZ125" i="12" s="1"/>
  <c r="AZ133" i="12"/>
  <c r="AY47" i="14"/>
  <c r="AZ47" i="14"/>
  <c r="AY33" i="12"/>
  <c r="BB27" i="12"/>
  <c r="AX137" i="12"/>
  <c r="AX132" i="12"/>
  <c r="BA124" i="12"/>
  <c r="BA125" i="12" s="1"/>
  <c r="BA133" i="12"/>
  <c r="BB102" i="12"/>
  <c r="BB23" i="12"/>
  <c r="BB12" i="12"/>
  <c r="AM60" i="12"/>
  <c r="F17" i="31"/>
  <c r="BB29" i="12"/>
  <c r="BB30" i="12" s="1"/>
  <c r="BB8" i="12"/>
  <c r="AW33" i="12"/>
  <c r="AW35" i="12" s="1"/>
  <c r="AL49" i="13"/>
  <c r="AL83" i="12"/>
  <c r="AU137" i="12"/>
  <c r="AT36" i="12"/>
  <c r="AV137" i="12"/>
  <c r="AV132" i="12"/>
  <c r="AP109" i="12"/>
  <c r="AT130" i="12"/>
  <c r="AS111" i="12"/>
  <c r="AK34" i="13"/>
  <c r="AL34" i="13"/>
  <c r="AL70" i="13"/>
  <c r="AP132" i="12"/>
  <c r="AL113" i="12"/>
  <c r="AL112" i="12"/>
  <c r="AM46" i="12"/>
  <c r="AM66" i="12" s="1"/>
  <c r="AM36" i="12"/>
  <c r="E72" i="28" s="1"/>
  <c r="AQ137" i="12"/>
  <c r="AK112" i="12"/>
  <c r="AK113" i="12"/>
  <c r="AN113" i="12"/>
  <c r="AN112" i="12"/>
  <c r="AO111" i="12"/>
  <c r="AP111" i="12"/>
  <c r="AQ111" i="12"/>
  <c r="AJ113" i="12"/>
  <c r="AJ112" i="12"/>
  <c r="AK70" i="13"/>
  <c r="AK49" i="13"/>
  <c r="AO46" i="12"/>
  <c r="AO66" i="12" s="1"/>
  <c r="AO110" i="12"/>
  <c r="AR108" i="12"/>
  <c r="AR36" i="12"/>
  <c r="AR46" i="12"/>
  <c r="AR60" i="12"/>
  <c r="AO109" i="12"/>
  <c r="AP110" i="12"/>
  <c r="AQ110" i="12"/>
  <c r="AO131" i="12"/>
  <c r="AO132" i="12" s="1"/>
  <c r="AM109" i="12"/>
  <c r="AJ47" i="12"/>
  <c r="AJ66" i="12"/>
  <c r="AJ68" i="12" s="1"/>
  <c r="O22" i="35"/>
  <c r="H22" i="35"/>
  <c r="BS13" i="12" l="1"/>
  <c r="BT15" i="12" s="1"/>
  <c r="H8" i="36"/>
  <c r="I8" i="36" s="1"/>
  <c r="J8" i="36" s="1"/>
  <c r="BM153" i="12"/>
  <c r="BR153" i="12"/>
  <c r="BR155" i="12" s="1"/>
  <c r="BS120" i="12"/>
  <c r="BW121" i="12" s="1"/>
  <c r="BW122" i="12" s="1"/>
  <c r="BS7" i="12"/>
  <c r="BX5" i="12"/>
  <c r="E9" i="36"/>
  <c r="D9" i="36"/>
  <c r="AA42" i="20"/>
  <c r="AA41" i="20" s="1"/>
  <c r="BS151" i="12"/>
  <c r="BV5" i="12"/>
  <c r="BV6" i="12" s="1"/>
  <c r="T21" i="35"/>
  <c r="K7" i="15"/>
  <c r="N5" i="15"/>
  <c r="H5" i="15"/>
  <c r="I5" i="15" s="1"/>
  <c r="L5" i="15"/>
  <c r="BP121" i="12"/>
  <c r="BN128" i="12"/>
  <c r="BQ18" i="12"/>
  <c r="BQ19" i="12" s="1"/>
  <c r="BQ22" i="12"/>
  <c r="BM122" i="12"/>
  <c r="BM124" i="12"/>
  <c r="BM125" i="12" s="1"/>
  <c r="BR126" i="12" s="1"/>
  <c r="BR131" i="12" s="1"/>
  <c r="BM133" i="12"/>
  <c r="BQ6" i="12"/>
  <c r="BQ13" i="12"/>
  <c r="BP152" i="12"/>
  <c r="BL6" i="12"/>
  <c r="BF122" i="12"/>
  <c r="BF126" i="12" s="1"/>
  <c r="BF131" i="12" s="1"/>
  <c r="BF133" i="12"/>
  <c r="BG29" i="12"/>
  <c r="BG30" i="12" s="1"/>
  <c r="BG31" i="12"/>
  <c r="BG32" i="12" s="1"/>
  <c r="BI8" i="12"/>
  <c r="BG22" i="13"/>
  <c r="BD47" i="14"/>
  <c r="BI152" i="12"/>
  <c r="BJ152" i="12"/>
  <c r="BK152" i="12"/>
  <c r="BK153" i="12" s="1"/>
  <c r="BI49" i="14"/>
  <c r="BI15" i="12"/>
  <c r="BI14" i="12"/>
  <c r="AG68" i="20" s="1"/>
  <c r="BI102" i="12"/>
  <c r="BI12" i="12"/>
  <c r="BJ15" i="12"/>
  <c r="BE135" i="12"/>
  <c r="BE155" i="12" s="1"/>
  <c r="BH135" i="12"/>
  <c r="BL18" i="12"/>
  <c r="BL19" i="12" s="1"/>
  <c r="BL22" i="12"/>
  <c r="BH124" i="12"/>
  <c r="BH125" i="12" s="1"/>
  <c r="BH133" i="12"/>
  <c r="BI121" i="12"/>
  <c r="BN122" i="12" s="1"/>
  <c r="BJ121" i="12"/>
  <c r="BK121" i="12"/>
  <c r="BK122" i="12" s="1"/>
  <c r="BK126" i="12" s="1"/>
  <c r="BK131" i="12" s="1"/>
  <c r="BK132" i="12" s="1"/>
  <c r="BL13" i="12"/>
  <c r="M21" i="35" s="1"/>
  <c r="BD124" i="12"/>
  <c r="BD125" i="12" s="1"/>
  <c r="BE124" i="12"/>
  <c r="BE125" i="12" s="1"/>
  <c r="BG102" i="12"/>
  <c r="BG23" i="12"/>
  <c r="Y7" i="33" s="1"/>
  <c r="BG12" i="12"/>
  <c r="Y6" i="33"/>
  <c r="N28" i="34" s="1"/>
  <c r="N29" i="34" s="1"/>
  <c r="BG14" i="12"/>
  <c r="M16" i="36" s="1"/>
  <c r="M17" i="36" s="1"/>
  <c r="BG8" i="12"/>
  <c r="BE133" i="12"/>
  <c r="BD128" i="12"/>
  <c r="BD129" i="12" s="1"/>
  <c r="BD122" i="12"/>
  <c r="BD126" i="12" s="1"/>
  <c r="BG23" i="13"/>
  <c r="BG27" i="13"/>
  <c r="T28" i="33"/>
  <c r="BG30" i="13"/>
  <c r="BD49" i="14"/>
  <c r="BE47" i="14"/>
  <c r="BF135" i="12"/>
  <c r="BF155" i="12" s="1"/>
  <c r="BG32" i="13"/>
  <c r="BG26" i="13"/>
  <c r="BD35" i="12"/>
  <c r="BD135" i="12"/>
  <c r="BD155" i="12" s="1"/>
  <c r="BG27" i="12"/>
  <c r="BG25" i="13"/>
  <c r="X37" i="20"/>
  <c r="BD31" i="14"/>
  <c r="BD38" i="14" s="1"/>
  <c r="AT103" i="12"/>
  <c r="AT108" i="12" s="1"/>
  <c r="AT110" i="12" s="1"/>
  <c r="AU103" i="12"/>
  <c r="AU108" i="12" s="1"/>
  <c r="AU109" i="12" s="1"/>
  <c r="BG29" i="13"/>
  <c r="F72" i="28"/>
  <c r="BG24" i="13"/>
  <c r="BB24" i="12"/>
  <c r="T7" i="33"/>
  <c r="Q28" i="34"/>
  <c r="Q25" i="34"/>
  <c r="O8" i="33"/>
  <c r="M29" i="34"/>
  <c r="AY155" i="12"/>
  <c r="BC137" i="12"/>
  <c r="BE126" i="12"/>
  <c r="BE131" i="12" s="1"/>
  <c r="BE132" i="12" s="1"/>
  <c r="BA155" i="12"/>
  <c r="AY129" i="12"/>
  <c r="AY130" i="12" s="1"/>
  <c r="AY133" i="12" s="1"/>
  <c r="AY35" i="12"/>
  <c r="AY60" i="12" s="1"/>
  <c r="AY63" i="12" s="1"/>
  <c r="AO47" i="12"/>
  <c r="AZ137" i="12"/>
  <c r="AZ155" i="12"/>
  <c r="AY50" i="14"/>
  <c r="AY51" i="14"/>
  <c r="AY108" i="12"/>
  <c r="AZ108" i="12"/>
  <c r="AZ51" i="14"/>
  <c r="F18" i="31"/>
  <c r="BB33" i="12"/>
  <c r="BB35" i="12" s="1"/>
  <c r="BB28" i="12"/>
  <c r="BA132" i="12"/>
  <c r="BA137" i="12"/>
  <c r="AW46" i="12"/>
  <c r="AW66" i="12" s="1"/>
  <c r="AW60" i="12"/>
  <c r="AW62" i="12" s="1"/>
  <c r="AW36" i="12"/>
  <c r="G18" i="31"/>
  <c r="AT68" i="12"/>
  <c r="AT47" i="12"/>
  <c r="AT62" i="12"/>
  <c r="AT133" i="12"/>
  <c r="AT131" i="12"/>
  <c r="AS112" i="12"/>
  <c r="AR109" i="12"/>
  <c r="AS113" i="12"/>
  <c r="AM47" i="12"/>
  <c r="AP112" i="12"/>
  <c r="AP113" i="12"/>
  <c r="AO113" i="12"/>
  <c r="AO112" i="12"/>
  <c r="AQ113" i="12"/>
  <c r="AQ112" i="12"/>
  <c r="AO68" i="12"/>
  <c r="AR66" i="12"/>
  <c r="AR47" i="12"/>
  <c r="AO137" i="12"/>
  <c r="AM57" i="12"/>
  <c r="AM58" i="12" s="1"/>
  <c r="AJ58" i="12"/>
  <c r="T22" i="35"/>
  <c r="M22" i="35"/>
  <c r="BU121" i="12" l="1"/>
  <c r="BU122" i="12" s="1"/>
  <c r="BT121" i="12"/>
  <c r="E5" i="15"/>
  <c r="F5" i="15" s="1"/>
  <c r="BS49" i="14"/>
  <c r="BS82" i="12" s="1"/>
  <c r="AR42" i="20"/>
  <c r="BS63" i="14"/>
  <c r="BS56" i="14"/>
  <c r="BS65" i="14"/>
  <c r="BS64" i="14"/>
  <c r="BS70" i="14"/>
  <c r="BS62" i="14"/>
  <c r="BS69" i="14"/>
  <c r="BS59" i="14"/>
  <c r="BS30" i="12"/>
  <c r="BS66" i="14"/>
  <c r="BS54" i="14"/>
  <c r="BS68" i="14"/>
  <c r="BS58" i="14"/>
  <c r="BS67" i="14"/>
  <c r="BS57" i="14"/>
  <c r="BS55" i="14"/>
  <c r="BS28" i="12"/>
  <c r="BS32" i="12"/>
  <c r="BV18" i="12"/>
  <c r="BV19" i="12" s="1"/>
  <c r="K12" i="15"/>
  <c r="K14" i="15" s="1"/>
  <c r="BW124" i="12"/>
  <c r="BW125" i="12" s="1"/>
  <c r="BW133" i="12"/>
  <c r="BR137" i="12"/>
  <c r="BR132" i="12"/>
  <c r="AA37" i="20"/>
  <c r="BS121" i="12"/>
  <c r="BS122" i="12" s="1"/>
  <c r="BX18" i="12"/>
  <c r="BX120" i="12"/>
  <c r="BX7" i="12"/>
  <c r="BX13" i="12"/>
  <c r="BX151" i="12"/>
  <c r="CA5" i="12"/>
  <c r="BY7" i="12"/>
  <c r="BS22" i="12"/>
  <c r="BV22" i="12" s="1"/>
  <c r="BS152" i="12"/>
  <c r="BS153" i="12" s="1"/>
  <c r="BW152" i="12"/>
  <c r="BW153" i="12" s="1"/>
  <c r="BW126" i="12"/>
  <c r="BW131" i="12" s="1"/>
  <c r="BW132" i="12" s="1"/>
  <c r="BU152" i="12"/>
  <c r="BU153" i="12" s="1"/>
  <c r="BT152" i="12"/>
  <c r="BT153" i="12" s="1"/>
  <c r="R21" i="35"/>
  <c r="E7" i="36"/>
  <c r="D7" i="36"/>
  <c r="BS12" i="12"/>
  <c r="BJ153" i="12"/>
  <c r="BO153" i="12"/>
  <c r="BO155" i="12" s="1"/>
  <c r="BJ122" i="12"/>
  <c r="BJ126" i="12" s="1"/>
  <c r="BJ131" i="12" s="1"/>
  <c r="BJ132" i="12" s="1"/>
  <c r="BO122" i="12"/>
  <c r="BS15" i="12"/>
  <c r="BS8" i="12"/>
  <c r="BV13" i="12"/>
  <c r="BV8" i="12" s="1"/>
  <c r="BS102" i="12"/>
  <c r="BS14" i="12"/>
  <c r="BS47" i="14"/>
  <c r="BI82" i="12"/>
  <c r="BN50" i="14"/>
  <c r="BI153" i="12"/>
  <c r="BN153" i="12"/>
  <c r="BN155" i="12" s="1"/>
  <c r="BQ29" i="12"/>
  <c r="BQ30" i="12" s="1"/>
  <c r="BQ31" i="12"/>
  <c r="BQ32" i="12" s="1"/>
  <c r="L7" i="15"/>
  <c r="N7" i="15"/>
  <c r="H6" i="36"/>
  <c r="I6" i="36" s="1"/>
  <c r="J6" i="36" s="1"/>
  <c r="H7" i="15"/>
  <c r="I7" i="15" s="1"/>
  <c r="E7" i="15"/>
  <c r="F7" i="15" s="1"/>
  <c r="AC39" i="20"/>
  <c r="AC67" i="20" s="1"/>
  <c r="AF38" i="20"/>
  <c r="BU133" i="12"/>
  <c r="BT122" i="12"/>
  <c r="BT124" i="12"/>
  <c r="BT125" i="12" s="1"/>
  <c r="BT133" i="12"/>
  <c r="BM135" i="12"/>
  <c r="BM155" i="12" s="1"/>
  <c r="BL31" i="12"/>
  <c r="BL32" i="12" s="1"/>
  <c r="BL29" i="12"/>
  <c r="BL30" i="12" s="1"/>
  <c r="BN82" i="12"/>
  <c r="BQ27" i="12"/>
  <c r="BP135" i="12"/>
  <c r="BM126" i="12"/>
  <c r="BM131" i="12" s="1"/>
  <c r="BM132" i="12" s="1"/>
  <c r="BQ14" i="12"/>
  <c r="O16" i="36" s="1"/>
  <c r="O17" i="36" s="1"/>
  <c r="BQ102" i="12"/>
  <c r="BQ12" i="12"/>
  <c r="BP124" i="12"/>
  <c r="BP125" i="12" s="1"/>
  <c r="BP122" i="12"/>
  <c r="BP133" i="12"/>
  <c r="BQ8" i="12"/>
  <c r="BQ23" i="12"/>
  <c r="BQ24" i="12" s="1"/>
  <c r="BP153" i="12"/>
  <c r="AC34" i="20"/>
  <c r="AD40" i="20"/>
  <c r="BD108" i="12"/>
  <c r="BD82" i="12"/>
  <c r="AC40" i="20"/>
  <c r="BG33" i="12"/>
  <c r="BG35" i="12" s="1"/>
  <c r="BL8" i="12"/>
  <c r="BG28" i="13"/>
  <c r="Y28" i="33"/>
  <c r="Z24" i="33"/>
  <c r="Z14" i="33" s="1"/>
  <c r="BI124" i="12"/>
  <c r="BI125" i="12" s="1"/>
  <c r="BN126" i="12" s="1"/>
  <c r="BI128" i="12"/>
  <c r="BI129" i="12" s="1"/>
  <c r="BI130" i="12" s="1"/>
  <c r="BI133" i="12" s="1"/>
  <c r="BI47" i="14"/>
  <c r="BJ47" i="14"/>
  <c r="BI23" i="12"/>
  <c r="BI24" i="12" s="1"/>
  <c r="BI31" i="14"/>
  <c r="BI38" i="14" s="1"/>
  <c r="BI122" i="12"/>
  <c r="BI126" i="12" s="1"/>
  <c r="BL23" i="12"/>
  <c r="BL102" i="12"/>
  <c r="BL12" i="12"/>
  <c r="BH155" i="12"/>
  <c r="BH137" i="12"/>
  <c r="BL14" i="12"/>
  <c r="N16" i="36" s="1"/>
  <c r="N17" i="36" s="1"/>
  <c r="BK124" i="12"/>
  <c r="BK125" i="12" s="1"/>
  <c r="BK133" i="12"/>
  <c r="BJ133" i="12"/>
  <c r="BJ124" i="12"/>
  <c r="BJ125" i="12" s="1"/>
  <c r="BL27" i="12"/>
  <c r="BI135" i="12"/>
  <c r="BJ135" i="12"/>
  <c r="BK135" i="12"/>
  <c r="BK137" i="12" s="1"/>
  <c r="BD50" i="14"/>
  <c r="BE51" i="14"/>
  <c r="BD51" i="14"/>
  <c r="BG24" i="12"/>
  <c r="AT111" i="12"/>
  <c r="AT112" i="12" s="1"/>
  <c r="AT109" i="12"/>
  <c r="BG28" i="12"/>
  <c r="BB60" i="12"/>
  <c r="T8" i="33"/>
  <c r="BE137" i="12"/>
  <c r="BD60" i="12"/>
  <c r="BD46" i="12"/>
  <c r="BD66" i="12" s="1"/>
  <c r="BD36" i="12"/>
  <c r="E31" i="35" s="1"/>
  <c r="AY131" i="12"/>
  <c r="AY132" i="12" s="1"/>
  <c r="BD130" i="12"/>
  <c r="BC111" i="12"/>
  <c r="BF132" i="12"/>
  <c r="BF137" i="12"/>
  <c r="BB108" i="12"/>
  <c r="AV110" i="12"/>
  <c r="AX111" i="12"/>
  <c r="AX112" i="12" s="1"/>
  <c r="AU110" i="12"/>
  <c r="AW108" i="12"/>
  <c r="AW109" i="12" s="1"/>
  <c r="AV111" i="12"/>
  <c r="AV112" i="12" s="1"/>
  <c r="AU111" i="12"/>
  <c r="AU112" i="12" s="1"/>
  <c r="AY46" i="12"/>
  <c r="AY66" i="12" s="1"/>
  <c r="AY57" i="12" s="1"/>
  <c r="AY36" i="12"/>
  <c r="G72" i="28"/>
  <c r="BA110" i="12"/>
  <c r="BA111" i="12"/>
  <c r="AZ111" i="12"/>
  <c r="AZ109" i="12"/>
  <c r="AZ110" i="12"/>
  <c r="AY110" i="12"/>
  <c r="AY111" i="12"/>
  <c r="AY109" i="12"/>
  <c r="AY62" i="12"/>
  <c r="BB36" i="12"/>
  <c r="BB46" i="12"/>
  <c r="BB66" i="12" s="1"/>
  <c r="AW63" i="12"/>
  <c r="AW74" i="12" s="1"/>
  <c r="AW47" i="12"/>
  <c r="AR67" i="12"/>
  <c r="AR68" i="12" s="1"/>
  <c r="AT64" i="12"/>
  <c r="AT74" i="12"/>
  <c r="AT132" i="12"/>
  <c r="AT137" i="12"/>
  <c r="AM67" i="12"/>
  <c r="AM68" i="12" s="1"/>
  <c r="AN58" i="12"/>
  <c r="AO58" i="12"/>
  <c r="AO71" i="12"/>
  <c r="AO76" i="12" s="1"/>
  <c r="AJ71" i="12"/>
  <c r="AJ76" i="12" s="1"/>
  <c r="R22" i="35"/>
  <c r="E32" i="35"/>
  <c r="BU124" i="12" l="1"/>
  <c r="BU125" i="12" s="1"/>
  <c r="AR34" i="20"/>
  <c r="AR37" i="20" s="1"/>
  <c r="AR41" i="20"/>
  <c r="BX8" i="12"/>
  <c r="BX34" i="14"/>
  <c r="AW35" i="20"/>
  <c r="AR36" i="20"/>
  <c r="AS36" i="20"/>
  <c r="AR35" i="20"/>
  <c r="BV31" i="12"/>
  <c r="BV32" i="12" s="1"/>
  <c r="N20" i="15"/>
  <c r="BV29" i="12"/>
  <c r="BV30" i="12" s="1"/>
  <c r="H19" i="15"/>
  <c r="I19" i="15" s="1"/>
  <c r="BS124" i="12"/>
  <c r="BS125" i="12" s="1"/>
  <c r="BV25" i="13"/>
  <c r="CA13" i="12"/>
  <c r="CA8" i="12" s="1"/>
  <c r="CA6" i="12"/>
  <c r="BS23" i="12"/>
  <c r="BS24" i="12" s="1"/>
  <c r="BS135" i="12"/>
  <c r="BS155" i="12" s="1"/>
  <c r="BW135" i="12"/>
  <c r="BX121" i="12"/>
  <c r="BY121" i="12"/>
  <c r="BZ121" i="12"/>
  <c r="BX152" i="12"/>
  <c r="BX153" i="12" s="1"/>
  <c r="BY152" i="12"/>
  <c r="BY153" i="12" s="1"/>
  <c r="BZ152" i="12"/>
  <c r="BZ153" i="12" s="1"/>
  <c r="BX28" i="14"/>
  <c r="BX8" i="14"/>
  <c r="BX16" i="14"/>
  <c r="BX11" i="14"/>
  <c r="BX26" i="14"/>
  <c r="Y21" i="35"/>
  <c r="BX37" i="14"/>
  <c r="BX30" i="14"/>
  <c r="BX20" i="14"/>
  <c r="BX10" i="14"/>
  <c r="BX15" i="14"/>
  <c r="BX24" i="14"/>
  <c r="BX25" i="14"/>
  <c r="BX15" i="12"/>
  <c r="BX102" i="12"/>
  <c r="BX31" i="12"/>
  <c r="CA31" i="12" s="1"/>
  <c r="BX27" i="12"/>
  <c r="BX29" i="12"/>
  <c r="CA29" i="12" s="1"/>
  <c r="BX14" i="12"/>
  <c r="BX12" i="12"/>
  <c r="BY15" i="12"/>
  <c r="CA18" i="12"/>
  <c r="CA19" i="12" s="1"/>
  <c r="BX22" i="12"/>
  <c r="CA22" i="12" s="1"/>
  <c r="BV32" i="13"/>
  <c r="BT51" i="14"/>
  <c r="BS128" i="12"/>
  <c r="BS129" i="12" s="1"/>
  <c r="BV30" i="13"/>
  <c r="BV29" i="13"/>
  <c r="BJ155" i="12"/>
  <c r="BO126" i="12"/>
  <c r="BO131" i="12" s="1"/>
  <c r="BO137" i="12" s="1"/>
  <c r="BV23" i="13"/>
  <c r="BV27" i="12"/>
  <c r="BV28" i="12" s="1"/>
  <c r="BU135" i="12"/>
  <c r="BU155" i="12" s="1"/>
  <c r="BT135" i="12"/>
  <c r="BT155" i="12" s="1"/>
  <c r="BS33" i="12"/>
  <c r="BV12" i="12"/>
  <c r="BV102" i="12"/>
  <c r="BV23" i="12"/>
  <c r="BV24" i="12" s="1"/>
  <c r="BV14" i="12"/>
  <c r="BT47" i="14"/>
  <c r="W21" i="35"/>
  <c r="BV24" i="13"/>
  <c r="BV27" i="13"/>
  <c r="BI155" i="12"/>
  <c r="BS31" i="14"/>
  <c r="BS38" i="14" s="1"/>
  <c r="BV28" i="13"/>
  <c r="BN129" i="12"/>
  <c r="BN130" i="12" s="1"/>
  <c r="K15" i="15"/>
  <c r="AC37" i="20"/>
  <c r="AC36" i="20"/>
  <c r="AD36" i="20"/>
  <c r="AF34" i="20"/>
  <c r="AF42" i="20" s="1"/>
  <c r="AF41" i="20" s="1"/>
  <c r="AF39" i="20"/>
  <c r="AK39" i="20"/>
  <c r="BT126" i="12"/>
  <c r="BT131" i="12" s="1"/>
  <c r="BT132" i="12" s="1"/>
  <c r="BU126" i="12"/>
  <c r="BU131" i="12" s="1"/>
  <c r="BU132" i="12" s="1"/>
  <c r="BS126" i="12"/>
  <c r="BD57" i="12"/>
  <c r="N18" i="15"/>
  <c r="E18" i="15"/>
  <c r="F18" i="15" s="1"/>
  <c r="H18" i="15"/>
  <c r="I18" i="15" s="1"/>
  <c r="L18" i="15"/>
  <c r="BE111" i="12"/>
  <c r="BD110" i="12"/>
  <c r="BQ24" i="13"/>
  <c r="BP126" i="12"/>
  <c r="BP131" i="12" s="1"/>
  <c r="BP132" i="12" s="1"/>
  <c r="BQ29" i="13"/>
  <c r="BQ25" i="13"/>
  <c r="BQ32" i="13"/>
  <c r="BQ26" i="13"/>
  <c r="BQ30" i="13"/>
  <c r="AC28" i="31"/>
  <c r="BQ23" i="13"/>
  <c r="BM137" i="12"/>
  <c r="BQ27" i="13"/>
  <c r="BP155" i="12"/>
  <c r="BQ22" i="13"/>
  <c r="BQ28" i="13"/>
  <c r="BQ28" i="12"/>
  <c r="BQ33" i="12"/>
  <c r="BQ35" i="12" s="1"/>
  <c r="BD109" i="12"/>
  <c r="BD111" i="12"/>
  <c r="BD113" i="12" s="1"/>
  <c r="Y8" i="33"/>
  <c r="BG46" i="12"/>
  <c r="BG66" i="12" s="1"/>
  <c r="AH35" i="20"/>
  <c r="AG66" i="20" s="1"/>
  <c r="AC35" i="20"/>
  <c r="AC66" i="20" s="1"/>
  <c r="V28" i="31"/>
  <c r="V29" i="31" s="1"/>
  <c r="BI131" i="12"/>
  <c r="BI132" i="12" s="1"/>
  <c r="BL26" i="13"/>
  <c r="BL24" i="13"/>
  <c r="BI35" i="12"/>
  <c r="BL23" i="13"/>
  <c r="BJ137" i="12"/>
  <c r="BL22" i="13"/>
  <c r="BL32" i="13"/>
  <c r="BL29" i="13"/>
  <c r="BL28" i="13"/>
  <c r="BL30" i="13"/>
  <c r="BL27" i="13"/>
  <c r="BI50" i="14"/>
  <c r="BI108" i="12"/>
  <c r="BI51" i="14"/>
  <c r="BJ51" i="14"/>
  <c r="BJ108" i="12"/>
  <c r="BL28" i="12"/>
  <c r="BL33" i="12"/>
  <c r="BK155" i="12"/>
  <c r="BL24" i="12"/>
  <c r="BL25" i="13"/>
  <c r="AT113" i="12"/>
  <c r="BG36" i="12"/>
  <c r="BG60" i="12"/>
  <c r="O10" i="33"/>
  <c r="O17" i="33" s="1"/>
  <c r="Z15" i="33"/>
  <c r="AY137" i="12"/>
  <c r="BD47" i="12"/>
  <c r="BD62" i="12"/>
  <c r="BD63" i="12"/>
  <c r="BD133" i="12"/>
  <c r="BD131" i="12"/>
  <c r="BC112" i="12"/>
  <c r="BC113" i="12"/>
  <c r="AY47" i="12"/>
  <c r="AU113" i="12"/>
  <c r="BB109" i="12"/>
  <c r="AV113" i="12"/>
  <c r="AX113" i="12"/>
  <c r="H72" i="28"/>
  <c r="AY74" i="12"/>
  <c r="AY64" i="12"/>
  <c r="AZ113" i="12"/>
  <c r="AZ112" i="12"/>
  <c r="BB47" i="12"/>
  <c r="BA113" i="12"/>
  <c r="BA112" i="12"/>
  <c r="AY71" i="12"/>
  <c r="AY76" i="12" s="1"/>
  <c r="AY68" i="12"/>
  <c r="AY113" i="12"/>
  <c r="AY112" i="12"/>
  <c r="BB62" i="12"/>
  <c r="BB63" i="12"/>
  <c r="AW64" i="12"/>
  <c r="AR71" i="12"/>
  <c r="AR76" i="12" s="1"/>
  <c r="AJ72" i="12"/>
  <c r="AM71" i="12"/>
  <c r="AM76" i="12" s="1"/>
  <c r="H39" i="15"/>
  <c r="E39" i="15"/>
  <c r="AN34" i="13"/>
  <c r="AN70" i="13"/>
  <c r="AO72" i="12"/>
  <c r="Y22" i="35"/>
  <c r="W22" i="35"/>
  <c r="H20" i="15" l="1"/>
  <c r="I20" i="15" s="1"/>
  <c r="L20" i="15"/>
  <c r="E20" i="15"/>
  <c r="F20" i="15" s="1"/>
  <c r="K21" i="15"/>
  <c r="K23" i="15" s="1"/>
  <c r="K28" i="15" s="1"/>
  <c r="K29" i="15" s="1"/>
  <c r="L19" i="15"/>
  <c r="N19" i="15"/>
  <c r="E19" i="15"/>
  <c r="F19" i="15" s="1"/>
  <c r="BV26" i="13"/>
  <c r="BO132" i="12"/>
  <c r="BX23" i="12"/>
  <c r="BX24" i="12" s="1"/>
  <c r="BS35" i="12"/>
  <c r="BS60" i="12" s="1"/>
  <c r="BS62" i="12" s="1"/>
  <c r="CA30" i="12"/>
  <c r="CA32" i="12"/>
  <c r="BY25" i="13"/>
  <c r="BX25" i="13"/>
  <c r="BY26" i="13"/>
  <c r="BX26" i="13"/>
  <c r="BY124" i="12"/>
  <c r="BY125" i="12" s="1"/>
  <c r="BY122" i="12"/>
  <c r="BY126" i="12" s="1"/>
  <c r="BY131" i="12" s="1"/>
  <c r="BY132" i="12" s="1"/>
  <c r="BY133" i="12"/>
  <c r="BX124" i="12"/>
  <c r="BX125" i="12" s="1"/>
  <c r="BX122" i="12"/>
  <c r="BX126" i="12" s="1"/>
  <c r="BW137" i="12"/>
  <c r="BW155" i="12"/>
  <c r="BX29" i="13"/>
  <c r="BY29" i="13"/>
  <c r="BS50" i="14"/>
  <c r="BX47" i="14"/>
  <c r="BY22" i="13"/>
  <c r="BX22" i="13"/>
  <c r="BY47" i="14"/>
  <c r="BY23" i="13"/>
  <c r="BX23" i="13"/>
  <c r="BZ122" i="12"/>
  <c r="BZ126" i="12" s="1"/>
  <c r="BZ131" i="12" s="1"/>
  <c r="BZ132" i="12" s="1"/>
  <c r="BZ124" i="12"/>
  <c r="BZ125" i="12" s="1"/>
  <c r="BZ133" i="12"/>
  <c r="BX30" i="13"/>
  <c r="BX128" i="12"/>
  <c r="BX129" i="12" s="1"/>
  <c r="BX130" i="12" s="1"/>
  <c r="BX133" i="12" s="1"/>
  <c r="BX49" i="14"/>
  <c r="BY30" i="13"/>
  <c r="BY24" i="13"/>
  <c r="BX24" i="13"/>
  <c r="BT108" i="12"/>
  <c r="BS108" i="12"/>
  <c r="AG28" i="31" s="1"/>
  <c r="AG29" i="31" s="1"/>
  <c r="BX28" i="13"/>
  <c r="BY28" i="13"/>
  <c r="BX32" i="13"/>
  <c r="BY32" i="13"/>
  <c r="AB21" i="35"/>
  <c r="CA14" i="12"/>
  <c r="CA102" i="12"/>
  <c r="CA23" i="12"/>
  <c r="CA24" i="12" s="1"/>
  <c r="CA12" i="12"/>
  <c r="BX135" i="12"/>
  <c r="BX33" i="12"/>
  <c r="CA27" i="12"/>
  <c r="BY135" i="12"/>
  <c r="BZ135" i="12"/>
  <c r="BS51" i="14"/>
  <c r="BX27" i="13"/>
  <c r="BX31" i="14"/>
  <c r="BX38" i="14" s="1"/>
  <c r="BY27" i="13"/>
  <c r="H31" i="35"/>
  <c r="M20" i="36"/>
  <c r="M21" i="36" s="1"/>
  <c r="BN111" i="12"/>
  <c r="BO113" i="12" s="1"/>
  <c r="BO109" i="12"/>
  <c r="BV33" i="12"/>
  <c r="BV35" i="12" s="1"/>
  <c r="BV46" i="12" s="1"/>
  <c r="BV22" i="13"/>
  <c r="Y28" i="31"/>
  <c r="Y29" i="31" s="1"/>
  <c r="BN109" i="12"/>
  <c r="BN131" i="12"/>
  <c r="BN133" i="12"/>
  <c r="AF37" i="20"/>
  <c r="AF35" i="20"/>
  <c r="AK35" i="20"/>
  <c r="BT137" i="12"/>
  <c r="AD28" i="31"/>
  <c r="BS130" i="12"/>
  <c r="BS133" i="12" s="1"/>
  <c r="BU137" i="12"/>
  <c r="Z28" i="31"/>
  <c r="Z29" i="31" s="1"/>
  <c r="BI36" i="12"/>
  <c r="J31" i="35" s="1"/>
  <c r="BI60" i="12"/>
  <c r="BI62" i="12" s="1"/>
  <c r="BL108" i="12"/>
  <c r="L21" i="15"/>
  <c r="O31" i="35"/>
  <c r="BM111" i="12"/>
  <c r="BR112" i="12" s="1"/>
  <c r="BP137" i="12"/>
  <c r="BP111" i="12"/>
  <c r="BR113" i="12" s="1"/>
  <c r="BP110" i="12"/>
  <c r="BQ108" i="12"/>
  <c r="BQ61" i="12"/>
  <c r="BQ46" i="12"/>
  <c r="BQ60" i="12"/>
  <c r="BQ36" i="12"/>
  <c r="BD112" i="12"/>
  <c r="BL35" i="12"/>
  <c r="BL60" i="12" s="1"/>
  <c r="BE110" i="12"/>
  <c r="BE109" i="12"/>
  <c r="BG108" i="12"/>
  <c r="BF111" i="12"/>
  <c r="BF112" i="12" s="1"/>
  <c r="BH111" i="12"/>
  <c r="BH112" i="12" s="1"/>
  <c r="BF110" i="12"/>
  <c r="BE113" i="12"/>
  <c r="BI137" i="12"/>
  <c r="BI46" i="12"/>
  <c r="BJ109" i="12"/>
  <c r="BJ111" i="12"/>
  <c r="BO112" i="12" s="1"/>
  <c r="BK111" i="12"/>
  <c r="BK110" i="12"/>
  <c r="BJ110" i="12"/>
  <c r="BI111" i="12"/>
  <c r="BI110" i="12"/>
  <c r="BI109" i="12"/>
  <c r="BG47" i="12"/>
  <c r="BD74" i="12"/>
  <c r="E23" i="35" s="1"/>
  <c r="BD64" i="12"/>
  <c r="BD71" i="12"/>
  <c r="BD76" i="12" s="1"/>
  <c r="BD68" i="12"/>
  <c r="BG71" i="12"/>
  <c r="BG76" i="12" s="1"/>
  <c r="BG68" i="12"/>
  <c r="BD132" i="12"/>
  <c r="BD137" i="12"/>
  <c r="AY6" i="13"/>
  <c r="AY75" i="12"/>
  <c r="BB74" i="12"/>
  <c r="BB64" i="12"/>
  <c r="AY72" i="12"/>
  <c r="BB71" i="12"/>
  <c r="BB76" i="12" s="1"/>
  <c r="BB68" i="12"/>
  <c r="AO48" i="13"/>
  <c r="AP58" i="12"/>
  <c r="AR77" i="12"/>
  <c r="AR72" i="12"/>
  <c r="AM72" i="12"/>
  <c r="AR14" i="14"/>
  <c r="AS77" i="13" s="1"/>
  <c r="AO77" i="12"/>
  <c r="J32" i="35"/>
  <c r="O32" i="35"/>
  <c r="H32" i="35"/>
  <c r="E24" i="35"/>
  <c r="AB22" i="35"/>
  <c r="BU110" i="12" l="1"/>
  <c r="AH28" i="31"/>
  <c r="AH29" i="31" s="1"/>
  <c r="N21" i="15"/>
  <c r="K34" i="15"/>
  <c r="E21" i="15"/>
  <c r="F21" i="15" s="1"/>
  <c r="K24" i="15"/>
  <c r="H21" i="15"/>
  <c r="I21" i="15" s="1"/>
  <c r="CA26" i="13"/>
  <c r="BS63" i="12"/>
  <c r="BS74" i="12" s="1"/>
  <c r="T23" i="35" s="1"/>
  <c r="BV61" i="12"/>
  <c r="BS46" i="12"/>
  <c r="BS47" i="12" s="1"/>
  <c r="BS36" i="12"/>
  <c r="T31" i="35" s="1"/>
  <c r="BX35" i="12"/>
  <c r="BX60" i="12" s="1"/>
  <c r="BX61" i="12" s="1"/>
  <c r="CA22" i="13"/>
  <c r="CA24" i="13"/>
  <c r="BS109" i="12"/>
  <c r="BX131" i="12"/>
  <c r="BX132" i="12" s="1"/>
  <c r="CA28" i="13"/>
  <c r="CA23" i="13"/>
  <c r="CA29" i="13"/>
  <c r="CA32" i="13"/>
  <c r="BT111" i="12"/>
  <c r="BT112" i="12" s="1"/>
  <c r="BS110" i="12"/>
  <c r="BN112" i="12"/>
  <c r="BV108" i="12"/>
  <c r="CA27" i="13"/>
  <c r="CA30" i="13"/>
  <c r="BW111" i="12"/>
  <c r="BX103" i="12"/>
  <c r="BX108" i="12" s="1"/>
  <c r="BX50" i="14"/>
  <c r="BX51" i="14"/>
  <c r="BY51" i="14"/>
  <c r="BY103" i="12"/>
  <c r="BY108" i="12" s="1"/>
  <c r="BY137" i="12"/>
  <c r="BY155" i="12"/>
  <c r="CA28" i="12"/>
  <c r="CA33" i="12"/>
  <c r="CA35" i="12" s="1"/>
  <c r="BU111" i="12"/>
  <c r="BU112" i="12" s="1"/>
  <c r="BX155" i="12"/>
  <c r="BT110" i="12"/>
  <c r="BT109" i="12"/>
  <c r="BN113" i="12"/>
  <c r="BS111" i="12"/>
  <c r="BS113" i="12" s="1"/>
  <c r="BZ155" i="12"/>
  <c r="BZ137" i="12"/>
  <c r="CA25" i="13"/>
  <c r="AC29" i="31"/>
  <c r="E11" i="36"/>
  <c r="D11" i="36"/>
  <c r="R31" i="35"/>
  <c r="O20" i="36"/>
  <c r="O21" i="36" s="1"/>
  <c r="BV36" i="12"/>
  <c r="W31" i="35" s="1"/>
  <c r="BV60" i="12"/>
  <c r="BN132" i="12"/>
  <c r="BN137" i="12"/>
  <c r="BS131" i="12"/>
  <c r="BS132" i="12" s="1"/>
  <c r="AD29" i="31"/>
  <c r="BV47" i="12"/>
  <c r="BV66" i="12"/>
  <c r="I10" i="36"/>
  <c r="J10" i="36" s="1"/>
  <c r="BI47" i="12"/>
  <c r="BI66" i="12"/>
  <c r="BM113" i="12"/>
  <c r="BM112" i="12"/>
  <c r="BQ109" i="12"/>
  <c r="BQ63" i="12"/>
  <c r="BQ74" i="12" s="1"/>
  <c r="R23" i="35" s="1"/>
  <c r="O23" i="35"/>
  <c r="BQ47" i="12"/>
  <c r="BQ66" i="12"/>
  <c r="BP112" i="12"/>
  <c r="BP113" i="12"/>
  <c r="BQ62" i="12"/>
  <c r="BG109" i="12"/>
  <c r="BL46" i="12"/>
  <c r="BL47" i="12" s="1"/>
  <c r="BL36" i="12"/>
  <c r="BL109" i="12"/>
  <c r="BF113" i="12"/>
  <c r="BE112" i="12"/>
  <c r="BH113" i="12"/>
  <c r="BK113" i="12"/>
  <c r="BK112" i="12"/>
  <c r="BI113" i="12"/>
  <c r="BI112" i="12"/>
  <c r="BJ113" i="12"/>
  <c r="BJ112" i="12"/>
  <c r="T10" i="33"/>
  <c r="T17" i="33" s="1"/>
  <c r="BD75" i="12"/>
  <c r="BG6" i="13"/>
  <c r="BG72" i="12"/>
  <c r="BD6" i="13"/>
  <c r="BD77" i="12"/>
  <c r="BD72" i="12"/>
  <c r="AJ48" i="13"/>
  <c r="AJ49" i="13" s="1"/>
  <c r="AM49" i="13"/>
  <c r="F23" i="31" s="1"/>
  <c r="BB6" i="13"/>
  <c r="BB72" i="12"/>
  <c r="BB75" i="12"/>
  <c r="AO49" i="13"/>
  <c r="AO83" i="12"/>
  <c r="AO70" i="13"/>
  <c r="AO34" i="13"/>
  <c r="AP49" i="13"/>
  <c r="AJ70" i="13"/>
  <c r="AJ83" i="12"/>
  <c r="AM70" i="13"/>
  <c r="AP70" i="13"/>
  <c r="AP34" i="13"/>
  <c r="AJ34" i="13"/>
  <c r="R32" i="35"/>
  <c r="T32" i="35"/>
  <c r="T24" i="35"/>
  <c r="O24" i="35"/>
  <c r="R24" i="35"/>
  <c r="W32" i="35"/>
  <c r="K36" i="15" l="1"/>
  <c r="K42" i="15" s="1"/>
  <c r="BV62" i="12"/>
  <c r="BX46" i="12"/>
  <c r="BS64" i="12"/>
  <c r="BS66" i="12"/>
  <c r="BX36" i="12"/>
  <c r="Y31" i="35" s="1"/>
  <c r="BV109" i="12"/>
  <c r="BX137" i="12"/>
  <c r="BU113" i="12"/>
  <c r="BY109" i="12"/>
  <c r="BY111" i="12"/>
  <c r="BY112" i="12" s="1"/>
  <c r="BY110" i="12"/>
  <c r="BZ110" i="12"/>
  <c r="BT113" i="12"/>
  <c r="BX66" i="12"/>
  <c r="BX47" i="12"/>
  <c r="BS112" i="12"/>
  <c r="BZ111" i="12"/>
  <c r="BX109" i="12"/>
  <c r="BX111" i="12"/>
  <c r="BX110" i="12"/>
  <c r="CA108" i="12"/>
  <c r="CA109" i="12" s="1"/>
  <c r="BW113" i="12"/>
  <c r="BW112" i="12"/>
  <c r="BX63" i="12"/>
  <c r="CA61" i="12"/>
  <c r="CA46" i="12"/>
  <c r="CA60" i="12"/>
  <c r="CA36" i="12"/>
  <c r="AB31" i="35" s="1"/>
  <c r="BV63" i="12"/>
  <c r="BV64" i="12" s="1"/>
  <c r="M31" i="35"/>
  <c r="N20" i="36"/>
  <c r="N21" i="36" s="1"/>
  <c r="BU19" i="14"/>
  <c r="BW19" i="14" s="1"/>
  <c r="BY19" i="14" s="1"/>
  <c r="BI57" i="12"/>
  <c r="BS137" i="12"/>
  <c r="BS75" i="12"/>
  <c r="BV71" i="12"/>
  <c r="BV76" i="12" s="1"/>
  <c r="BV68" i="12"/>
  <c r="BI71" i="12"/>
  <c r="BI76" i="12" s="1"/>
  <c r="BQ64" i="12"/>
  <c r="BQ71" i="12"/>
  <c r="BQ76" i="12" s="1"/>
  <c r="BQ68" i="12"/>
  <c r="BL66" i="12"/>
  <c r="BI63" i="12"/>
  <c r="BI74" i="12" s="1"/>
  <c r="BI68" i="12"/>
  <c r="BG77" i="12"/>
  <c r="AM83" i="12"/>
  <c r="F21" i="31"/>
  <c r="AQ33" i="13"/>
  <c r="AQ35" i="13" s="1"/>
  <c r="F22" i="31"/>
  <c r="AQ58" i="12"/>
  <c r="E13" i="31"/>
  <c r="AE22" i="12"/>
  <c r="AH23" i="12" s="1"/>
  <c r="M32" i="35"/>
  <c r="Y32" i="35"/>
  <c r="AB32" i="35"/>
  <c r="K40" i="15" l="1"/>
  <c r="K43" i="15" s="1"/>
  <c r="G38" i="15"/>
  <c r="G40" i="15" s="1"/>
  <c r="G43" i="15" s="1"/>
  <c r="BS71" i="12"/>
  <c r="BS76" i="12" s="1"/>
  <c r="BS77" i="12" s="1"/>
  <c r="BS68" i="12"/>
  <c r="CA63" i="12"/>
  <c r="CA74" i="12" s="1"/>
  <c r="BZ112" i="12"/>
  <c r="BZ113" i="12"/>
  <c r="CA66" i="12"/>
  <c r="CA47" i="12"/>
  <c r="BX19" i="14"/>
  <c r="BZ19" i="14" s="1"/>
  <c r="BX68" i="12"/>
  <c r="BX71" i="12"/>
  <c r="BX76" i="12" s="1"/>
  <c r="CA62" i="12"/>
  <c r="BX74" i="12"/>
  <c r="BX64" i="12"/>
  <c r="BY113" i="12"/>
  <c r="BX112" i="12"/>
  <c r="BX113" i="12"/>
  <c r="BV74" i="12"/>
  <c r="BV75" i="12" s="1"/>
  <c r="J23" i="35"/>
  <c r="BN75" i="12"/>
  <c r="BV6" i="13"/>
  <c r="BV72" i="12"/>
  <c r="BL71" i="12"/>
  <c r="BL76" i="12" s="1"/>
  <c r="BI6" i="13"/>
  <c r="BI72" i="12"/>
  <c r="BQ72" i="12"/>
  <c r="BQ6" i="13"/>
  <c r="BL68" i="12"/>
  <c r="BI64" i="12"/>
  <c r="BI75" i="12"/>
  <c r="AQ48" i="13"/>
  <c r="AQ49" i="13" s="1"/>
  <c r="AR33" i="13"/>
  <c r="AR35" i="13" s="1"/>
  <c r="AR57" i="12"/>
  <c r="AQ83" i="12"/>
  <c r="AQ34" i="13"/>
  <c r="AS58" i="12"/>
  <c r="AQ70" i="13"/>
  <c r="AH24" i="12"/>
  <c r="E15" i="31" s="1"/>
  <c r="H10" i="15"/>
  <c r="I10" i="15" s="1"/>
  <c r="L10" i="15"/>
  <c r="E10" i="15"/>
  <c r="F10" i="15" s="1"/>
  <c r="AE23" i="12"/>
  <c r="AE35" i="12" s="1"/>
  <c r="J24" i="35"/>
  <c r="BS6" i="13" l="1"/>
  <c r="BS72" i="12"/>
  <c r="CA64" i="12"/>
  <c r="CA68" i="12"/>
  <c r="CA71" i="12"/>
  <c r="CA76" i="12" s="1"/>
  <c r="CA75" i="12"/>
  <c r="AB23" i="35"/>
  <c r="BX75" i="12"/>
  <c r="Y23" i="35"/>
  <c r="BX6" i="13"/>
  <c r="BX72" i="12"/>
  <c r="BX77" i="12"/>
  <c r="W23" i="35"/>
  <c r="BI77" i="12"/>
  <c r="BN77" i="12"/>
  <c r="BV77" i="12"/>
  <c r="BI33" i="13"/>
  <c r="BL6" i="13"/>
  <c r="BL77" i="12"/>
  <c r="BL72" i="12"/>
  <c r="AR58" i="12"/>
  <c r="J9" i="33"/>
  <c r="AR48" i="13"/>
  <c r="AR34" i="13"/>
  <c r="F29" i="28"/>
  <c r="F30" i="28" s="1"/>
  <c r="AR70" i="13"/>
  <c r="AE57" i="12"/>
  <c r="AH57" i="12" s="1"/>
  <c r="AH35" i="12"/>
  <c r="AH36" i="12" s="1"/>
  <c r="AT57" i="12"/>
  <c r="G21" i="31"/>
  <c r="AR83" i="12"/>
  <c r="AE60" i="12"/>
  <c r="AE46" i="12"/>
  <c r="E12" i="15"/>
  <c r="F12" i="15" s="1"/>
  <c r="L12" i="15"/>
  <c r="H12" i="15"/>
  <c r="I12" i="15" s="1"/>
  <c r="N14" i="15"/>
  <c r="AE24" i="12"/>
  <c r="Y24" i="35"/>
  <c r="AB24" i="35"/>
  <c r="W24" i="35"/>
  <c r="BN35" i="13" l="1"/>
  <c r="CA6" i="13"/>
  <c r="CA72" i="12"/>
  <c r="CA77" i="12"/>
  <c r="BI83" i="12"/>
  <c r="BN2" i="13"/>
  <c r="BQ77" i="12"/>
  <c r="G22" i="31"/>
  <c r="J11" i="33"/>
  <c r="E18" i="31"/>
  <c r="D72" i="28"/>
  <c r="AR49" i="13"/>
  <c r="G23" i="31" s="1"/>
  <c r="F31" i="28"/>
  <c r="F32" i="28" s="1"/>
  <c r="AE63" i="12"/>
  <c r="AE74" i="12" s="1"/>
  <c r="AE75" i="12" s="1"/>
  <c r="AH60" i="12"/>
  <c r="AH63" i="12" s="1"/>
  <c r="AH74" i="12" s="1"/>
  <c r="AH75" i="12" s="1"/>
  <c r="AH46" i="12"/>
  <c r="AH66" i="12" s="1"/>
  <c r="AH71" i="12" s="1"/>
  <c r="AH76" i="12" s="1"/>
  <c r="AH77" i="12" s="1"/>
  <c r="E17" i="31"/>
  <c r="AU58" i="12"/>
  <c r="AT58" i="12"/>
  <c r="E14" i="15"/>
  <c r="F14" i="15" s="1"/>
  <c r="H14" i="15"/>
  <c r="I14" i="15" s="1"/>
  <c r="L14" i="15"/>
  <c r="N15" i="15"/>
  <c r="N23" i="15"/>
  <c r="AE36" i="12"/>
  <c r="AH47" i="12" l="1"/>
  <c r="AH62" i="12"/>
  <c r="AE64" i="12"/>
  <c r="AE62" i="12"/>
  <c r="AE47" i="12"/>
  <c r="AE66" i="12"/>
  <c r="H15" i="15"/>
  <c r="E15" i="15"/>
  <c r="AH68" i="12"/>
  <c r="AH58" i="12"/>
  <c r="AH64" i="12"/>
  <c r="H23" i="15"/>
  <c r="I23" i="15" s="1"/>
  <c r="L23" i="15"/>
  <c r="E23" i="15"/>
  <c r="F23" i="15" s="1"/>
  <c r="H12" i="36"/>
  <c r="AW14" i="14" l="1"/>
  <c r="AX77" i="13" s="1"/>
  <c r="E24" i="15"/>
  <c r="H24" i="15"/>
  <c r="AE58" i="12"/>
  <c r="AE68" i="12"/>
  <c r="AE71" i="12"/>
  <c r="AE76" i="12" s="1"/>
  <c r="AE77" i="12" s="1"/>
  <c r="L28" i="15"/>
  <c r="E28" i="15"/>
  <c r="F28" i="15" s="1"/>
  <c r="H28" i="15"/>
  <c r="I28" i="15" s="1"/>
  <c r="E34" i="15"/>
  <c r="F34" i="15" s="1"/>
  <c r="L34" i="15"/>
  <c r="H34" i="15"/>
  <c r="I34" i="15" s="1"/>
  <c r="AH72" i="12"/>
  <c r="AW7" i="13" l="1"/>
  <c r="AV58" i="12"/>
  <c r="AE72" i="12"/>
  <c r="AE48" i="13"/>
  <c r="AE49" i="13" s="1"/>
  <c r="AM77" i="12"/>
  <c r="H29" i="15"/>
  <c r="E29" i="15"/>
  <c r="L38" i="15"/>
  <c r="E38" i="15"/>
  <c r="F38" i="15" s="1"/>
  <c r="H38" i="15"/>
  <c r="I38" i="15" s="1"/>
  <c r="AX33" i="13" l="1"/>
  <c r="AX58" i="12"/>
  <c r="AW57" i="12"/>
  <c r="L40" i="15"/>
  <c r="H40" i="15"/>
  <c r="I40" i="15" s="1"/>
  <c r="E40" i="15"/>
  <c r="F40" i="15" s="1"/>
  <c r="AJ77" i="12"/>
  <c r="AE34" i="13"/>
  <c r="AE83" i="12"/>
  <c r="AE70" i="13"/>
  <c r="AW58" i="12" l="1"/>
  <c r="O9" i="33"/>
  <c r="AX48" i="13"/>
  <c r="AX49" i="13" s="1"/>
  <c r="AX83" i="12"/>
  <c r="AX70" i="13"/>
  <c r="AX34" i="13"/>
  <c r="H43" i="15"/>
  <c r="E43" i="15"/>
  <c r="AY33" i="13" l="1"/>
  <c r="AY58" i="12"/>
  <c r="AG70" i="13"/>
  <c r="AG34" i="13"/>
  <c r="AY48" i="13" l="1"/>
  <c r="AY83" i="12"/>
  <c r="AZ33" i="13"/>
  <c r="AZ58" i="12"/>
  <c r="AY34" i="13"/>
  <c r="AY70" i="13"/>
  <c r="AZ83" i="12" l="1"/>
  <c r="AZ48" i="13"/>
  <c r="AZ49" i="13" s="1"/>
  <c r="BB7" i="13"/>
  <c r="BB57" i="12" s="1"/>
  <c r="BB8" i="13"/>
  <c r="AY49" i="13"/>
  <c r="AH83" i="12"/>
  <c r="E21" i="31"/>
  <c r="AZ34" i="13"/>
  <c r="AZ70" i="13"/>
  <c r="AF70" i="13"/>
  <c r="AF34" i="13"/>
  <c r="BB14" i="14" l="1"/>
  <c r="BC77" i="13" s="1"/>
  <c r="E22" i="31"/>
  <c r="BB33" i="13"/>
  <c r="BA33" i="13"/>
  <c r="BA58" i="12"/>
  <c r="E23" i="31"/>
  <c r="BB83" i="12" l="1"/>
  <c r="BA48" i="13"/>
  <c r="BA49" i="13" s="1"/>
  <c r="BA83" i="12"/>
  <c r="H29" i="28"/>
  <c r="H30" i="28" s="1"/>
  <c r="BB34" i="13"/>
  <c r="BA70" i="13"/>
  <c r="BA34" i="13"/>
  <c r="BB48" i="13"/>
  <c r="AF12" i="14"/>
  <c r="AF21" i="14" l="1"/>
  <c r="AF41" i="14" s="1"/>
  <c r="AF42" i="14" s="1"/>
  <c r="AF45" i="14" s="1"/>
  <c r="BB58" i="12"/>
  <c r="T9" i="33"/>
  <c r="H31" i="28"/>
  <c r="H32" i="28" s="1"/>
  <c r="T11" i="33"/>
  <c r="BB70" i="13"/>
  <c r="BB49" i="13"/>
  <c r="AG12" i="14"/>
  <c r="AH6" i="14"/>
  <c r="AG21" i="14" l="1"/>
  <c r="AG41" i="14" s="1"/>
  <c r="AH41" i="14" s="1"/>
  <c r="Z18" i="33"/>
  <c r="Z16" i="33"/>
  <c r="BC58" i="12"/>
  <c r="BC33" i="13"/>
  <c r="BD33" i="13"/>
  <c r="BD58" i="12"/>
  <c r="AH12" i="14"/>
  <c r="AH21" i="14" s="1"/>
  <c r="BD35" i="13" l="1"/>
  <c r="BI35" i="13"/>
  <c r="BC83" i="12"/>
  <c r="BC35" i="13"/>
  <c r="BD83" i="12"/>
  <c r="BI2" i="13"/>
  <c r="BC48" i="13"/>
  <c r="BC49" i="13" s="1"/>
  <c r="BC70" i="13"/>
  <c r="BC34" i="13"/>
  <c r="BD70" i="13"/>
  <c r="BD34" i="13"/>
  <c r="BD48" i="13"/>
  <c r="BD2" i="13" s="1"/>
  <c r="AG42" i="14"/>
  <c r="AI12" i="14"/>
  <c r="AI21" i="14" s="1"/>
  <c r="BD49" i="13" l="1"/>
  <c r="BE58" i="12"/>
  <c r="AH42" i="14"/>
  <c r="AH45" i="14" s="1"/>
  <c r="AG45" i="14"/>
  <c r="AI41" i="14"/>
  <c r="AI42" i="14" s="1"/>
  <c r="AI45" i="14" s="1"/>
  <c r="AJ12" i="14"/>
  <c r="AJ21" i="14" s="1"/>
  <c r="BE33" i="13" l="1"/>
  <c r="AJ41" i="14"/>
  <c r="AJ42" i="14" s="1"/>
  <c r="AJ45" i="14" s="1"/>
  <c r="AK12" i="14"/>
  <c r="AK21" i="14" s="1"/>
  <c r="BE35" i="13" l="1"/>
  <c r="BE34" i="13"/>
  <c r="BE83" i="12"/>
  <c r="BE70" i="13"/>
  <c r="BE48" i="13"/>
  <c r="BG14" i="14"/>
  <c r="BG8" i="13"/>
  <c r="BG7" i="13"/>
  <c r="BG57" i="12" s="1"/>
  <c r="AM6" i="14"/>
  <c r="AL12" i="14"/>
  <c r="AL21" i="14" s="1"/>
  <c r="AK41" i="14"/>
  <c r="AK42" i="14" s="1"/>
  <c r="AK45" i="14" s="1"/>
  <c r="BE49" i="13" l="1"/>
  <c r="BF2" i="13"/>
  <c r="BE2" i="13"/>
  <c r="BF33" i="13"/>
  <c r="BF58" i="12"/>
  <c r="AL41" i="14"/>
  <c r="AM12" i="14"/>
  <c r="AM21" i="14" s="1"/>
  <c r="BF83" i="12" l="1"/>
  <c r="BF35" i="13"/>
  <c r="BF70" i="13"/>
  <c r="BF34" i="13"/>
  <c r="BF48" i="13"/>
  <c r="BF49" i="13" s="1"/>
  <c r="BG33" i="13"/>
  <c r="AM41" i="14"/>
  <c r="AL42" i="14"/>
  <c r="AN12" i="14"/>
  <c r="AN21" i="14" s="1"/>
  <c r="BG83" i="12" l="1"/>
  <c r="BG35" i="13"/>
  <c r="BI58" i="12"/>
  <c r="BG58" i="12"/>
  <c r="Y9" i="33"/>
  <c r="BG34" i="13"/>
  <c r="BG70" i="13"/>
  <c r="BG48" i="13"/>
  <c r="AN41" i="14"/>
  <c r="AN42" i="14" s="1"/>
  <c r="AN45" i="14" s="1"/>
  <c r="AM42" i="14"/>
  <c r="AM45" i="14" s="1"/>
  <c r="AL45" i="14"/>
  <c r="AO12" i="14"/>
  <c r="AO21" i="14" s="1"/>
  <c r="BG49" i="13" l="1"/>
  <c r="Y11" i="33"/>
  <c r="AP12" i="14"/>
  <c r="AP21" i="14" s="1"/>
  <c r="AO41" i="14"/>
  <c r="AO42" i="14" s="1"/>
  <c r="AO45" i="14" s="1"/>
  <c r="BI34" i="13" l="1"/>
  <c r="BI70" i="13"/>
  <c r="BI48" i="13"/>
  <c r="BI49" i="13" s="1"/>
  <c r="AQ12" i="14"/>
  <c r="AQ21" i="14" s="1"/>
  <c r="AR6" i="14"/>
  <c r="J20" i="33" s="1"/>
  <c r="J24" i="33" s="1"/>
  <c r="BJ33" i="13" l="1"/>
  <c r="BJ58" i="12"/>
  <c r="J13" i="33"/>
  <c r="J14" i="33"/>
  <c r="J15" i="33"/>
  <c r="J16" i="33"/>
  <c r="J18" i="33"/>
  <c r="AQ41" i="14"/>
  <c r="AR12" i="14"/>
  <c r="AR21" i="14" s="1"/>
  <c r="BO2" i="13" l="1"/>
  <c r="BO35" i="13"/>
  <c r="BJ35" i="13"/>
  <c r="BJ70" i="13"/>
  <c r="BJ83" i="12"/>
  <c r="BJ34" i="13"/>
  <c r="BJ48" i="13"/>
  <c r="BJ49" i="13" s="1"/>
  <c r="BK57" i="12"/>
  <c r="BL14" i="14"/>
  <c r="BM77" i="13" s="1"/>
  <c r="AR41" i="14"/>
  <c r="AQ42" i="14"/>
  <c r="BK33" i="13" l="1"/>
  <c r="BK35" i="13" s="1"/>
  <c r="BK58" i="12"/>
  <c r="AR42" i="14"/>
  <c r="AR45" i="14" s="1"/>
  <c r="AQ45" i="14"/>
  <c r="BK70" i="13" l="1"/>
  <c r="BK83" i="12"/>
  <c r="BK34" i="13"/>
  <c r="BK48" i="13"/>
  <c r="BK49" i="13" s="1"/>
  <c r="BM57" i="12"/>
  <c r="AI63" i="12"/>
  <c r="AI74" i="12" s="1"/>
  <c r="AI75" i="12" s="1"/>
  <c r="BM33" i="13" l="1"/>
  <c r="BR35" i="13" s="1"/>
  <c r="BM58" i="12"/>
  <c r="BN57" i="12"/>
  <c r="BN58" i="12" s="1"/>
  <c r="AI64" i="12"/>
  <c r="BM34" i="13" l="1"/>
  <c r="BM83" i="12"/>
  <c r="BM48" i="13"/>
  <c r="BM70" i="13"/>
  <c r="BQ14" i="14"/>
  <c r="BR77" i="13" s="1"/>
  <c r="BP57" i="12"/>
  <c r="BO57" i="12"/>
  <c r="BO58" i="12" s="1"/>
  <c r="BQ8" i="13"/>
  <c r="AI62" i="12"/>
  <c r="AK62" i="12"/>
  <c r="BM49" i="13" l="1"/>
  <c r="BM74" i="14" s="1"/>
  <c r="BM73" i="14"/>
  <c r="BR2" i="13"/>
  <c r="BO83" i="12"/>
  <c r="BN83" i="12"/>
  <c r="BP58" i="12"/>
  <c r="BP33" i="13"/>
  <c r="BP35" i="13" s="1"/>
  <c r="BQ7" i="13"/>
  <c r="AK64" i="12"/>
  <c r="AL62" i="12"/>
  <c r="AL63" i="12"/>
  <c r="BP70" i="13" l="1"/>
  <c r="BP83" i="12"/>
  <c r="BS57" i="12"/>
  <c r="BS58" i="12" s="1"/>
  <c r="BR57" i="12"/>
  <c r="BR58" i="12" s="1"/>
  <c r="BQ57" i="12"/>
  <c r="BQ58" i="12" s="1"/>
  <c r="BP34" i="13"/>
  <c r="BP48" i="13"/>
  <c r="BQ33" i="13"/>
  <c r="AL64" i="12"/>
  <c r="AK75" i="12"/>
  <c r="AL74" i="12"/>
  <c r="AJ63" i="12"/>
  <c r="BP49" i="13" l="1"/>
  <c r="BP74" i="14" s="1"/>
  <c r="BP73" i="14"/>
  <c r="BQ34" i="13"/>
  <c r="BT57" i="12"/>
  <c r="BT58" i="12" s="1"/>
  <c r="BS33" i="13"/>
  <c r="BS83" i="12" s="1"/>
  <c r="BR83" i="12"/>
  <c r="BQ70" i="13"/>
  <c r="BQ48" i="13"/>
  <c r="BQ73" i="14" s="1"/>
  <c r="AJ64" i="12"/>
  <c r="AJ74" i="12"/>
  <c r="AL75" i="12"/>
  <c r="AJ62" i="12"/>
  <c r="AM61" i="12"/>
  <c r="AM62" i="12" s="1"/>
  <c r="BS34" i="13" l="1"/>
  <c r="BS35" i="13"/>
  <c r="BU8" i="13"/>
  <c r="BU7" i="13" s="1"/>
  <c r="BU33" i="13" s="1"/>
  <c r="BU35" i="13" s="1"/>
  <c r="BQ49" i="13"/>
  <c r="BQ74" i="14" s="1"/>
  <c r="BS70" i="13"/>
  <c r="BS48" i="13"/>
  <c r="BS73" i="14" s="1"/>
  <c r="BT33" i="13"/>
  <c r="AJ75" i="12"/>
  <c r="AM63" i="12"/>
  <c r="AM74" i="12" s="1"/>
  <c r="BT35" i="13" l="1"/>
  <c r="BT83" i="12"/>
  <c r="BS49" i="13"/>
  <c r="BS74" i="14" s="1"/>
  <c r="BV8" i="13"/>
  <c r="BU14" i="14"/>
  <c r="BV14" i="14" s="1"/>
  <c r="BW8" i="13" s="1"/>
  <c r="BU48" i="13"/>
  <c r="BU34" i="13"/>
  <c r="BU70" i="13"/>
  <c r="BV7" i="13"/>
  <c r="BV57" i="12" s="1"/>
  <c r="BV58" i="12" s="1"/>
  <c r="BU57" i="12"/>
  <c r="BU58" i="12" s="1"/>
  <c r="BT70" i="13"/>
  <c r="BT34" i="13"/>
  <c r="BT48" i="13"/>
  <c r="AM64" i="12"/>
  <c r="AQ63" i="12"/>
  <c r="AQ64" i="12" s="1"/>
  <c r="AO63" i="12"/>
  <c r="AO74" i="12" s="1"/>
  <c r="AO62" i="12"/>
  <c r="AR61" i="12"/>
  <c r="AR63" i="12" s="1"/>
  <c r="AR74" i="12" s="1"/>
  <c r="AP62" i="12"/>
  <c r="AP64" i="12"/>
  <c r="AQ62" i="12"/>
  <c r="AN62" i="12"/>
  <c r="AN63" i="12"/>
  <c r="AN64" i="12" s="1"/>
  <c r="BT49" i="13" l="1"/>
  <c r="BT74" i="14" s="1"/>
  <c r="BT73" i="14"/>
  <c r="BU49" i="13"/>
  <c r="BU74" i="14" s="1"/>
  <c r="BU73" i="14"/>
  <c r="BW7" i="13"/>
  <c r="BW33" i="13" s="1"/>
  <c r="BW35" i="13" s="1"/>
  <c r="BW14" i="14"/>
  <c r="BV33" i="13"/>
  <c r="BV35" i="13" s="1"/>
  <c r="J10" i="33"/>
  <c r="J17" i="33" s="1"/>
  <c r="AT75" i="12"/>
  <c r="AO75" i="12"/>
  <c r="AN74" i="12"/>
  <c r="AO64" i="12"/>
  <c r="AQ74" i="12"/>
  <c r="AP74" i="12"/>
  <c r="AR62" i="12"/>
  <c r="AM75" i="12"/>
  <c r="AR64" i="12"/>
  <c r="Y58" i="12"/>
  <c r="BX8" i="13" l="1"/>
  <c r="BX7" i="13" s="1"/>
  <c r="BW70" i="13"/>
  <c r="BW34" i="13"/>
  <c r="BW48" i="13"/>
  <c r="BW57" i="12"/>
  <c r="BW58" i="12" s="1"/>
  <c r="BV48" i="13"/>
  <c r="BV73" i="14" s="1"/>
  <c r="BV70" i="13"/>
  <c r="BV34" i="13"/>
  <c r="AW75" i="12"/>
  <c r="AV75" i="12"/>
  <c r="AU75" i="12"/>
  <c r="AS75" i="12"/>
  <c r="AN75" i="12"/>
  <c r="AR75" i="12"/>
  <c r="AP75" i="12"/>
  <c r="AQ75" i="12"/>
  <c r="Z34" i="13"/>
  <c r="Z70" i="13"/>
  <c r="Z49" i="13"/>
  <c r="Z83" i="12"/>
  <c r="Z58" i="12"/>
  <c r="BW49" i="13" l="1"/>
  <c r="BW74" i="14" s="1"/>
  <c r="BW73" i="14"/>
  <c r="BX14" i="14"/>
  <c r="BY8" i="13" s="1"/>
  <c r="BY7" i="13" s="1"/>
  <c r="BY57" i="12" s="1"/>
  <c r="BY58" i="12" s="1"/>
  <c r="BX33" i="13"/>
  <c r="BX35" i="13" s="1"/>
  <c r="BX57" i="12"/>
  <c r="BX58" i="12" s="1"/>
  <c r="BV49" i="13"/>
  <c r="BV74" i="14" s="1"/>
  <c r="Y49" i="13"/>
  <c r="Y83" i="12"/>
  <c r="Y34" i="13"/>
  <c r="Y70" i="13"/>
  <c r="Y73" i="13" s="1"/>
  <c r="Z72" i="13" s="1"/>
  <c r="Z73" i="13" s="1"/>
  <c r="AA72" i="13" s="1"/>
  <c r="AA58" i="12"/>
  <c r="BY14" i="14" l="1"/>
  <c r="BY33" i="13"/>
  <c r="BX48" i="13"/>
  <c r="BX70" i="13"/>
  <c r="BX34" i="13"/>
  <c r="AB58" i="12"/>
  <c r="AC58" i="12"/>
  <c r="BX49" i="13" l="1"/>
  <c r="BX74" i="14" s="1"/>
  <c r="BX73" i="14"/>
  <c r="BZ8" i="13"/>
  <c r="BZ14" i="14" s="1"/>
  <c r="CA14" i="14" s="1"/>
  <c r="BY48" i="13"/>
  <c r="BY35" i="13"/>
  <c r="BY34" i="13"/>
  <c r="BY70" i="13"/>
  <c r="D21" i="31"/>
  <c r="AC70" i="13"/>
  <c r="AC73" i="13" s="1"/>
  <c r="AH72" i="13" s="1"/>
  <c r="AH73" i="13" s="1"/>
  <c r="AC83" i="12"/>
  <c r="AC34" i="13"/>
  <c r="AA70" i="13"/>
  <c r="AA73" i="13" s="1"/>
  <c r="AA49" i="13"/>
  <c r="AA34" i="13"/>
  <c r="AA83" i="12"/>
  <c r="CA8" i="13" l="1"/>
  <c r="BY49" i="13"/>
  <c r="BY74" i="14" s="1"/>
  <c r="BY73" i="14"/>
  <c r="BZ7" i="13"/>
  <c r="BZ33" i="13" s="1"/>
  <c r="BZ35" i="13" s="1"/>
  <c r="D22" i="31"/>
  <c r="AB83" i="12"/>
  <c r="AB70" i="13"/>
  <c r="AB34" i="13"/>
  <c r="AB49" i="13"/>
  <c r="AC49" i="13"/>
  <c r="D23" i="31" s="1"/>
  <c r="AA75" i="13"/>
  <c r="AB72" i="13"/>
  <c r="CA7" i="13" l="1"/>
  <c r="CA57" i="12" s="1"/>
  <c r="CA58" i="12" s="1"/>
  <c r="BZ57" i="12"/>
  <c r="BZ58" i="12" s="1"/>
  <c r="BZ34" i="13"/>
  <c r="BZ48" i="13"/>
  <c r="BZ70" i="13"/>
  <c r="AB73" i="13"/>
  <c r="AB75" i="13" s="1"/>
  <c r="CA33" i="13" l="1"/>
  <c r="CA35" i="13" s="1"/>
  <c r="BZ49" i="13"/>
  <c r="BZ74" i="14" s="1"/>
  <c r="BZ73" i="14"/>
  <c r="AC75" i="13"/>
  <c r="AD73" i="13"/>
  <c r="AD75" i="13" s="1"/>
  <c r="CA70" i="13" l="1"/>
  <c r="CA48" i="13"/>
  <c r="CA49" i="13" s="1"/>
  <c r="CA74" i="14" s="1"/>
  <c r="CA34" i="13"/>
  <c r="AH75" i="13"/>
  <c r="AE73" i="13"/>
  <c r="AE75" i="13" s="1"/>
  <c r="CA73" i="14" l="1"/>
  <c r="AM72" i="13"/>
  <c r="AM73" i="13" s="1"/>
  <c r="AR72" i="13" s="1"/>
  <c r="AR73" i="13" s="1"/>
  <c r="AF73" i="13"/>
  <c r="AG72" i="13" s="1"/>
  <c r="AG73" i="13" s="1"/>
  <c r="AR75" i="13" l="1"/>
  <c r="AW72" i="13"/>
  <c r="AM75" i="13"/>
  <c r="AF75" i="13"/>
  <c r="AG75" i="13"/>
  <c r="AI72" i="13"/>
  <c r="AI73" i="13" s="1"/>
  <c r="AJ72" i="13" l="1"/>
  <c r="AJ73" i="13" s="1"/>
  <c r="AJ75" i="13" s="1"/>
  <c r="AI75" i="13"/>
  <c r="AK72" i="13" l="1"/>
  <c r="AK73" i="13" s="1"/>
  <c r="AL72" i="13" l="1"/>
  <c r="AL73" i="13" s="1"/>
  <c r="AK75" i="13"/>
  <c r="AL75" i="13" l="1"/>
  <c r="AN72" i="13"/>
  <c r="AN73" i="13" s="1"/>
  <c r="AN75" i="13" l="1"/>
  <c r="AO72" i="13"/>
  <c r="AO73" i="13" s="1"/>
  <c r="AP72" i="13" l="1"/>
  <c r="AP73" i="13" s="1"/>
  <c r="AQ72" i="13" s="1"/>
  <c r="AQ73" i="13" s="1"/>
  <c r="AS72" i="13" s="1"/>
  <c r="AO75" i="13"/>
  <c r="AP75" i="13" l="1"/>
  <c r="AQ75" i="13" l="1"/>
  <c r="AV68" i="12"/>
  <c r="AV71" i="12"/>
  <c r="AT71" i="12"/>
  <c r="AT76" i="12" s="1"/>
  <c r="AS71" i="12"/>
  <c r="AS76" i="12" s="1"/>
  <c r="AW67" i="12"/>
  <c r="AW71" i="12" s="1"/>
  <c r="AW76" i="12" s="1"/>
  <c r="AU71" i="12"/>
  <c r="AU76" i="12" s="1"/>
  <c r="AV6" i="13" l="1"/>
  <c r="AV33" i="13" s="1"/>
  <c r="AV76" i="12"/>
  <c r="AU77" i="12"/>
  <c r="AU90" i="12"/>
  <c r="AS72" i="12"/>
  <c r="AT72" i="12"/>
  <c r="AV72" i="12"/>
  <c r="AT6" i="13"/>
  <c r="AT33" i="13" s="1"/>
  <c r="AW6" i="13"/>
  <c r="AW72" i="12"/>
  <c r="AS6" i="13"/>
  <c r="AW68" i="12"/>
  <c r="AU72" i="12"/>
  <c r="AU6" i="13"/>
  <c r="AV35" i="13" l="1"/>
  <c r="BA35" i="13"/>
  <c r="AT35" i="13"/>
  <c r="AY35" i="13"/>
  <c r="AZ77" i="12"/>
  <c r="AV48" i="13"/>
  <c r="AV49" i="13" s="1"/>
  <c r="AV83" i="12"/>
  <c r="AT48" i="13"/>
  <c r="AT83" i="12"/>
  <c r="AS77" i="12"/>
  <c r="AX77" i="12"/>
  <c r="AW77" i="12"/>
  <c r="BB77" i="12"/>
  <c r="AV77" i="12"/>
  <c r="BA77" i="12"/>
  <c r="AT77" i="12"/>
  <c r="AY77" i="12"/>
  <c r="AU33" i="13"/>
  <c r="AS33" i="13"/>
  <c r="AW33" i="13"/>
  <c r="AT34" i="13"/>
  <c r="AV70" i="13"/>
  <c r="AT70" i="13"/>
  <c r="AV34" i="13"/>
  <c r="AS48" i="13" l="1"/>
  <c r="AS49" i="13" s="1"/>
  <c r="AS35" i="13"/>
  <c r="AX35" i="13"/>
  <c r="AW83" i="12"/>
  <c r="AW35" i="13"/>
  <c r="BB35" i="13"/>
  <c r="AU83" i="12"/>
  <c r="AU35" i="13"/>
  <c r="AZ35" i="13"/>
  <c r="AT49" i="13"/>
  <c r="AW34" i="13"/>
  <c r="G29" i="28"/>
  <c r="G30" i="28" s="1"/>
  <c r="AW48" i="13"/>
  <c r="O11" i="33" s="1"/>
  <c r="AU48" i="13"/>
  <c r="AU49" i="13" s="1"/>
  <c r="AS83" i="12"/>
  <c r="AS34" i="13"/>
  <c r="AU70" i="13"/>
  <c r="AU34" i="13"/>
  <c r="AS70" i="13"/>
  <c r="AS73" i="13" s="1"/>
  <c r="AW70" i="13"/>
  <c r="AW73" i="13" s="1"/>
  <c r="BB72" i="13" s="1"/>
  <c r="BB73" i="13" s="1"/>
  <c r="BG72" i="13" s="1"/>
  <c r="BG73" i="13" s="1"/>
  <c r="BL72" i="13" s="1"/>
  <c r="AW49" i="13" l="1"/>
  <c r="G31" i="28"/>
  <c r="G32" i="28" s="1"/>
  <c r="AS12" i="14"/>
  <c r="AS21" i="14" s="1"/>
  <c r="AT72" i="13"/>
  <c r="AT73" i="13" s="1"/>
  <c r="AS75" i="13" l="1"/>
  <c r="AU72" i="13"/>
  <c r="AU73" i="13" s="1"/>
  <c r="AS41" i="14"/>
  <c r="AS42" i="14" s="1"/>
  <c r="AS45" i="14" s="1"/>
  <c r="AU87" i="12" l="1"/>
  <c r="AT75" i="13"/>
  <c r="AT12" i="14"/>
  <c r="AV72" i="13"/>
  <c r="AV73" i="13" s="1"/>
  <c r="AX72" i="13" s="1"/>
  <c r="AX73" i="13" s="1"/>
  <c r="AU75" i="13"/>
  <c r="AU12" i="14"/>
  <c r="AU21" i="14" s="1"/>
  <c r="AT21" i="14" l="1"/>
  <c r="AT41" i="14" s="1"/>
  <c r="AT42" i="14" s="1"/>
  <c r="AT45" i="14" s="1"/>
  <c r="AY72" i="13"/>
  <c r="AY73" i="13" s="1"/>
  <c r="AW6" i="14"/>
  <c r="O20" i="33" s="1"/>
  <c r="O24" i="33" s="1"/>
  <c r="AV12" i="14"/>
  <c r="AV21" i="14" s="1"/>
  <c r="AU41" i="14"/>
  <c r="AU42" i="14" s="1"/>
  <c r="AU45" i="14" s="1"/>
  <c r="AV75" i="13"/>
  <c r="O13" i="33" l="1"/>
  <c r="O14" i="33"/>
  <c r="O15" i="33"/>
  <c r="O16" i="33"/>
  <c r="O18" i="33"/>
  <c r="AX12" i="14"/>
  <c r="AZ72" i="13"/>
  <c r="AZ73" i="13" s="1"/>
  <c r="AX75" i="13"/>
  <c r="AV41" i="14"/>
  <c r="AW12" i="14"/>
  <c r="AW21" i="14" s="1"/>
  <c r="AW75" i="13"/>
  <c r="AX21" i="14" l="1"/>
  <c r="AX41" i="14" s="1"/>
  <c r="AX42" i="14" s="1"/>
  <c r="AX45" i="14" s="1"/>
  <c r="AY75" i="13"/>
  <c r="AZ75" i="13"/>
  <c r="AY12" i="14"/>
  <c r="BA72" i="13"/>
  <c r="BA73" i="13" s="1"/>
  <c r="BC72" i="13" s="1"/>
  <c r="BC73" i="13" s="1"/>
  <c r="AV42" i="14"/>
  <c r="AW41" i="14"/>
  <c r="AY21" i="14" l="1"/>
  <c r="AY41" i="14" s="1"/>
  <c r="AY42" i="14" s="1"/>
  <c r="AY45" i="14" s="1"/>
  <c r="T27" i="34"/>
  <c r="T30" i="34" s="1"/>
  <c r="Q29" i="34"/>
  <c r="Q30" i="34" s="1"/>
  <c r="Q32" i="34" s="1"/>
  <c r="D5" i="34" s="1"/>
  <c r="Z20" i="33"/>
  <c r="Z23" i="33" s="1"/>
  <c r="Z25" i="33" s="1"/>
  <c r="C24" i="33"/>
  <c r="BD72" i="13"/>
  <c r="BD73" i="13" s="1"/>
  <c r="AZ12" i="14"/>
  <c r="AW42" i="14"/>
  <c r="AW45" i="14" s="1"/>
  <c r="AV45" i="14"/>
  <c r="AP41" i="14"/>
  <c r="AP42" i="14" s="1"/>
  <c r="AP45" i="14" s="1"/>
  <c r="AZ21" i="14" l="1"/>
  <c r="AZ41" i="14" s="1"/>
  <c r="AZ42" i="14" s="1"/>
  <c r="AZ45" i="14" s="1"/>
  <c r="T29" i="33"/>
  <c r="J29" i="33"/>
  <c r="Y29" i="33"/>
  <c r="O29" i="33"/>
  <c r="C8" i="33"/>
  <c r="C9" i="33" s="1"/>
  <c r="Z17" i="33"/>
  <c r="T31" i="34"/>
  <c r="T32" i="34"/>
  <c r="BE73" i="13"/>
  <c r="BA12" i="14"/>
  <c r="BA21" i="14" s="1"/>
  <c r="BB6" i="14"/>
  <c r="BA75" i="13"/>
  <c r="BC75" i="13" l="1"/>
  <c r="T20" i="33"/>
  <c r="T24" i="33" s="1"/>
  <c r="BF72" i="13"/>
  <c r="BF73" i="13" s="1"/>
  <c r="BH72" i="13" s="1"/>
  <c r="BB12" i="14"/>
  <c r="BB21" i="14" s="1"/>
  <c r="BB75" i="13"/>
  <c r="BA41" i="14"/>
  <c r="BD75" i="13" l="1"/>
  <c r="BC12" i="14"/>
  <c r="T14" i="33"/>
  <c r="T13" i="33"/>
  <c r="T15" i="33"/>
  <c r="T18" i="33"/>
  <c r="T16" i="33"/>
  <c r="BA42" i="14"/>
  <c r="BB41" i="14"/>
  <c r="BC21" i="14" l="1"/>
  <c r="BC41" i="14" s="1"/>
  <c r="BC42" i="14" s="1"/>
  <c r="BC45" i="14" s="1"/>
  <c r="BD12" i="14"/>
  <c r="BB42" i="14"/>
  <c r="BB45" i="14" s="1"/>
  <c r="BA45" i="14"/>
  <c r="BD21" i="14" l="1"/>
  <c r="BD41" i="14" s="1"/>
  <c r="BD42" i="14" s="1"/>
  <c r="BD45" i="14" s="1"/>
  <c r="BE75" i="13"/>
  <c r="BE12" i="14"/>
  <c r="BG6" i="14"/>
  <c r="BF12" i="14"/>
  <c r="BF21" i="14" s="1"/>
  <c r="BF75" i="13"/>
  <c r="BE21" i="14" l="1"/>
  <c r="BE41" i="14" s="1"/>
  <c r="BE42" i="14" s="1"/>
  <c r="BE45" i="14" s="1"/>
  <c r="Y20" i="33"/>
  <c r="Y24" i="33" s="1"/>
  <c r="Y13" i="33" s="1"/>
  <c r="BF41" i="14"/>
  <c r="BG12" i="14"/>
  <c r="BG21" i="14" s="1"/>
  <c r="BG75" i="13"/>
  <c r="Y16" i="33" l="1"/>
  <c r="Y18" i="33"/>
  <c r="Y15" i="33"/>
  <c r="Y14" i="33"/>
  <c r="BH12" i="14"/>
  <c r="BG41" i="14"/>
  <c r="BF42" i="14"/>
  <c r="BH21" i="14" l="1"/>
  <c r="BH41" i="14" s="1"/>
  <c r="BH42" i="14" s="1"/>
  <c r="BH45" i="14" s="1"/>
  <c r="BI12" i="14"/>
  <c r="BG42" i="14"/>
  <c r="BG45" i="14" s="1"/>
  <c r="BF45" i="14"/>
  <c r="BI21" i="14" l="1"/>
  <c r="BI41" i="14" s="1"/>
  <c r="BI42" i="14" s="1"/>
  <c r="BI45" i="14" s="1"/>
  <c r="BJ12" i="14"/>
  <c r="BJ21" i="14" l="1"/>
  <c r="BJ41" i="14" s="1"/>
  <c r="BJ42" i="14" s="1"/>
  <c r="BJ45" i="14" s="1"/>
  <c r="BL6" i="14"/>
  <c r="BK12" i="14"/>
  <c r="BK21" i="14" s="1"/>
  <c r="BN84" i="12" l="1"/>
  <c r="BN86" i="12" s="1"/>
  <c r="BN87" i="12" s="1"/>
  <c r="BM12" i="14"/>
  <c r="BK41" i="14"/>
  <c r="BL12" i="14"/>
  <c r="BL21" i="14" s="1"/>
  <c r="BM21" i="14" l="1"/>
  <c r="BM41" i="14" s="1"/>
  <c r="BM42" i="14" s="1"/>
  <c r="BM45" i="14" s="1"/>
  <c r="BO84" i="12"/>
  <c r="BO86" i="12" s="1"/>
  <c r="BO87" i="12" s="1"/>
  <c r="BK42" i="14"/>
  <c r="BL41" i="14"/>
  <c r="BL42" i="14" l="1"/>
  <c r="BL45" i="14" s="1"/>
  <c r="BK45" i="14"/>
  <c r="BE63" i="12"/>
  <c r="BP12" i="14" l="1"/>
  <c r="BP21" i="14" s="1"/>
  <c r="BQ6" i="14"/>
  <c r="BR84" i="12" s="1"/>
  <c r="BR86" i="12" s="1"/>
  <c r="BR87" i="12" s="1"/>
  <c r="BE64" i="12"/>
  <c r="BE74" i="12"/>
  <c r="F23" i="35" s="1"/>
  <c r="BG61" i="12"/>
  <c r="BG62" i="12" s="1"/>
  <c r="F24" i="35"/>
  <c r="BQ12" i="14" l="1"/>
  <c r="BQ21" i="14" s="1"/>
  <c r="BP41" i="14"/>
  <c r="BG63" i="12"/>
  <c r="BJ75" i="12"/>
  <c r="BE75" i="12"/>
  <c r="BS12" i="14" l="1"/>
  <c r="BS21" i="14" s="1"/>
  <c r="BT84" i="12"/>
  <c r="BT86" i="12" s="1"/>
  <c r="BT87" i="12" s="1"/>
  <c r="BP42" i="14"/>
  <c r="BQ41" i="14"/>
  <c r="BG74" i="12"/>
  <c r="H23" i="35" s="1"/>
  <c r="BG64" i="12"/>
  <c r="H24" i="35"/>
  <c r="BU6" i="14" l="1"/>
  <c r="BT12" i="14"/>
  <c r="BT21" i="14" s="1"/>
  <c r="BS41" i="14"/>
  <c r="BS42" i="14" s="1"/>
  <c r="BS45" i="14" s="1"/>
  <c r="BQ42" i="14"/>
  <c r="BQ45" i="14" s="1"/>
  <c r="BP45" i="14"/>
  <c r="BG75" i="12"/>
  <c r="Y10" i="33"/>
  <c r="Y17" i="33" s="1"/>
  <c r="BH58" i="12"/>
  <c r="BL7" i="13"/>
  <c r="BH8" i="13"/>
  <c r="BT41" i="14" l="1"/>
  <c r="BT42" i="14" s="1"/>
  <c r="BT45" i="14" s="1"/>
  <c r="BU12" i="14"/>
  <c r="BU21" i="14" s="1"/>
  <c r="BV6" i="14"/>
  <c r="BL57" i="12"/>
  <c r="BL58" i="12" s="1"/>
  <c r="BL8" i="13"/>
  <c r="BL33" i="13" s="1"/>
  <c r="BH77" i="13"/>
  <c r="BH33" i="13"/>
  <c r="BH48" i="13" l="1"/>
  <c r="BH49" i="13" s="1"/>
  <c r="BH35" i="13"/>
  <c r="BM35" i="13"/>
  <c r="BL70" i="13"/>
  <c r="BL73" i="13" s="1"/>
  <c r="BQ72" i="13" s="1"/>
  <c r="BQ73" i="13" s="1"/>
  <c r="BL35" i="13"/>
  <c r="BQ35" i="13"/>
  <c r="BV12" i="14"/>
  <c r="BV21" i="14" s="1"/>
  <c r="BW6" i="14"/>
  <c r="BU41" i="14"/>
  <c r="BH70" i="13"/>
  <c r="BH73" i="13" s="1"/>
  <c r="BH75" i="13" s="1"/>
  <c r="BH34" i="13"/>
  <c r="BH83" i="12"/>
  <c r="BH2" i="13"/>
  <c r="BL48" i="13"/>
  <c r="BL49" i="13" s="1"/>
  <c r="BL34" i="13"/>
  <c r="BL75" i="13" l="1"/>
  <c r="BW12" i="14"/>
  <c r="BX6" i="14"/>
  <c r="BQ75" i="13"/>
  <c r="BV72" i="13"/>
  <c r="BV73" i="13" s="1"/>
  <c r="BV41" i="14"/>
  <c r="BU42" i="14"/>
  <c r="BI72" i="13"/>
  <c r="BI73" i="13" s="1"/>
  <c r="BJ72" i="13" s="1"/>
  <c r="BJ73" i="13" s="1"/>
  <c r="BW21" i="14" l="1"/>
  <c r="BW41" i="14" s="1"/>
  <c r="BW42" i="14" s="1"/>
  <c r="BW45" i="14" s="1"/>
  <c r="BV75" i="13"/>
  <c r="CA72" i="13"/>
  <c r="CA73" i="13" s="1"/>
  <c r="BX12" i="14"/>
  <c r="BY6" i="14"/>
  <c r="BV42" i="14"/>
  <c r="BV45" i="14" s="1"/>
  <c r="BU45" i="14"/>
  <c r="BI75" i="13"/>
  <c r="BJ75" i="13"/>
  <c r="BK72" i="13"/>
  <c r="BK73" i="13" s="1"/>
  <c r="BX21" i="14" l="1"/>
  <c r="BX41" i="14" s="1"/>
  <c r="BX42" i="14" s="1"/>
  <c r="BX45" i="14" s="1"/>
  <c r="BY12" i="14"/>
  <c r="BY21" i="14" s="1"/>
  <c r="BZ6" i="14"/>
  <c r="BK75" i="13"/>
  <c r="BM72" i="13"/>
  <c r="BM73" i="13" s="1"/>
  <c r="BN72" i="13" s="1"/>
  <c r="BN73" i="13" s="1"/>
  <c r="BZ12" i="14" l="1"/>
  <c r="BZ21" i="14" s="1"/>
  <c r="CA6" i="14"/>
  <c r="BY41" i="14"/>
  <c r="BY42" i="14" s="1"/>
  <c r="BY45" i="14" s="1"/>
  <c r="BN75" i="13"/>
  <c r="BO72" i="13"/>
  <c r="BO73" i="13" s="1"/>
  <c r="BO75" i="13" s="1"/>
  <c r="BM75" i="13"/>
  <c r="CA12" i="14" l="1"/>
  <c r="CA21" i="14" s="1"/>
  <c r="CA75" i="13"/>
  <c r="BZ41" i="14"/>
  <c r="BP72" i="13"/>
  <c r="BP73" i="13" s="1"/>
  <c r="BR72" i="13" s="1"/>
  <c r="BR73" i="13" s="1"/>
  <c r="BR75" i="13" s="1"/>
  <c r="BK63" i="12"/>
  <c r="BK64" i="12" s="1"/>
  <c r="BL61" i="12"/>
  <c r="BL63" i="12" s="1"/>
  <c r="BZ42" i="14" l="1"/>
  <c r="CA41" i="14"/>
  <c r="BP75" i="13"/>
  <c r="BL74" i="12"/>
  <c r="M23" i="35" s="1"/>
  <c r="BL64" i="12"/>
  <c r="BL62" i="12"/>
  <c r="BK74" i="12"/>
  <c r="L23" i="35" s="1"/>
  <c r="E36" i="15"/>
  <c r="F36" i="15" s="1"/>
  <c r="BK62" i="12"/>
  <c r="L24" i="35"/>
  <c r="M24" i="35"/>
  <c r="CA42" i="14" l="1"/>
  <c r="CA45" i="14" s="1"/>
  <c r="BZ45" i="14"/>
  <c r="BS72" i="13"/>
  <c r="BS73" i="13" s="1"/>
  <c r="H36" i="15"/>
  <c r="I36" i="15" s="1"/>
  <c r="N36" i="15"/>
  <c r="L36" i="15"/>
  <c r="BK75" i="12"/>
  <c r="BP75" i="12"/>
  <c r="E35" i="15"/>
  <c r="H35" i="15"/>
  <c r="BL75" i="12"/>
  <c r="BQ75" i="12"/>
  <c r="BS75" i="13" l="1"/>
  <c r="BT72" i="13"/>
  <c r="BT73" i="13" s="1"/>
  <c r="H42" i="15"/>
  <c r="I42" i="15" s="1"/>
  <c r="L42" i="15"/>
  <c r="N42" i="15"/>
  <c r="E42" i="15"/>
  <c r="F42" i="15" s="1"/>
  <c r="BT75" i="13" l="1"/>
  <c r="BU72" i="13"/>
  <c r="BU73" i="13" s="1"/>
  <c r="BU75" i="13" l="1"/>
  <c r="BW72" i="13"/>
  <c r="BW73" i="13" s="1"/>
  <c r="BW75" i="13" l="1"/>
  <c r="BX72" i="13"/>
  <c r="BX73" i="13" s="1"/>
  <c r="BX75" i="13" l="1"/>
  <c r="BY72" i="13"/>
  <c r="BY73" i="13" s="1"/>
  <c r="BY75" i="13" l="1"/>
  <c r="BZ72" i="13"/>
  <c r="BZ73" i="13" s="1"/>
  <c r="BZ75"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A1" authorId="0" shapeId="0" xr:uid="{740FAB9E-1234-4D0D-AF4A-1D603475308E}">
      <text>
        <r>
          <rPr>
            <b/>
            <sz val="9"/>
            <color indexed="81"/>
            <rFont val="Tahoma"/>
            <charset val="1"/>
          </rPr>
          <t>&lt;?xml version="1.0" encoding="utf-8"?&gt;&lt;Schema xmlns:xsd="http://www.w3.org/2001/XMLSchema" xmlns:xsi="http://www.w3.org/2001/XMLSchema-instance" Version="2" Timestamp="1764897031"&gt;&lt;FQL&gt;&lt;Q&gt;CRM^P_PRICE(NOW)&lt;/Q&gt;&lt;R&gt;1&lt;/R&gt;&lt;C&gt;1&lt;/C&gt;&lt;D xsi:type="xsd:double"&gt;266.4&lt;/D&gt;&lt;/FQL&gt;&lt;FQL&gt;&lt;Q&gt;DOCU^P_PRICE(NOW)&lt;/Q&gt;&lt;R&gt;1&lt;/R&gt;&lt;C&gt;1&lt;/C&gt;&lt;D xsi:type="xsd:double"&gt;88.12&lt;/D&gt;&lt;/FQL&gt;&lt;/Schema&gt;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Black, Ian</author>
    <author>Godin, John</author>
    <author>Narum, Alex</author>
  </authors>
  <commentList>
    <comment ref="BU19" authorId="0" shapeId="0" xr:uid="{D9AF0FB6-5742-450E-B0C4-3241CE2D7469}">
      <text>
        <r>
          <rPr>
            <b/>
            <sz val="9"/>
            <color indexed="81"/>
            <rFont val="Tahoma"/>
            <family val="2"/>
          </rPr>
          <t>Black, Ian:</t>
        </r>
        <r>
          <rPr>
            <sz val="9"/>
            <color indexed="81"/>
            <rFont val="Tahoma"/>
            <family val="2"/>
          </rPr>
          <t xml:space="preserve">
Cloud migration costs start to leave the model exiting FY26</t>
        </r>
      </text>
    </comment>
    <comment ref="CA19" authorId="0" shapeId="0" xr:uid="{C0C9C090-CD28-4F1A-B7B4-14AE3BD6D603}">
      <text>
        <r>
          <rPr>
            <b/>
            <sz val="9"/>
            <color indexed="81"/>
            <rFont val="Tahoma"/>
            <family val="2"/>
          </rPr>
          <t>Black, Ian:</t>
        </r>
        <r>
          <rPr>
            <sz val="9"/>
            <color indexed="81"/>
            <rFont val="Tahoma"/>
            <family val="2"/>
          </rPr>
          <t xml:space="preserve">
1pt cloud migration headwind to gradually ease in FY27 and beyond.
3Q call commentary: GM roughly flat Y/Y in FY27</t>
        </r>
      </text>
    </comment>
    <comment ref="BB35" authorId="1" shapeId="0" xr:uid="{628FDE70-C482-4C82-B981-1CA63CEF1E89}">
      <text>
        <r>
          <rPr>
            <b/>
            <sz val="9"/>
            <color indexed="81"/>
            <rFont val="Tahoma"/>
            <family val="2"/>
          </rPr>
          <t>Godin, John:</t>
        </r>
        <r>
          <rPr>
            <sz val="9"/>
            <color indexed="81"/>
            <rFont val="Tahoma"/>
            <family val="2"/>
          </rPr>
          <t xml:space="preserve">
All numbers correct, their math on G&amp;A for the FY doesn't add up
</t>
        </r>
      </text>
    </comment>
    <comment ref="BT36" authorId="0" shapeId="0" xr:uid="{7DE255F5-3C72-402E-B917-D0CE1F5763D7}">
      <text>
        <r>
          <rPr>
            <b/>
            <sz val="9"/>
            <color indexed="81"/>
            <rFont val="Tahoma"/>
            <family val="2"/>
          </rPr>
          <t>Black, Ian:</t>
        </r>
        <r>
          <rPr>
            <sz val="9"/>
            <color indexed="81"/>
            <rFont val="Tahoma"/>
            <family val="2"/>
          </rPr>
          <t xml:space="preserve">
1.5% benefit from one-time and timing related savings</t>
        </r>
      </text>
    </comment>
    <comment ref="BU36" authorId="0" shapeId="0" xr:uid="{38110ABE-D577-4F87-B649-C75D0237FF43}">
      <text>
        <r>
          <rPr>
            <b/>
            <sz val="9"/>
            <color indexed="81"/>
            <rFont val="Tahoma"/>
            <family val="2"/>
          </rPr>
          <t>Black, Ian:</t>
        </r>
        <r>
          <rPr>
            <sz val="9"/>
            <color indexed="81"/>
            <rFont val="Tahoma"/>
            <family val="2"/>
          </rPr>
          <t xml:space="preserve">
Hurt by pushout from 3Q</t>
        </r>
      </text>
    </comment>
    <comment ref="AF74" authorId="2" shapeId="0" xr:uid="{00000000-0006-0000-0200-000001000000}">
      <text>
        <r>
          <rPr>
            <b/>
            <sz val="9"/>
            <color indexed="81"/>
            <rFont val="Tahoma"/>
            <family val="2"/>
          </rPr>
          <t>Narum, Alex:</t>
        </r>
        <r>
          <rPr>
            <sz val="9"/>
            <color indexed="81"/>
            <rFont val="Tahoma"/>
            <family val="2"/>
          </rPr>
          <t xml:space="preserve">
-376 preferred stock accretion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Godin, John</author>
  </authors>
  <commentList>
    <comment ref="B11" authorId="0" shapeId="0" xr:uid="{D994692E-C4A9-403B-8681-04CE65D73DBC}">
      <text>
        <r>
          <rPr>
            <b/>
            <sz val="9"/>
            <color indexed="81"/>
            <rFont val="Tahoma"/>
            <family val="2"/>
          </rPr>
          <t>Godin, John:</t>
        </r>
        <r>
          <rPr>
            <sz val="9"/>
            <color indexed="81"/>
            <rFont val="Tahoma"/>
            <family val="2"/>
          </rPr>
          <t xml:space="preserve">
Not acquired through self service channel</t>
        </r>
      </text>
    </comment>
  </commentList>
</comments>
</file>

<file path=xl/sharedStrings.xml><?xml version="1.0" encoding="utf-8"?>
<sst xmlns="http://schemas.openxmlformats.org/spreadsheetml/2006/main" count="1020" uniqueCount="641">
  <si>
    <t>2014E</t>
  </si>
  <si>
    <t>Total Revenues</t>
  </si>
  <si>
    <t>GAAP Operating Income</t>
  </si>
  <si>
    <t>GAAP Net Income</t>
  </si>
  <si>
    <t>GAAP EPS</t>
  </si>
  <si>
    <t>Adjusted EBITDA</t>
  </si>
  <si>
    <t>FCF</t>
  </si>
  <si>
    <t>Total Current Assets</t>
  </si>
  <si>
    <t>Total Assets</t>
  </si>
  <si>
    <t>Total Current Liabilities</t>
  </si>
  <si>
    <t>Total Liabilities</t>
  </si>
  <si>
    <t>Revenues</t>
  </si>
  <si>
    <t>Net change in cash &amp; cash equivalents</t>
  </si>
  <si>
    <t>EPS</t>
  </si>
  <si>
    <t>Operating Margin</t>
  </si>
  <si>
    <t>Net Margin</t>
  </si>
  <si>
    <t>2015E</t>
  </si>
  <si>
    <t>R&amp;D</t>
  </si>
  <si>
    <t>G&amp;A</t>
  </si>
  <si>
    <t>Cash</t>
  </si>
  <si>
    <t>($000s)</t>
  </si>
  <si>
    <t>2016E</t>
  </si>
  <si>
    <t>2017E</t>
  </si>
  <si>
    <t>2018E</t>
  </si>
  <si>
    <t>Historical Metrics</t>
  </si>
  <si>
    <t>3 Yr</t>
  </si>
  <si>
    <t>Rev growth (yoy)</t>
  </si>
  <si>
    <t>Rev growth rate</t>
  </si>
  <si>
    <t>CF yield</t>
  </si>
  <si>
    <t>CF Ops</t>
  </si>
  <si>
    <t>FCF yield</t>
  </si>
  <si>
    <t>Op Margin</t>
  </si>
  <si>
    <t>CapEx</t>
  </si>
  <si>
    <t>CapEx (% sales)</t>
  </si>
  <si>
    <t>Historical Data</t>
  </si>
  <si>
    <t>Discount Period</t>
  </si>
  <si>
    <t>DCF</t>
  </si>
  <si>
    <t>Op Income</t>
  </si>
  <si>
    <t>Op margin</t>
  </si>
  <si>
    <t>Net Income</t>
  </si>
  <si>
    <t># shares</t>
  </si>
  <si>
    <t># Shares</t>
  </si>
  <si>
    <t>Valuation w/ Discounted Terminal Val</t>
  </si>
  <si>
    <t>EV/Rev</t>
  </si>
  <si>
    <t>EV/Earnings</t>
  </si>
  <si>
    <t>EV/FCF</t>
  </si>
  <si>
    <t>Sum of FCFs</t>
  </si>
  <si>
    <t>Terminal Value (discounted)</t>
  </si>
  <si>
    <t>Value (w/ terminal discount)</t>
  </si>
  <si>
    <t xml:space="preserve">Share Price </t>
  </si>
  <si>
    <t>Multiple (w/ discount)</t>
  </si>
  <si>
    <t>Valuation w/o TV Discount</t>
  </si>
  <si>
    <t>Terminal Value (ex-discount)</t>
  </si>
  <si>
    <t>Value</t>
  </si>
  <si>
    <t>Growth Rate</t>
  </si>
  <si>
    <t>Discount Rate</t>
  </si>
  <si>
    <t>Revenue</t>
  </si>
  <si>
    <t>% change q/q</t>
  </si>
  <si>
    <t>% change y/y</t>
  </si>
  <si>
    <t>Billings</t>
  </si>
  <si>
    <t xml:space="preserve">  Change In Deferred Revenue</t>
  </si>
  <si>
    <t>3Q15</t>
  </si>
  <si>
    <t>2Q15</t>
  </si>
  <si>
    <t>1Q15</t>
  </si>
  <si>
    <t>4Q14</t>
  </si>
  <si>
    <t>3Q14</t>
  </si>
  <si>
    <t>2Q14</t>
  </si>
  <si>
    <t>1Q14</t>
  </si>
  <si>
    <t>Cash/Share</t>
  </si>
  <si>
    <t>Net Cash</t>
  </si>
  <si>
    <t>Cash Flow-Operating</t>
  </si>
  <si>
    <t>Deferred Revenue</t>
  </si>
  <si>
    <t>Diluted Shares Outstanding</t>
  </si>
  <si>
    <t>Basic Shares Outstanding</t>
  </si>
  <si>
    <t>Y/Y Growth %</t>
  </si>
  <si>
    <t>Non-GAAP EPS</t>
  </si>
  <si>
    <t>GAAP Net Margin</t>
  </si>
  <si>
    <t>Tax Rate %</t>
  </si>
  <si>
    <t>Income Tax</t>
  </si>
  <si>
    <t>GAAP Pre-Tax Income</t>
  </si>
  <si>
    <t>Non-GAAP Net Margin</t>
  </si>
  <si>
    <t>Non-GAAP Net Income (Loss)</t>
  </si>
  <si>
    <t>Non-GAAP Pre-Tax Income</t>
  </si>
  <si>
    <t>EBITDA Margins</t>
  </si>
  <si>
    <t>Interest expense</t>
  </si>
  <si>
    <t>GAAP Operating Margin</t>
  </si>
  <si>
    <t>Total GAAP and non-cash adjustments</t>
  </si>
  <si>
    <t>GAAP Adjustments</t>
  </si>
  <si>
    <t>Non-GAAP Operating Margin</t>
  </si>
  <si>
    <t>Non-GAAP Operating Income</t>
  </si>
  <si>
    <t>Total Operating Expense</t>
  </si>
  <si>
    <t>% of Revenue</t>
  </si>
  <si>
    <t>Operating Expenses</t>
  </si>
  <si>
    <t>Gross Profit</t>
  </si>
  <si>
    <t>Total Cost of Revenues</t>
  </si>
  <si>
    <t>Gross Margins</t>
  </si>
  <si>
    <t>Cost of Revenue</t>
  </si>
  <si>
    <t>Q/Q Growth</t>
  </si>
  <si>
    <t>Y/Y Growth</t>
  </si>
  <si>
    <t>4Q13</t>
  </si>
  <si>
    <t>3Q13</t>
  </si>
  <si>
    <t>2Q13</t>
  </si>
  <si>
    <t>1Q13</t>
  </si>
  <si>
    <t>Depreciation as a % of PPE</t>
  </si>
  <si>
    <t>Ending cash &amp; cash equivalents</t>
  </si>
  <si>
    <t>Beginning cash &amp; cash equivalents</t>
  </si>
  <si>
    <t>Effect of foreign currency exchange rate changes</t>
  </si>
  <si>
    <t>Cash used in Financing Activites</t>
  </si>
  <si>
    <t>Financing Activities</t>
  </si>
  <si>
    <t xml:space="preserve">FCF Margin </t>
  </si>
  <si>
    <t>Free Cash Flow</t>
  </si>
  <si>
    <t>Cash Used in Investing Activites</t>
  </si>
  <si>
    <t>Investing Activites</t>
  </si>
  <si>
    <t>Cash Flow from Operating Activites</t>
  </si>
  <si>
    <t>AP</t>
  </si>
  <si>
    <t>AR</t>
  </si>
  <si>
    <t>Operating Activities</t>
  </si>
  <si>
    <t>Assets:</t>
  </si>
  <si>
    <t>Liabilities:</t>
  </si>
  <si>
    <t xml:space="preserve">Other Noncurrent Liabilities </t>
  </si>
  <si>
    <t>Shareholders Equity:</t>
  </si>
  <si>
    <t>Total Shareholder Equity</t>
  </si>
  <si>
    <t>Total Liabilities &amp; Shareholders Equity</t>
  </si>
  <si>
    <t>check</t>
  </si>
  <si>
    <t>DSO</t>
  </si>
  <si>
    <t>Deferred Revs</t>
  </si>
  <si>
    <t>% y/y change</t>
  </si>
  <si>
    <t>% q/q change</t>
  </si>
  <si>
    <t xml:space="preserve">Drivers of Revenue % - Assets </t>
  </si>
  <si>
    <t xml:space="preserve">Drivers of Revenue % - Liabilities </t>
  </si>
  <si>
    <t>Variance Analysis</t>
  </si>
  <si>
    <t>Total Operating Expenses</t>
  </si>
  <si>
    <t>Non-GAAP Operating Margins</t>
  </si>
  <si>
    <t>GAAP &amp; Non-cash charges</t>
  </si>
  <si>
    <t>GAAP Operating Margins</t>
  </si>
  <si>
    <t xml:space="preserve">Non-GAAP Income before Taxes </t>
  </si>
  <si>
    <t>Non-GAAP Net Income</t>
  </si>
  <si>
    <t xml:space="preserve">GAAP Income before Taxes </t>
  </si>
  <si>
    <t>Source: Company reports and Needham &amp; Co estimates</t>
  </si>
  <si>
    <t>OCF Margins</t>
  </si>
  <si>
    <t>4Q15</t>
  </si>
  <si>
    <t>2014 Billings</t>
  </si>
  <si>
    <t>2015 Billings</t>
  </si>
  <si>
    <t>2016 Billings</t>
  </si>
  <si>
    <t>Subscription Revenues</t>
  </si>
  <si>
    <t>LTM Subscription Revenue</t>
  </si>
  <si>
    <t>Y/Y Change in LTM Revenes</t>
  </si>
  <si>
    <t>NTM Gross New Revenue Churn</t>
  </si>
  <si>
    <t>Short Term Deferred Revenue</t>
  </si>
  <si>
    <t>LTM S&amp;M</t>
  </si>
  <si>
    <t>Change in Y/Y Short Term Deferred</t>
  </si>
  <si>
    <t>Y/Y Change Short Term Deferred Rev</t>
  </si>
  <si>
    <t>Revenue Run Off</t>
  </si>
  <si>
    <t>Billings Ratio</t>
  </si>
  <si>
    <t>Accounts receivable</t>
  </si>
  <si>
    <t>1Q16</t>
  </si>
  <si>
    <t>2Q16</t>
  </si>
  <si>
    <t>Accounts payable</t>
  </si>
  <si>
    <t xml:space="preserve">Net Change in Working Capital </t>
  </si>
  <si>
    <t>Preferred stock accretion</t>
  </si>
  <si>
    <t>2017 Billings</t>
  </si>
  <si>
    <t>Gross New Subscription Billings</t>
  </si>
  <si>
    <t>Net New Subscription Billings</t>
  </si>
  <si>
    <t>NTM Revenue Retention</t>
  </si>
  <si>
    <t>3Q16</t>
  </si>
  <si>
    <t>4Q16</t>
  </si>
  <si>
    <t xml:space="preserve">Other </t>
  </si>
  <si>
    <t>Y/Y change (%)</t>
  </si>
  <si>
    <t>Q/Q change (%)</t>
  </si>
  <si>
    <t xml:space="preserve">Prepaid and other </t>
  </si>
  <si>
    <t>Other assets</t>
  </si>
  <si>
    <t>Acquisition-related expense</t>
  </si>
  <si>
    <t>Amortization of purchased intangibles</t>
  </si>
  <si>
    <t>N/A</t>
  </si>
  <si>
    <t>Goodwill</t>
  </si>
  <si>
    <t xml:space="preserve">Other long-term liabilities </t>
  </si>
  <si>
    <t xml:space="preserve">Stock-based compensation </t>
  </si>
  <si>
    <t>2018 Billings</t>
  </si>
  <si>
    <t>Prepaid expenses &amp; other</t>
  </si>
  <si>
    <t>1Q17</t>
  </si>
  <si>
    <t xml:space="preserve">Cash and cash equivalents </t>
  </si>
  <si>
    <t>Total Revenue</t>
  </si>
  <si>
    <t>% of total revenues</t>
  </si>
  <si>
    <t>2Q17</t>
  </si>
  <si>
    <t>3Q17</t>
  </si>
  <si>
    <t>4Q17</t>
  </si>
  <si>
    <t>1Q18</t>
  </si>
  <si>
    <t>2Q18</t>
  </si>
  <si>
    <t xml:space="preserve">Subscription Revenue </t>
  </si>
  <si>
    <t>3Q18</t>
  </si>
  <si>
    <t>2019 Billings</t>
  </si>
  <si>
    <t>20123Billings</t>
  </si>
  <si>
    <t>Depreciation</t>
  </si>
  <si>
    <t>Amortization</t>
  </si>
  <si>
    <t xml:space="preserve">Subscription Revenues </t>
  </si>
  <si>
    <t>Professional Services</t>
  </si>
  <si>
    <t>FY17</t>
  </si>
  <si>
    <t>2020 Billings</t>
  </si>
  <si>
    <t>Unbilled Deferred Revenue</t>
  </si>
  <si>
    <t xml:space="preserve">   Y/Y growth</t>
  </si>
  <si>
    <t>Total Backlog</t>
  </si>
  <si>
    <t>Net Bookings</t>
  </si>
  <si>
    <t xml:space="preserve">   Q/Q growth</t>
  </si>
  <si>
    <t>Total Billings TTM</t>
  </si>
  <si>
    <t>Gross Retention Rate</t>
  </si>
  <si>
    <t>LTM Gross New Suscription Revenue</t>
  </si>
  <si>
    <t>FY18</t>
  </si>
  <si>
    <t>4Q18</t>
  </si>
  <si>
    <t>1Q19</t>
  </si>
  <si>
    <t>Current Price</t>
  </si>
  <si>
    <t>Price Target</t>
  </si>
  <si>
    <t>Debt</t>
  </si>
  <si>
    <t>2Q19</t>
  </si>
  <si>
    <t>Restricted cash</t>
  </si>
  <si>
    <t>Property and equipment, net</t>
  </si>
  <si>
    <t>Intangible assets, net</t>
  </si>
  <si>
    <t>Depreciation of property and equipment</t>
  </si>
  <si>
    <t>Purchases of property and equipment</t>
  </si>
  <si>
    <t>Proceeds from the exercise of stock options</t>
  </si>
  <si>
    <t>Total Customers</t>
  </si>
  <si>
    <t>Other</t>
  </si>
  <si>
    <t>Accrued compensation</t>
  </si>
  <si>
    <t>2021 Billings</t>
  </si>
  <si>
    <t>Amortization of deferred commision</t>
  </si>
  <si>
    <t>Domain-Based Customers</t>
  </si>
  <si>
    <t>Y/Y Growth Rate</t>
  </si>
  <si>
    <t>3Q19</t>
  </si>
  <si>
    <t>4Q19</t>
  </si>
  <si>
    <t>FY19</t>
  </si>
  <si>
    <t>Operating Cash Flow</t>
  </si>
  <si>
    <t>OCF margins</t>
  </si>
  <si>
    <t>FCF margins</t>
  </si>
  <si>
    <t>Summary Metrics</t>
  </si>
  <si>
    <t>Subscription Revenue</t>
  </si>
  <si>
    <t>Non-GAAP Gross Margins</t>
  </si>
  <si>
    <t xml:space="preserve">Subscription </t>
  </si>
  <si>
    <t>Prof Services</t>
  </si>
  <si>
    <t>Operating Income</t>
  </si>
  <si>
    <t>Cash Flows</t>
  </si>
  <si>
    <t xml:space="preserve">Operating Cash Flows </t>
  </si>
  <si>
    <t>FCF Margin</t>
  </si>
  <si>
    <t>1Q20</t>
  </si>
  <si>
    <t>Operating lease right to use</t>
  </si>
  <si>
    <t>Operating lease liabilities</t>
  </si>
  <si>
    <t>Operating lease liabilities, non current</t>
  </si>
  <si>
    <t>2Q20</t>
  </si>
  <si>
    <t>3Q20</t>
  </si>
  <si>
    <t>4Q20</t>
  </si>
  <si>
    <t>FY20</t>
  </si>
  <si>
    <t>Quarter additions</t>
  </si>
  <si>
    <t>ACV over $5K</t>
  </si>
  <si>
    <t>Over 50K</t>
  </si>
  <si>
    <t>Over 100K</t>
  </si>
  <si>
    <t>Non-cash operating lease costs</t>
  </si>
  <si>
    <t>1Q21</t>
  </si>
  <si>
    <t>2Q21</t>
  </si>
  <si>
    <t>Interest income and other income, net</t>
  </si>
  <si>
    <t>Investments—current</t>
  </si>
  <si>
    <t>Contract assets—current</t>
  </si>
  <si>
    <t>Deferred contract acquisition costs—noncurrent</t>
  </si>
  <si>
    <t>Investments—noncurrent</t>
  </si>
  <si>
    <t>Accrued expenses and other current liabilities</t>
  </si>
  <si>
    <t>Convertible senior notes, net</t>
  </si>
  <si>
    <t>Contract liabilities—noncurrent</t>
  </si>
  <si>
    <t>Contract liabilities—current</t>
  </si>
  <si>
    <t>Deferred tax liability—noncurrent</t>
  </si>
  <si>
    <t>Amortization of deferred contract acquisition and fulfillment costs</t>
  </si>
  <si>
    <t>Amortization of debt discount and transaction costs</t>
  </si>
  <si>
    <t>Deferred income taxes</t>
  </si>
  <si>
    <t>Contract assets</t>
  </si>
  <si>
    <t>Prepaid expenses and other current assets</t>
  </si>
  <si>
    <t>Deferred contract acquisition and fulfillment costs</t>
  </si>
  <si>
    <t>Accrued expenses and other liabilities</t>
  </si>
  <si>
    <t xml:space="preserve">Accrued compensation </t>
  </si>
  <si>
    <t>Contract liabilities</t>
  </si>
  <si>
    <t>Purchases of marketable securities</t>
  </si>
  <si>
    <t>Sales of marketable securities</t>
  </si>
  <si>
    <t>Maturities of marketable securities</t>
  </si>
  <si>
    <t>Purchases of strategic investments</t>
  </si>
  <si>
    <t>Purchases of other investments</t>
  </si>
  <si>
    <t>Payment of tax withholding obligation on RSU settlement</t>
  </si>
  <si>
    <t>Proceeds from employee stock purchase plan</t>
  </si>
  <si>
    <t>Deferred rent—current</t>
  </si>
  <si>
    <t>Deferred rent—noncurrent</t>
  </si>
  <si>
    <t>Payment of deferred offering costs</t>
  </si>
  <si>
    <t>Other financing</t>
  </si>
  <si>
    <t>Cash paid for acquisition, net of acquired cash</t>
  </si>
  <si>
    <t>Proceeds from issuance of convertible senior notes</t>
  </si>
  <si>
    <t>Purchase of capped calls related to issuance of convertible senior notes</t>
  </si>
  <si>
    <t>Proceeds from issuance of common stock in initial public offering</t>
  </si>
  <si>
    <t>Non-GAAP Total Other Income (Expense)</t>
  </si>
  <si>
    <t>GAAP Total Other Income (Expense)</t>
  </si>
  <si>
    <t>Deferred rent</t>
  </si>
  <si>
    <t>Payment of holdback on prior acquisition</t>
  </si>
  <si>
    <t>Proceeds from sale of business held for sale</t>
  </si>
  <si>
    <t>NI allocated to participating securities</t>
  </si>
  <si>
    <t>Company provided billings</t>
  </si>
  <si>
    <t>Non-GAAP billings</t>
  </si>
  <si>
    <t>Scott Berg, sberg@needhamco.com</t>
  </si>
  <si>
    <t>(763) 350-4027</t>
  </si>
  <si>
    <t xml:space="preserve"> Close Date</t>
  </si>
  <si>
    <t>Deal Title</t>
  </si>
  <si>
    <t>Transaction Value</t>
  </si>
  <si>
    <t>EV/EBITDA</t>
  </si>
  <si>
    <t>EV/Sales</t>
  </si>
  <si>
    <t xml:space="preserve">Product Description </t>
  </si>
  <si>
    <t>Seal Software</t>
  </si>
  <si>
    <t>$188mm</t>
  </si>
  <si>
    <t>SpringCM</t>
  </si>
  <si>
    <t>$220mm</t>
  </si>
  <si>
    <t>Appuri</t>
  </si>
  <si>
    <t>Estate Assist</t>
  </si>
  <si>
    <t>$3.9mm</t>
  </si>
  <si>
    <t>ARX</t>
  </si>
  <si>
    <t>COMPROVA.COM</t>
  </si>
  <si>
    <t>Cartavi</t>
  </si>
  <si>
    <t>AI-driven contract analytics solutions.</t>
  </si>
  <si>
    <t>Liveoak Technologies</t>
  </si>
  <si>
    <t>$38mm</t>
  </si>
  <si>
    <t>Average contract length in months</t>
  </si>
  <si>
    <t>Percentage &gt;12 months</t>
  </si>
  <si>
    <t>Percentage  ≤12 months</t>
  </si>
  <si>
    <t>Y/Y change (in months)</t>
  </si>
  <si>
    <t>Customers with ACV &gt; $300k</t>
  </si>
  <si>
    <t>Secure agreement collaboration solution and remote online notarization (RON) technology.</t>
  </si>
  <si>
    <t>$21.4mm</t>
  </si>
  <si>
    <t>Machine learning and Data Platform as a Service.</t>
  </si>
  <si>
    <t>Estate planning solutions.</t>
  </si>
  <si>
    <t xml:space="preserve">Trust services software. </t>
  </si>
  <si>
    <t>Open Trust SA</t>
  </si>
  <si>
    <t>Digital signature solutions.</t>
  </si>
  <si>
    <t>Digital signature solutions and certificate authority services.</t>
  </si>
  <si>
    <t>Collaboration solutions for real estate transactions.</t>
  </si>
  <si>
    <t>Cloud-based contract lifecycle management (CLM) and document generation software.</t>
  </si>
  <si>
    <t>TAM</t>
  </si>
  <si>
    <t>15% of rev</t>
  </si>
  <si>
    <t>&gt;$300k</t>
  </si>
  <si>
    <t>&lt;10</t>
  </si>
  <si>
    <t>10-250</t>
  </si>
  <si>
    <t>&gt;250 but less than Global 2000 (&gt;1mm employees</t>
  </si>
  <si>
    <t>Global 2000</t>
  </si>
  <si>
    <t>VSB</t>
  </si>
  <si>
    <t>SMB</t>
  </si>
  <si>
    <t xml:space="preserve">Commerical </t>
  </si>
  <si>
    <t xml:space="preserve">Enterprise </t>
  </si>
  <si>
    <t>e-signature</t>
  </si>
  <si>
    <t xml:space="preserve"># of US business </t>
  </si>
  <si>
    <t>TAM Total</t>
  </si>
  <si>
    <t>DocuSign description</t>
  </si>
  <si>
    <t>Our Description</t>
  </si>
  <si>
    <t>10-499</t>
  </si>
  <si>
    <t>500-5,000</t>
  </si>
  <si>
    <t>0-9 employees</t>
  </si>
  <si>
    <t>250+</t>
  </si>
  <si>
    <t>New Zeland</t>
  </si>
  <si>
    <t>Austrialia</t>
  </si>
  <si>
    <t>EU, including UK</t>
  </si>
  <si>
    <t>Brazil</t>
  </si>
  <si>
    <t>1-9 employees</t>
  </si>
  <si>
    <t>100+</t>
  </si>
  <si>
    <t>10 to over 100</t>
  </si>
  <si>
    <t>1 to 19</t>
  </si>
  <si>
    <t>20 to over 200</t>
  </si>
  <si>
    <t>from 2017</t>
  </si>
  <si>
    <t>From 2016</t>
  </si>
  <si>
    <t>20 to 499</t>
  </si>
  <si>
    <t>more than 500</t>
  </si>
  <si>
    <t>TOTAL WW TAM</t>
  </si>
  <si>
    <t>100 users</t>
  </si>
  <si>
    <t>10 users</t>
  </si>
  <si>
    <t>US has 587</t>
  </si>
  <si>
    <t>FY21</t>
  </si>
  <si>
    <t>FY22E</t>
  </si>
  <si>
    <t>Revenues (MM)</t>
  </si>
  <si>
    <t>Operating Margins</t>
  </si>
  <si>
    <t>United States</t>
  </si>
  <si>
    <t>EU &amp; UK</t>
  </si>
  <si>
    <t>E-Signature Market</t>
  </si>
  <si>
    <t>EU&amp;UK</t>
  </si>
  <si>
    <t>Australia</t>
  </si>
  <si>
    <t>New Zealand</t>
  </si>
  <si>
    <t>Total TAM</t>
  </si>
  <si>
    <t>Customer additions</t>
  </si>
  <si>
    <t>Total customer additions</t>
  </si>
  <si>
    <t>Enterprise/direct additions</t>
  </si>
  <si>
    <t>Quarterly additions</t>
  </si>
  <si>
    <t>Customers &gt;$300k</t>
  </si>
  <si>
    <t>y/y growth</t>
  </si>
  <si>
    <t>Contract assets - current</t>
  </si>
  <si>
    <t>Deferred Contract asset - noncurrent</t>
  </si>
  <si>
    <t>Contract liabilities - current</t>
  </si>
  <si>
    <t>Operating lease liabilities-noncurrent</t>
  </si>
  <si>
    <t>Contract liabilities - noncurrent</t>
  </si>
  <si>
    <t>Deferred tax liability</t>
  </si>
  <si>
    <t>Add contract assets and unbilled AR</t>
  </si>
  <si>
    <t>Less: Contract assets and unbilled AR, end of period</t>
  </si>
  <si>
    <t>Add: Contract assets and unbilled AR by acquisitions</t>
  </si>
  <si>
    <t>Less: Contract liabilities and refund liability</t>
  </si>
  <si>
    <t>NRR</t>
  </si>
  <si>
    <t>3Q21</t>
  </si>
  <si>
    <t>4Q21</t>
  </si>
  <si>
    <t>Loss on extinguishment of debt</t>
  </si>
  <si>
    <t>Operating cash flow related to repayments of convertible sr notes</t>
  </si>
  <si>
    <t>repayment on convertible notes</t>
  </si>
  <si>
    <t>Payment on revolving credit facility costs</t>
  </si>
  <si>
    <t>Balance Sheet</t>
  </si>
  <si>
    <t>Cash Flow Statement</t>
  </si>
  <si>
    <t>S&amp;M</t>
  </si>
  <si>
    <t>1Q22</t>
  </si>
  <si>
    <t>Change</t>
  </si>
  <si>
    <t>Fair value adjustments to strategic investments</t>
  </si>
  <si>
    <t>Total RPO</t>
  </si>
  <si>
    <t>Y/Y Change in Total RPO</t>
  </si>
  <si>
    <t>Total RPO Bookings</t>
  </si>
  <si>
    <t>Y/Y Change in Short-term RPO</t>
  </si>
  <si>
    <t>Short-term RPO Bookings</t>
  </si>
  <si>
    <t xml:space="preserve">Short-term RPO </t>
  </si>
  <si>
    <t>2Q22</t>
  </si>
  <si>
    <t>Assumptions / Outputs</t>
  </si>
  <si>
    <t>Valuation and Price Target</t>
  </si>
  <si>
    <t>Financials ($M)</t>
  </si>
  <si>
    <t>Target</t>
  </si>
  <si>
    <t>$ Multiplier</t>
  </si>
  <si>
    <t>Base</t>
  </si>
  <si>
    <t>Non-GAAP Gross Profit</t>
  </si>
  <si>
    <t>Target Price</t>
  </si>
  <si>
    <t>Non-GAAP Op Inc</t>
  </si>
  <si>
    <t>Up / Down to Target</t>
  </si>
  <si>
    <t>Adj. EBITDA</t>
  </si>
  <si>
    <t>Multiple Scenario</t>
  </si>
  <si>
    <t>Multiples</t>
  </si>
  <si>
    <t xml:space="preserve">Bear </t>
  </si>
  <si>
    <t>EV/Revenue</t>
  </si>
  <si>
    <t>EV/Gross Profit</t>
  </si>
  <si>
    <t>Bull</t>
  </si>
  <si>
    <t>EV/Non-GAAP Op Inc</t>
  </si>
  <si>
    <t>EV/Adj. EBITDA</t>
  </si>
  <si>
    <t>Adj. P/E</t>
  </si>
  <si>
    <t>Most Recent Q (Update)</t>
  </si>
  <si>
    <t>Capitalization</t>
  </si>
  <si>
    <t>Shares Outstanding</t>
  </si>
  <si>
    <t>Current Market cap</t>
  </si>
  <si>
    <t>Market Cap</t>
  </si>
  <si>
    <t>Current EV</t>
  </si>
  <si>
    <t>EV</t>
  </si>
  <si>
    <t>Current EV / Revenue</t>
  </si>
  <si>
    <t>Share Price and Upside Sensitivity</t>
  </si>
  <si>
    <t>Base Scenario for table</t>
  </si>
  <si>
    <t>EV / Revenue</t>
  </si>
  <si>
    <t>Inputs</t>
  </si>
  <si>
    <t>FY21A</t>
  </si>
  <si>
    <t>Base Assumption</t>
  </si>
  <si>
    <t>Current Valuation</t>
  </si>
  <si>
    <t>Growth</t>
  </si>
  <si>
    <t>Latest Fully Diluted Shares</t>
  </si>
  <si>
    <t>Multiple</t>
  </si>
  <si>
    <t>Latest Cash</t>
  </si>
  <si>
    <t>Latest Debt</t>
  </si>
  <si>
    <t>(+) Net Cash</t>
  </si>
  <si>
    <t>Current Mkt. Cap</t>
  </si>
  <si>
    <t>Mkt. Cap</t>
  </si>
  <si>
    <t>Assumed Shares</t>
  </si>
  <si>
    <t>Current EV / 22E Sales</t>
  </si>
  <si>
    <t>Implied Share Price</t>
  </si>
  <si>
    <t>Current EV / 23E Sales</t>
  </si>
  <si>
    <t>DOCU</t>
  </si>
  <si>
    <t>This sheet contains FactSet XML data for use with this workbook's =FDS codes.  Modifying the worksheet's contents may damage the workbook's =FDS functionality.</t>
  </si>
  <si>
    <t>Actual Est.</t>
  </si>
  <si>
    <t>FY22 / FY23 Revenue Growth</t>
  </si>
  <si>
    <t>CAC</t>
  </si>
  <si>
    <t>DocuSign, Inc (DOCU)</t>
  </si>
  <si>
    <t>Impairment of operating lease right-of-use assets</t>
  </si>
  <si>
    <t>Non-cash charitable donation</t>
  </si>
  <si>
    <t>FY G Prev</t>
  </si>
  <si>
    <t>FY G New</t>
  </si>
  <si>
    <t>3Q22</t>
  </si>
  <si>
    <t>ALL FISCAL DATA MUST BE ENTERED IN MILLION (INCLUDING NUMBER OF SHARE)</t>
  </si>
  <si>
    <t>NULL:FISCAL</t>
  </si>
  <si>
    <t xml:space="preserve">ALL PER SHARE DATA MUST BE IN UNIT </t>
  </si>
  <si>
    <t>ADJUSTED:FISCAL</t>
  </si>
  <si>
    <t>DATA MUST BE ENTERED IN THE CURRENCY OF THE COMPANY</t>
  </si>
  <si>
    <t>BASIC:FISCAL</t>
  </si>
  <si>
    <t>Click here to find a list of BlueMatrix Client Codes</t>
  </si>
  <si>
    <t>DILUTED:FISCAL</t>
  </si>
  <si>
    <t>Strong Buy</t>
  </si>
  <si>
    <t>GAAP:FISCAL</t>
  </si>
  <si>
    <t>Buy</t>
  </si>
  <si>
    <t>INDICATED:FISCAL</t>
  </si>
  <si>
    <t>Hold</t>
  </si>
  <si>
    <t>MANAGED:FISCAL</t>
  </si>
  <si>
    <t>Under Perform</t>
  </si>
  <si>
    <t>NON-GAAP:FISCAL</t>
  </si>
  <si>
    <t>Company name</t>
  </si>
  <si>
    <t>Rating Suspended</t>
  </si>
  <si>
    <t>OPERATING:FISCAL</t>
  </si>
  <si>
    <t>Rating</t>
  </si>
  <si>
    <t>RATING</t>
  </si>
  <si>
    <t>Restricted</t>
  </si>
  <si>
    <t>PRIMARY:FISCAL</t>
  </si>
  <si>
    <t>Currency</t>
  </si>
  <si>
    <t>USD</t>
  </si>
  <si>
    <t>Under Review</t>
  </si>
  <si>
    <t>PROFORMA:FISCAL</t>
  </si>
  <si>
    <t>Sell</t>
  </si>
  <si>
    <t>RESTATED:FISCAL</t>
  </si>
  <si>
    <t>12-Month Price Target</t>
  </si>
  <si>
    <t>TARGET_PRICE</t>
  </si>
  <si>
    <t>REVENUE:FISCAL</t>
  </si>
  <si>
    <t>Ticker</t>
  </si>
  <si>
    <t>E</t>
  </si>
  <si>
    <t>A</t>
  </si>
  <si>
    <t>NULL:CALENDAR</t>
  </si>
  <si>
    <t>ADJUSTED:CALENDAR</t>
  </si>
  <si>
    <t>BASIC:CALENDAR</t>
  </si>
  <si>
    <r>
      <t xml:space="preserve">Current  Year </t>
    </r>
    <r>
      <rPr>
        <i/>
        <sz val="12"/>
        <rFont val="Arial"/>
        <family val="2"/>
      </rPr>
      <t>(Matching What Selected From Drop-down Bars - ie. Fiscal or Calendar)</t>
    </r>
  </si>
  <si>
    <t>DILUTED:CALENDAR</t>
  </si>
  <si>
    <r>
      <t xml:space="preserve">Current Base Quarter </t>
    </r>
    <r>
      <rPr>
        <i/>
        <sz val="12"/>
        <rFont val="Arial"/>
        <family val="2"/>
      </rPr>
      <t>(NOT one just reported - One After That)</t>
    </r>
  </si>
  <si>
    <t>Q1</t>
  </si>
  <si>
    <t>GAAP:CALENDAR</t>
  </si>
  <si>
    <t>Q2</t>
  </si>
  <si>
    <t>Q3</t>
  </si>
  <si>
    <t>Q4</t>
  </si>
  <si>
    <t>AN</t>
  </si>
  <si>
    <t>INDICATED:CALENDAR</t>
  </si>
  <si>
    <t>BlueMatrix Time Series Grids</t>
  </si>
  <si>
    <t>MANAGED:CALENDAR</t>
  </si>
  <si>
    <t>Revenue ($M)</t>
  </si>
  <si>
    <t>REVENUE</t>
  </si>
  <si>
    <t>NON-GAAP:CALENDAR</t>
  </si>
  <si>
    <t>OPERATING:CALENDAR</t>
  </si>
  <si>
    <t>PRIMARY:CALENDAR</t>
  </si>
  <si>
    <t>PROFORMA:CALENDAR</t>
  </si>
  <si>
    <t>RESTATED:CALENDAR</t>
  </si>
  <si>
    <t>REVENUE:CALENDAR</t>
  </si>
  <si>
    <t>FFO</t>
  </si>
  <si>
    <t>Net Cash/Debt ($M)</t>
  </si>
  <si>
    <t>NET_CASH_DEBT</t>
  </si>
  <si>
    <t>OP_MARGIN</t>
  </si>
  <si>
    <t>ROIC</t>
  </si>
  <si>
    <t>Calendar Year = Fiscal Year (If yes =0, if less= -1, if more = 1)</t>
  </si>
  <si>
    <t>Fiscal 1Q Ending Month Number</t>
  </si>
  <si>
    <t>Fiscal 2Q Ending Month Number</t>
  </si>
  <si>
    <t>Fiscal 3Q Ending Month Number</t>
  </si>
  <si>
    <t>Fiscal 4Q Ending Month Number</t>
  </si>
  <si>
    <t>Gross Margin</t>
  </si>
  <si>
    <t>General and Administrative</t>
  </si>
  <si>
    <t>Amortization of debt discount &amp; issuance costs</t>
  </si>
  <si>
    <t>Fair value adj. to strategic investments</t>
  </si>
  <si>
    <t>Payroll tax on employee stock transactions</t>
  </si>
  <si>
    <t>Income Statement (FYE January 31)</t>
  </si>
  <si>
    <t>Cash &amp; Equivalents</t>
  </si>
  <si>
    <t>Current PT 26.5x FY'23</t>
  </si>
  <si>
    <t>Metrics</t>
  </si>
  <si>
    <t>Enterprise &amp; Commercial customers (Direct Customers)</t>
  </si>
  <si>
    <t>% of Total</t>
  </si>
  <si>
    <t>Y/Y Quarterly additions change (%)</t>
  </si>
  <si>
    <t>Net Dollar Retention</t>
  </si>
  <si>
    <t>Revenue by Geography</t>
  </si>
  <si>
    <t>U.S. Revenue</t>
  </si>
  <si>
    <t>International Revenue</t>
  </si>
  <si>
    <t>% of total</t>
  </si>
  <si>
    <t>Dollar Weighted Average Contract Length (Months)</t>
  </si>
  <si>
    <t>Quarterly Additions</t>
  </si>
  <si>
    <r>
      <t xml:space="preserve">Y/Y </t>
    </r>
    <r>
      <rPr>
        <i/>
        <sz val="9"/>
        <color theme="0"/>
        <rFont val="Calibri"/>
        <family val="2"/>
      </rPr>
      <t>Δ</t>
    </r>
  </si>
  <si>
    <r>
      <t xml:space="preserve">Q/Q </t>
    </r>
    <r>
      <rPr>
        <i/>
        <sz val="9"/>
        <color theme="0"/>
        <rFont val="Calibri"/>
        <family val="2"/>
      </rPr>
      <t>Δ</t>
    </r>
  </si>
  <si>
    <r>
      <t xml:space="preserve">% </t>
    </r>
    <r>
      <rPr>
        <i/>
        <sz val="9"/>
        <color theme="0"/>
        <rFont val="Calibri"/>
        <family val="2"/>
      </rPr>
      <t>Δ</t>
    </r>
  </si>
  <si>
    <t>Non-GAAP Operating Income (Loss)</t>
  </si>
  <si>
    <t>FY Cons.</t>
  </si>
  <si>
    <t>2022 Billings</t>
  </si>
  <si>
    <t>4Q22</t>
  </si>
  <si>
    <t>1Q23</t>
  </si>
  <si>
    <t>FY23</t>
  </si>
  <si>
    <t>573 - 583</t>
  </si>
  <si>
    <t>2706 - 2726</t>
  </si>
  <si>
    <t>2023 Billings</t>
  </si>
  <si>
    <t>Variance</t>
  </si>
  <si>
    <t xml:space="preserve">1Q Cons. </t>
  </si>
  <si>
    <t>2Q Guide</t>
  </si>
  <si>
    <t>2Q Cons.</t>
  </si>
  <si>
    <t>2Q23</t>
  </si>
  <si>
    <t>Repurchases of common stock</t>
  </si>
  <si>
    <t>Billings Y/Y Growth</t>
  </si>
  <si>
    <t>3Q23</t>
  </si>
  <si>
    <t>Sales and Marketing</t>
  </si>
  <si>
    <t>Research and Development</t>
  </si>
  <si>
    <t>Professional Services and Other</t>
  </si>
  <si>
    <t xml:space="preserve">Stock based compensation </t>
  </si>
  <si>
    <t>Delta</t>
  </si>
  <si>
    <t>Rest of Year
Raise / (Reduce)</t>
  </si>
  <si>
    <t>4Q23</t>
  </si>
  <si>
    <t>FY22</t>
  </si>
  <si>
    <t>Revenue ($mm)</t>
  </si>
  <si>
    <t>1Q24</t>
  </si>
  <si>
    <t>Settlement of capped calls</t>
  </si>
  <si>
    <t>2Q24</t>
  </si>
  <si>
    <t>Non-GAAP Interest &amp; Other Income (Expense)</t>
  </si>
  <si>
    <t>3Q24</t>
  </si>
  <si>
    <t>4Q24</t>
  </si>
  <si>
    <t>FY24</t>
  </si>
  <si>
    <t>3Q26E</t>
  </si>
  <si>
    <t>4Q26E</t>
  </si>
  <si>
    <t>1Q25</t>
  </si>
  <si>
    <t>DocuSign</t>
  </si>
  <si>
    <t>NA</t>
  </si>
  <si>
    <t>NDR</t>
  </si>
  <si>
    <t>2Q25</t>
  </si>
  <si>
    <t>FY14</t>
  </si>
  <si>
    <t>FY13</t>
  </si>
  <si>
    <t>FY15</t>
  </si>
  <si>
    <t>FY16</t>
  </si>
  <si>
    <t>FY26E</t>
  </si>
  <si>
    <t>Deferred tax assets - noncurrent</t>
  </si>
  <si>
    <t>US</t>
  </si>
  <si>
    <t>International</t>
  </si>
  <si>
    <t>Total</t>
  </si>
  <si>
    <t>3Q25</t>
  </si>
  <si>
    <t>4Q25</t>
  </si>
  <si>
    <t>FY25</t>
  </si>
  <si>
    <t>Guidance History</t>
  </si>
  <si>
    <t>Revenue Growth - Initial Guide</t>
  </si>
  <si>
    <t>Revenue Growth- Actual</t>
  </si>
  <si>
    <t>TBD</t>
  </si>
  <si>
    <t xml:space="preserve">   Difference</t>
  </si>
  <si>
    <t>NG Operating Margin - Actual</t>
  </si>
  <si>
    <t>NG Operating Margin - Initial Guide</t>
  </si>
  <si>
    <t>FY26 Guidance</t>
  </si>
  <si>
    <t>1Q27E</t>
  </si>
  <si>
    <t>2Q27E</t>
  </si>
  <si>
    <t>3Q27E</t>
  </si>
  <si>
    <t>4Q27E</t>
  </si>
  <si>
    <t>FY27E</t>
  </si>
  <si>
    <t>1Q26</t>
  </si>
  <si>
    <t>Updated FY26 Guide</t>
  </si>
  <si>
    <t>Y/Y growth</t>
  </si>
  <si>
    <t xml:space="preserve">   Margin</t>
  </si>
  <si>
    <t>2Q26</t>
  </si>
  <si>
    <t>Prior FY26 Guide</t>
  </si>
  <si>
    <t>3Q26</t>
  </si>
  <si>
    <t>3Q26 Guide</t>
  </si>
  <si>
    <t>3Q26 Result</t>
  </si>
  <si>
    <t>3Q26 Beat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</si>
</sst>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2">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quot;$&quot;* #,##0.0_);_(&quot;$&quot;* \(#,##0.0\);_(&quot;$&quot;* &quot;-&quot;??_);_(@_)"/>
    <numFmt numFmtId="166" formatCode="[$-409]mmm\-yy;@"/>
    <numFmt numFmtId="167" formatCode="_(* #,##0.000_);_(* \(#,##0.000\);_(* &quot;-&quot;???_);_(@_)"/>
    <numFmt numFmtId="168" formatCode="_(* #,##0_);_(* \(#,##0\);_(* &quot;-&quot;??_);_(@_)"/>
    <numFmt numFmtId="169" formatCode="0.0%"/>
    <numFmt numFmtId="170" formatCode="_(* #,##0_);_(* \(#,##0\);_(* &quot;-&quot;???_);_(@_)"/>
    <numFmt numFmtId="171" formatCode="_(* #,##0.0_);_(* \(#,##0.0\);_(* &quot;-&quot;??_);_(@_)"/>
    <numFmt numFmtId="172" formatCode="General_)"/>
    <numFmt numFmtId="173" formatCode="0.0"/>
    <numFmt numFmtId="174" formatCode="&quot;$&quot;#,##0.00"/>
    <numFmt numFmtId="175" formatCode="[$€-2]\ #,##0.00"/>
    <numFmt numFmtId="176" formatCode="#,##0.0\ \ \ ;\(#,##0.0\)\ \ "/>
    <numFmt numFmtId="177" formatCode="#,##0.00\ \ ;"/>
    <numFmt numFmtId="178" formatCode="#,##0.\9\5\ \ ;"/>
    <numFmt numFmtId="179" formatCode="#,##0.\9\9\ \ ;"/>
    <numFmt numFmtId="180" formatCode="&quot; CALL FOR DELIVERY APPT: (909) 428-8600               &quot;"/>
    <numFmt numFmtId="181" formatCode="&quot;1-56884-&quot;000\-0"/>
    <numFmt numFmtId="182" formatCode="&quot;1-878058-&quot;00\-0"/>
    <numFmt numFmtId="183" formatCode="m/d"/>
    <numFmt numFmtId="184" formatCode="mm/dd"/>
    <numFmt numFmtId="185" formatCode="mm/yy"/>
    <numFmt numFmtId="186" formatCode="mmm\ \'yy"/>
    <numFmt numFmtId="187" formatCode="&quot;0-87779-&quot;000\-0"/>
    <numFmt numFmtId="188" formatCode="&quot;0-07-88&quot;0000\-0"/>
    <numFmt numFmtId="189" formatCode="&quot; CALL FOR DELIVERY APPT: (203) 928-0847                &quot;"/>
    <numFmt numFmtId="190" formatCode="_(* #,##0.000_);_(* \(#,##0.000\);_(* &quot;-&quot;??_);_(@_)"/>
    <numFmt numFmtId="191" formatCode="0.0%_);\(0.0%\);0.0%_);@_)"/>
    <numFmt numFmtId="192" formatCode="_(* #,##0_);_(* \(#,##0\);_(* &quot;-&quot;?_);_(@_)"/>
    <numFmt numFmtId="193" formatCode="0\ %"/>
    <numFmt numFmtId="194" formatCode="0.0\ %"/>
    <numFmt numFmtId="195" formatCode="0.00\ %"/>
    <numFmt numFmtId="196" formatCode="#,##0.0_);\(#,##0.0\)"/>
    <numFmt numFmtId="197" formatCode="[$-409]h:mm:ss\ AM/PM"/>
    <numFmt numFmtId="198" formatCode="&quot;$&quot;\ #,##0.0_);\(&quot;$&quot;\ #,##0.0\)"/>
    <numFmt numFmtId="199" formatCode="&quot;$&quot;\ #,##0.00_);[Red]\(&quot;$&quot;\ #,##0.00\)"/>
    <numFmt numFmtId="200" formatCode="&quot;$&quot;#,##0.000_);[Red]\(&quot;$&quot;#,##0.000\)"/>
    <numFmt numFmtId="201" formatCode="0.0%;\ \(0.0%\)"/>
    <numFmt numFmtId="202" formatCode="0.00000"/>
    <numFmt numFmtId="203" formatCode="_(* #,##0.0000_);_(* \(#,##0.0000\);_(* &quot;-&quot;??_);_(@_)"/>
    <numFmt numFmtId="204" formatCode="&quot;$&quot;#,##0.0_);\(&quot;$&quot;#,##0.0\)"/>
    <numFmt numFmtId="205" formatCode="0_);\(0\)"/>
    <numFmt numFmtId="206" formatCode="#,##0.000_);\(#,##0.000\)"/>
    <numFmt numFmtId="207" formatCode="#,##0.0\x"/>
    <numFmt numFmtId="208" formatCode=";;;"/>
    <numFmt numFmtId="209" formatCode="m/d/yy"/>
    <numFmt numFmtId="210" formatCode="0.0\x"/>
    <numFmt numFmtId="211" formatCode="0.00\ \ "/>
    <numFmt numFmtId="212" formatCode="0.0\ \x"/>
    <numFmt numFmtId="213" formatCode="#,##0.00_);\(#,##0.00\);_(* &quot;-&quot;_)"/>
    <numFmt numFmtId="214" formatCode="#,##0.0_);\(#,##0.0\);_(* &quot;-&quot;_)"/>
    <numFmt numFmtId="215" formatCode="#,##0.00\x"/>
    <numFmt numFmtId="216" formatCode="0.0_%"/>
    <numFmt numFmtId="217" formatCode="#,##0.000;\(#,##0.000\)"/>
    <numFmt numFmtId="218" formatCode="_(&quot;$&quot;* #,##0.00_);_(&quot;$&quot;* \(#,##0.00\);_(* &quot;-&quot;_);_(@_)"/>
    <numFmt numFmtId="219" formatCode="_(&quot;$&quot;* #,##0.000_);_(&quot;$&quot;* \(#,##0.000\);_(* &quot;-&quot;_);_(@_)"/>
    <numFmt numFmtId="220" formatCode="_(&quot;$&quot;* #,##0.0_);_(&quot;$&quot;* \(#,##0.0\);_(* &quot;-&quot;_);_(@_)"/>
    <numFmt numFmtId="221" formatCode="#,##0_);\(#,##0\);_(* &quot;-&quot;_);_(* &quot;-&quot;_)"/>
    <numFmt numFmtId="222" formatCode="_(###.##%_);\(* &quot;-&quot;_);_(@_)"/>
    <numFmt numFmtId="223" formatCode="&quot;$&quot;#,##0.0_);[Red]\(&quot;$&quot;#,##0.0\)"/>
    <numFmt numFmtId="224" formatCode="#,##0.00000000_);[Red]\(#,##0.00000000\)"/>
    <numFmt numFmtId="225" formatCode="#,##0.0000"/>
    <numFmt numFmtId="226" formatCode="#,##0.0;[Red]\(#,##0.0\)"/>
    <numFmt numFmtId="227" formatCode="#\ ##0\ "/>
    <numFmt numFmtId="228" formatCode="_(* #,##0.0_);_(* \(#,##0.0\);_(* &quot;-&quot;_);_(@_)"/>
    <numFmt numFmtId="229" formatCode="0.000_)"/>
    <numFmt numFmtId="230" formatCode="#,##0\ ;\(#,##0.0\)"/>
    <numFmt numFmtId="231" formatCode="0.00_);\(0.00\);0.00"/>
    <numFmt numFmtId="232" formatCode="&quot;$&quot;#,##0\ ;\(&quot;$&quot;#,##0\)"/>
    <numFmt numFmtId="233" formatCode="&quot;$&quot;#,##0.0_);\(&quot;$&quot;#,##0.0\)&quot;MM&quot;"/>
    <numFmt numFmtId="234" formatCode="#,##0,"/>
    <numFmt numFmtId="235" formatCode="#,##0,,"/>
    <numFmt numFmtId="236" formatCode="_([$€-2]* #,##0.00_);_([$€-2]* \(#,##0.00\);_([$€-2]* &quot;-&quot;??_)"/>
    <numFmt numFmtId="237" formatCode="\+\ #\ ??/??;[Red]\ \-\ #\ ??/??"/>
    <numFmt numFmtId="238" formatCode="0.00_);\(0.00\);0.00_)"/>
    <numFmt numFmtId="239" formatCode="_-* #,##0_-;\-* #,##0_-;_-* &quot;-&quot;_-;_-@_-"/>
    <numFmt numFmtId="240" formatCode="_-* #,##0.00_-;\-* #,##0.00_-;_-* &quot;-&quot;??_-;_-@_-"/>
    <numFmt numFmtId="241" formatCode="_-&quot;$&quot;* #,##0_-;\-&quot;$&quot;* #,##0_-;_-&quot;$&quot;* &quot;-&quot;_-;_-@_-"/>
    <numFmt numFmtId="242" formatCode="_-&quot;$&quot;* #,##0.00_-;\-&quot;$&quot;* #,##0.00_-;_-&quot;$&quot;* &quot;-&quot;??_-;_-@_-"/>
    <numFmt numFmtId="243" formatCode="0.00_)"/>
    <numFmt numFmtId="244" formatCode="#,##0.00_);\(#,##0.00\);&quot; --- &quot;"/>
    <numFmt numFmtId="245" formatCode="#,"/>
    <numFmt numFmtId="246" formatCode="0.00\%;\-0.00\%;0.00\%"/>
    <numFmt numFmtId="247" formatCode="0.00;\-0.00;0.00"/>
    <numFmt numFmtId="248" formatCode="0.00\x;\-0.00\x;0.00\x"/>
    <numFmt numFmtId="249" formatCode="##0.00000"/>
    <numFmt numFmtId="250" formatCode="General;\-General;General;"/>
    <numFmt numFmtId="251" formatCode="[$€-2]\ #,##0.00_);[Red]\([$€-2]\ #,##0.00\)"/>
    <numFmt numFmtId="252" formatCode="&quot;$&quot;* #,##0.00"/>
    <numFmt numFmtId="253" formatCode="_(&quot;$&quot;* #,##0_);_(&quot;$&quot;* \(#,##0\);_(&quot;$&quot;* &quot;-&quot;??_);_(* @_)"/>
    <numFmt numFmtId="254" formatCode="_(* #,##0.00_);_(* \(#,##0.00\);_(* &quot;-&quot;??_);_(* @_)"/>
    <numFmt numFmtId="255" formatCode="_._.* #,##0.00_)_%;_._.* \(#,##0.00\)_%"/>
    <numFmt numFmtId="256" formatCode="_._.&quot;$&quot;* #,##0.00_)_%;_._.&quot;$&quot;* \(#,##0.00\)_%"/>
    <numFmt numFmtId="257" formatCode="_._._(* 0_)%;_._.* \(0\)%"/>
    <numFmt numFmtId="258" formatCode="_._._(* 0.00_)%;_._.* \(0.00\)%"/>
    <numFmt numFmtId="259" formatCode="_._.* \(#,##0\)_%;_._.* #,##0_)_%;_._.* 0_)_%;_._.@_)_%"/>
    <numFmt numFmtId="260" formatCode="_._.&quot;$&quot;* \(#,##0\)_%;_._.&quot;$&quot;* #,##0_)_%;_._.&quot;$&quot;* 0_)_%;_._.@_)_%"/>
    <numFmt numFmtId="261" formatCode="[$-409]mmmm\ d\,\ yyyy;@"/>
    <numFmt numFmtId="262" formatCode="0.000"/>
    <numFmt numFmtId="263" formatCode="0.0000"/>
    <numFmt numFmtId="264" formatCode="0.0000%"/>
    <numFmt numFmtId="265" formatCode="&quot;$&quot;#,##0"/>
    <numFmt numFmtId="266" formatCode="&quot;$&quot;#,##0.0"/>
    <numFmt numFmtId="267" formatCode="0%\ "/>
    <numFmt numFmtId="268" formatCode="&quot;FY'&quot;yy&quot;A&quot;"/>
    <numFmt numFmtId="269" formatCode="&quot;FY'&quot;yy&quot;E&quot;"/>
    <numFmt numFmtId="270" formatCode="0.0\x\ "/>
    <numFmt numFmtId="271" formatCode="#,##0.0_);[Red]\(#,##0.0\)"/>
    <numFmt numFmtId="272" formatCode="_(#,##0_);_(\(#,##0\);_(&quot;-&quot;_);_(@_)"/>
    <numFmt numFmtId="273" formatCode="0_)"/>
    <numFmt numFmtId="274" formatCode="#,##0.0"/>
    <numFmt numFmtId="275" formatCode="[$-409]mmmmm;@"/>
    <numFmt numFmtId="276" formatCode="0.0%\ "/>
    <numFmt numFmtId="277" formatCode="0.0%_);\(0.0%\)"/>
  </numFmts>
  <fonts count="298">
    <font>
      <sz val="11"/>
      <color theme="1"/>
      <name val="Cambria"/>
      <family val="2"/>
      <scheme val="minor"/>
    </font>
    <font>
      <sz val="11"/>
      <color theme="1"/>
      <name val="Cambria"/>
      <family val="2"/>
      <scheme val="minor"/>
    </font>
    <font>
      <sz val="10"/>
      <name val="Arial"/>
      <family val="2"/>
    </font>
    <font>
      <b/>
      <sz val="10"/>
      <name val="Arial"/>
      <family val="2"/>
    </font>
    <font>
      <b/>
      <sz val="12"/>
      <name val="Arial"/>
      <family val="2"/>
    </font>
    <font>
      <sz val="8"/>
      <name val="Arial"/>
      <family val="2"/>
    </font>
    <font>
      <i/>
      <sz val="8"/>
      <name val="Arial"/>
      <family val="2"/>
    </font>
    <font>
      <sz val="10"/>
      <color indexed="8"/>
      <name val="Arial"/>
      <family val="2"/>
    </font>
    <font>
      <i/>
      <sz val="8"/>
      <color indexed="8"/>
      <name val="Arial"/>
      <family val="2"/>
    </font>
    <font>
      <sz val="12"/>
      <name val="Arial"/>
      <family val="2"/>
    </font>
    <font>
      <sz val="11"/>
      <color indexed="8"/>
      <name val="Calibri"/>
      <family val="2"/>
    </font>
    <font>
      <b/>
      <sz val="9"/>
      <name val="Arial"/>
      <family val="2"/>
    </font>
    <font>
      <sz val="8"/>
      <color indexed="8"/>
      <name val="Arial"/>
      <family val="2"/>
    </font>
    <font>
      <sz val="10"/>
      <name val="Courier"/>
      <family val="3"/>
    </font>
    <font>
      <u/>
      <sz val="10"/>
      <color indexed="12"/>
      <name val="Arial"/>
      <family val="2"/>
    </font>
    <font>
      <sz val="10"/>
      <name val="MS Sans Serif"/>
      <family val="2"/>
    </font>
    <font>
      <sz val="8"/>
      <name val="Helvetica"/>
      <family val="2"/>
    </font>
    <font>
      <i/>
      <sz val="11"/>
      <color theme="1"/>
      <name val="Cambria"/>
      <family val="2"/>
      <scheme val="minor"/>
    </font>
    <font>
      <sz val="9"/>
      <color indexed="0"/>
      <name val="Helvetica"/>
      <family val="2"/>
    </font>
    <font>
      <sz val="10"/>
      <color theme="1"/>
      <name val="Times New Roman"/>
      <family val="2"/>
    </font>
    <font>
      <sz val="8"/>
      <name val="Helv"/>
    </font>
    <font>
      <b/>
      <sz val="8"/>
      <color indexed="8"/>
      <name val="Arial"/>
      <family val="2"/>
    </font>
    <font>
      <sz val="10"/>
      <color theme="1"/>
      <name val="Arial"/>
      <family val="2"/>
    </font>
    <font>
      <sz val="10"/>
      <color rgb="FF0070C0"/>
      <name val="Arial"/>
      <family val="2"/>
    </font>
    <font>
      <sz val="9"/>
      <name val="Arial"/>
      <family val="2"/>
    </font>
    <font>
      <sz val="11"/>
      <color indexed="8"/>
      <name val="Arial"/>
      <family val="2"/>
    </font>
    <font>
      <b/>
      <sz val="11"/>
      <color theme="1"/>
      <name val="Cambria"/>
      <family val="2"/>
      <scheme val="minor"/>
    </font>
    <font>
      <sz val="11"/>
      <name val="Cambria"/>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Helv"/>
    </font>
    <font>
      <sz val="9"/>
      <name val="Helv"/>
    </font>
    <font>
      <b/>
      <sz val="9"/>
      <color indexed="12"/>
      <name val="Helv"/>
    </font>
    <font>
      <b/>
      <sz val="11"/>
      <color indexed="51"/>
      <name val="Calibri"/>
      <family val="2"/>
    </font>
    <font>
      <b/>
      <sz val="10"/>
      <name val="Helv"/>
    </font>
    <font>
      <b/>
      <sz val="15"/>
      <color indexed="61"/>
      <name val="Calibri"/>
      <family val="2"/>
    </font>
    <font>
      <b/>
      <sz val="13"/>
      <color indexed="61"/>
      <name val="Calibri"/>
      <family val="2"/>
    </font>
    <font>
      <b/>
      <sz val="11"/>
      <color indexed="61"/>
      <name val="Calibri"/>
      <family val="2"/>
    </font>
    <font>
      <sz val="11"/>
      <color indexed="61"/>
      <name val="Calibri"/>
      <family val="2"/>
    </font>
    <font>
      <sz val="11"/>
      <color indexed="51"/>
      <name val="Calibri"/>
      <family val="2"/>
    </font>
    <font>
      <sz val="11"/>
      <color indexed="59"/>
      <name val="Calibri"/>
      <family val="2"/>
    </font>
    <font>
      <b/>
      <sz val="11"/>
      <color indexed="62"/>
      <name val="Calibri"/>
      <family val="2"/>
    </font>
    <font>
      <b/>
      <sz val="10"/>
      <name val="MS Sans Serif"/>
      <family val="2"/>
    </font>
    <font>
      <b/>
      <sz val="9"/>
      <color indexed="10"/>
      <name val="Helv"/>
    </font>
    <font>
      <b/>
      <sz val="18"/>
      <color indexed="61"/>
      <name val="Cambria"/>
      <family val="2"/>
    </font>
    <font>
      <sz val="11"/>
      <color theme="3"/>
      <name val="Cambria"/>
      <family val="2"/>
      <scheme val="minor"/>
    </font>
    <font>
      <sz val="10"/>
      <color theme="1"/>
      <name val="Cambria"/>
      <family val="2"/>
      <scheme val="minor"/>
    </font>
    <font>
      <i/>
      <sz val="9"/>
      <name val="Arial"/>
      <family val="2"/>
    </font>
    <font>
      <sz val="9"/>
      <color theme="1"/>
      <name val="Arial"/>
      <family val="2"/>
    </font>
    <font>
      <b/>
      <sz val="9"/>
      <color theme="1"/>
      <name val="Arial"/>
      <family val="2"/>
    </font>
    <font>
      <i/>
      <sz val="8"/>
      <color theme="1"/>
      <name val="Cambria"/>
      <family val="2"/>
      <scheme val="minor"/>
    </font>
    <font>
      <sz val="8"/>
      <color theme="1"/>
      <name val="Cambria"/>
      <family val="2"/>
      <scheme val="minor"/>
    </font>
    <font>
      <i/>
      <sz val="8"/>
      <color theme="1"/>
      <name val="Arial"/>
      <family val="2"/>
    </font>
    <font>
      <b/>
      <sz val="10"/>
      <color theme="1"/>
      <name val="Cambria"/>
      <family val="2"/>
      <scheme val="minor"/>
    </font>
    <font>
      <b/>
      <sz val="10"/>
      <color theme="1"/>
      <name val="Arial"/>
      <family val="2"/>
    </font>
    <font>
      <sz val="10"/>
      <color rgb="FF0070C0"/>
      <name val="Cambria"/>
      <family val="2"/>
      <scheme val="minor"/>
    </font>
    <font>
      <b/>
      <i/>
      <sz val="8"/>
      <color theme="1"/>
      <name val="Arial"/>
      <family val="2"/>
    </font>
    <font>
      <b/>
      <sz val="10"/>
      <color theme="0"/>
      <name val="Arial"/>
      <family val="2"/>
    </font>
    <font>
      <b/>
      <sz val="12"/>
      <color theme="1"/>
      <name val="Arial"/>
      <family val="2"/>
    </font>
    <font>
      <b/>
      <u val="singleAccounting"/>
      <sz val="8"/>
      <color indexed="8"/>
      <name val="Arial"/>
      <family val="2"/>
    </font>
    <font>
      <sz val="8"/>
      <color indexed="12"/>
      <name val="Arial Narrow"/>
      <family val="2"/>
    </font>
    <font>
      <sz val="9"/>
      <color indexed="28"/>
      <name val="Arial"/>
      <family val="2"/>
    </font>
    <font>
      <sz val="1"/>
      <color indexed="9"/>
      <name val="Symbol"/>
      <family val="1"/>
    </font>
    <font>
      <sz val="1"/>
      <color indexed="9"/>
      <name val="Symbol"/>
      <family val="1"/>
      <charset val="2"/>
    </font>
    <font>
      <b/>
      <u val="singleAccounting"/>
      <sz val="8"/>
      <color indexed="8"/>
      <name val="Verdana"/>
      <family val="2"/>
    </font>
    <font>
      <b/>
      <sz val="10"/>
      <color indexed="9"/>
      <name val="Arial"/>
      <family val="2"/>
    </font>
    <font>
      <b/>
      <sz val="12"/>
      <color indexed="8"/>
      <name val="Verdana"/>
      <family val="2"/>
    </font>
    <font>
      <sz val="10"/>
      <color indexed="8"/>
      <name val="Helv"/>
      <family val="2"/>
    </font>
    <font>
      <sz val="10"/>
      <color indexed="8"/>
      <name val="Helvetica"/>
      <family val="2"/>
    </font>
    <font>
      <b/>
      <sz val="8"/>
      <color indexed="9"/>
      <name val="Verdana"/>
      <family val="2"/>
    </font>
    <font>
      <vertAlign val="subscript"/>
      <sz val="8"/>
      <color indexed="8"/>
      <name val="Arial"/>
      <family val="2"/>
    </font>
    <font>
      <vertAlign val="superscript"/>
      <sz val="8"/>
      <color indexed="8"/>
      <name val="Arial"/>
      <family val="2"/>
    </font>
    <font>
      <b/>
      <sz val="13"/>
      <color indexed="8"/>
      <name val="Verdana"/>
      <family val="2"/>
    </font>
    <font>
      <b/>
      <u/>
      <sz val="10"/>
      <color theme="1"/>
      <name val="Arial"/>
      <family val="2"/>
    </font>
    <font>
      <sz val="10"/>
      <color rgb="FFFF0000"/>
      <name val="Arial"/>
      <family val="2"/>
    </font>
    <font>
      <b/>
      <sz val="12"/>
      <name val="Times New Roman"/>
      <family val="1"/>
    </font>
    <font>
      <b/>
      <sz val="9"/>
      <name val="Times New Roman"/>
      <family val="1"/>
    </font>
    <font>
      <sz val="9"/>
      <name val="Times New Roman"/>
      <family val="1"/>
    </font>
    <font>
      <sz val="8"/>
      <name val="Times New Roman"/>
      <family val="1"/>
    </font>
    <font>
      <b/>
      <sz val="8"/>
      <color indexed="8"/>
      <name val="Times New Roman"/>
      <family val="1"/>
    </font>
    <font>
      <i/>
      <sz val="8"/>
      <name val="Times New Roman"/>
      <family val="1"/>
    </font>
    <font>
      <sz val="10"/>
      <color indexed="8"/>
      <name val="Times New Roman"/>
      <family val="1"/>
    </font>
    <font>
      <sz val="10"/>
      <name val="Times New Roman"/>
      <family val="1"/>
    </font>
    <font>
      <b/>
      <sz val="10"/>
      <color indexed="8"/>
      <name val="Times New Roman"/>
      <family val="1"/>
    </font>
    <font>
      <b/>
      <sz val="10"/>
      <name val="Times New Roman"/>
      <family val="1"/>
    </font>
    <font>
      <sz val="10"/>
      <name val="Arial"/>
      <family val="2"/>
    </font>
    <font>
      <sz val="7"/>
      <color indexed="10"/>
      <name val="Arial"/>
      <family val="2"/>
    </font>
    <font>
      <sz val="10"/>
      <color indexed="12"/>
      <name val="Arial"/>
      <family val="2"/>
    </font>
    <font>
      <b/>
      <sz val="8"/>
      <name val="Arial"/>
      <family val="2"/>
    </font>
    <font>
      <sz val="8"/>
      <color indexed="10"/>
      <name val="Arial"/>
      <family val="2"/>
    </font>
    <font>
      <sz val="11"/>
      <color indexed="9"/>
      <name val="Arial"/>
      <family val="2"/>
    </font>
    <font>
      <sz val="11"/>
      <color indexed="20"/>
      <name val="Arial"/>
      <family val="2"/>
    </font>
    <font>
      <b/>
      <sz val="11"/>
      <color indexed="52"/>
      <name val="Arial"/>
      <family val="2"/>
    </font>
    <font>
      <b/>
      <sz val="11"/>
      <color indexed="9"/>
      <name val="Arial"/>
      <family val="2"/>
    </font>
    <font>
      <i/>
      <sz val="11"/>
      <color indexed="23"/>
      <name val="Arial"/>
      <family val="2"/>
    </font>
    <font>
      <sz val="11"/>
      <color indexed="17"/>
      <name val="Arial"/>
      <family val="2"/>
    </font>
    <font>
      <b/>
      <sz val="15"/>
      <color indexed="56"/>
      <name val="Arial"/>
      <family val="2"/>
    </font>
    <font>
      <b/>
      <sz val="13"/>
      <color indexed="56"/>
      <name val="Arial"/>
      <family val="2"/>
    </font>
    <font>
      <b/>
      <sz val="11"/>
      <color indexed="56"/>
      <name val="Arial"/>
      <family val="2"/>
    </font>
    <font>
      <sz val="11"/>
      <color indexed="62"/>
      <name val="Arial"/>
      <family val="2"/>
    </font>
    <font>
      <sz val="11"/>
      <color indexed="52"/>
      <name val="Arial"/>
      <family val="2"/>
    </font>
    <font>
      <sz val="11"/>
      <color indexed="60"/>
      <name val="Arial"/>
      <family val="2"/>
    </font>
    <font>
      <b/>
      <sz val="11"/>
      <color indexed="63"/>
      <name val="Arial"/>
      <family val="2"/>
    </font>
    <font>
      <sz val="8"/>
      <name val="Times"/>
      <family val="1"/>
    </font>
    <font>
      <b/>
      <sz val="11"/>
      <color indexed="8"/>
      <name val="Arial"/>
      <family val="2"/>
    </font>
    <font>
      <sz val="11"/>
      <color indexed="10"/>
      <name val="Arial"/>
      <family val="2"/>
    </font>
    <font>
      <sz val="10"/>
      <name val="Arial Narrow"/>
      <family val="2"/>
    </font>
    <font>
      <sz val="10"/>
      <name val="GillSans"/>
    </font>
    <font>
      <sz val="10"/>
      <name val="Baskerville MT"/>
    </font>
    <font>
      <sz val="10"/>
      <name val="Century Schoolbook"/>
      <family val="1"/>
    </font>
    <font>
      <sz val="10"/>
      <name val="Geneva"/>
    </font>
    <font>
      <sz val="12"/>
      <name val="Times New Roman"/>
      <family val="1"/>
    </font>
    <font>
      <sz val="10"/>
      <color indexed="8"/>
      <name val="Trebuchet MS"/>
      <family val="2"/>
    </font>
    <font>
      <sz val="8"/>
      <color indexed="8"/>
      <name val="Times New Roman"/>
      <family val="1"/>
    </font>
    <font>
      <sz val="8"/>
      <color indexed="14"/>
      <name val="Times New Roman"/>
      <family val="1"/>
    </font>
    <font>
      <sz val="12"/>
      <name val="Weiss"/>
    </font>
    <font>
      <sz val="8"/>
      <color indexed="12"/>
      <name val="Tms Rmn"/>
    </font>
    <font>
      <b/>
      <i/>
      <sz val="12"/>
      <name val="Times New Roman"/>
      <family val="1"/>
    </font>
    <font>
      <sz val="8"/>
      <color indexed="12"/>
      <name val="Times New Roman"/>
      <family val="1"/>
    </font>
    <font>
      <b/>
      <sz val="14"/>
      <name val="Book Antiqua"/>
      <family val="1"/>
    </font>
    <font>
      <sz val="10"/>
      <name val="Book Antiqua"/>
      <family val="1"/>
    </font>
    <font>
      <sz val="10"/>
      <name val="Palatino"/>
      <family val="1"/>
    </font>
    <font>
      <sz val="10"/>
      <name val="Palatino"/>
    </font>
    <font>
      <sz val="10"/>
      <color indexed="12"/>
      <name val="Arial Narrow"/>
      <family val="2"/>
    </font>
    <font>
      <b/>
      <sz val="10"/>
      <color indexed="18"/>
      <name val="Arial"/>
      <family val="2"/>
    </font>
    <font>
      <b/>
      <sz val="8"/>
      <name val="Palatino"/>
      <family val="1"/>
    </font>
    <font>
      <b/>
      <sz val="10"/>
      <name val="Palatino"/>
      <family val="1"/>
    </font>
    <font>
      <sz val="8"/>
      <name val="Book Antiqua"/>
      <family val="1"/>
    </font>
    <font>
      <i/>
      <sz val="7"/>
      <name val="Book Antiqua"/>
      <family val="1"/>
    </font>
    <font>
      <b/>
      <i/>
      <sz val="16"/>
      <name val="Helv"/>
    </font>
    <font>
      <sz val="8"/>
      <color indexed="72"/>
      <name val="Arial"/>
      <family val="2"/>
    </font>
    <font>
      <u/>
      <sz val="8"/>
      <name val="Book Antiqua"/>
      <family val="1"/>
    </font>
    <font>
      <u/>
      <sz val="10"/>
      <name val="GillSans"/>
      <family val="2"/>
    </font>
    <font>
      <sz val="7"/>
      <color indexed="12"/>
      <name val="Arial"/>
      <family val="2"/>
    </font>
    <font>
      <sz val="8"/>
      <color indexed="39"/>
      <name val="Arial"/>
      <family val="2"/>
    </font>
    <font>
      <b/>
      <sz val="12"/>
      <name val="GillSans"/>
      <family val="2"/>
    </font>
    <font>
      <b/>
      <u/>
      <sz val="14"/>
      <name val="Book Antiqua"/>
      <family val="1"/>
    </font>
    <font>
      <b/>
      <sz val="10"/>
      <name val="Book Antiqua"/>
      <family val="1"/>
    </font>
    <font>
      <u/>
      <sz val="11"/>
      <name val="GillSans"/>
      <family val="2"/>
    </font>
    <font>
      <i/>
      <sz val="10"/>
      <name val="Times New Roman"/>
      <family val="1"/>
    </font>
    <font>
      <b/>
      <sz val="7"/>
      <color indexed="12"/>
      <name val="Arial"/>
      <family val="2"/>
    </font>
    <font>
      <b/>
      <sz val="12"/>
      <color indexed="17"/>
      <name val="MS Sans Serif"/>
      <family val="2"/>
    </font>
    <font>
      <b/>
      <u/>
      <sz val="10"/>
      <name val="Book Antiqua"/>
      <family val="1"/>
    </font>
    <font>
      <b/>
      <sz val="18"/>
      <color theme="3"/>
      <name val="Cambria"/>
      <family val="2"/>
      <scheme val="major"/>
    </font>
    <font>
      <b/>
      <sz val="15"/>
      <color theme="3"/>
      <name val="Cambria"/>
      <family val="2"/>
      <scheme val="minor"/>
    </font>
    <font>
      <b/>
      <sz val="13"/>
      <color theme="3"/>
      <name val="Cambria"/>
      <family val="2"/>
      <scheme val="minor"/>
    </font>
    <font>
      <b/>
      <sz val="11"/>
      <color theme="3"/>
      <name val="Cambria"/>
      <family val="2"/>
      <scheme val="minor"/>
    </font>
    <font>
      <sz val="11"/>
      <color rgb="FF006100"/>
      <name val="Cambria"/>
      <family val="2"/>
      <scheme val="minor"/>
    </font>
    <font>
      <sz val="11"/>
      <color rgb="FF9C0006"/>
      <name val="Cambria"/>
      <family val="2"/>
      <scheme val="minor"/>
    </font>
    <font>
      <sz val="11"/>
      <color rgb="FF9C6500"/>
      <name val="Cambria"/>
      <family val="2"/>
      <scheme val="minor"/>
    </font>
    <font>
      <sz val="11"/>
      <color rgb="FF3F3F76"/>
      <name val="Cambria"/>
      <family val="2"/>
      <scheme val="minor"/>
    </font>
    <font>
      <b/>
      <sz val="11"/>
      <color rgb="FF3F3F3F"/>
      <name val="Cambria"/>
      <family val="2"/>
      <scheme val="minor"/>
    </font>
    <font>
      <b/>
      <sz val="11"/>
      <color rgb="FFFA7D00"/>
      <name val="Cambria"/>
      <family val="2"/>
      <scheme val="minor"/>
    </font>
    <font>
      <sz val="11"/>
      <color rgb="FFFA7D00"/>
      <name val="Cambria"/>
      <family val="2"/>
      <scheme val="minor"/>
    </font>
    <font>
      <b/>
      <sz val="11"/>
      <color theme="0"/>
      <name val="Cambria"/>
      <family val="2"/>
      <scheme val="minor"/>
    </font>
    <font>
      <sz val="11"/>
      <color rgb="FFFF0000"/>
      <name val="Cambria"/>
      <family val="2"/>
      <scheme val="minor"/>
    </font>
    <font>
      <i/>
      <sz val="11"/>
      <color rgb="FF7F7F7F"/>
      <name val="Cambria"/>
      <family val="2"/>
      <scheme val="minor"/>
    </font>
    <font>
      <sz val="11"/>
      <color theme="0"/>
      <name val="Cambria"/>
      <family val="2"/>
      <scheme val="minor"/>
    </font>
    <font>
      <sz val="10.5"/>
      <color theme="1"/>
      <name val="Frutiger 45 Light"/>
      <family val="2"/>
    </font>
    <font>
      <sz val="10"/>
      <name val="Frutiger 45 Light"/>
      <family val="2"/>
    </font>
    <font>
      <i/>
      <sz val="11"/>
      <name val="Helvetica-Black"/>
      <family val="2"/>
    </font>
    <font>
      <sz val="10"/>
      <name val="Geneva"/>
      <family val="2"/>
    </font>
    <font>
      <b/>
      <sz val="18"/>
      <color indexed="24"/>
      <name val="Arial"/>
      <family val="2"/>
    </font>
    <font>
      <b/>
      <sz val="9"/>
      <name val="Helvetica 65"/>
      <family val="2"/>
    </font>
    <font>
      <b/>
      <sz val="8"/>
      <name val="Times New Roman"/>
      <family val="1"/>
    </font>
    <font>
      <sz val="8"/>
      <color indexed="12"/>
      <name val="Tms Rmn"/>
      <family val="1"/>
    </font>
    <font>
      <b/>
      <sz val="8"/>
      <color indexed="12"/>
      <name val="Times New Roman"/>
      <family val="1"/>
    </font>
    <font>
      <b/>
      <sz val="10"/>
      <color indexed="12"/>
      <name val="Arial"/>
      <family val="2"/>
    </font>
    <font>
      <sz val="7"/>
      <name val="Times New Roman"/>
      <family val="1"/>
    </font>
    <font>
      <sz val="10"/>
      <color indexed="18"/>
      <name val="Times New Roman"/>
      <family val="1"/>
    </font>
    <font>
      <sz val="11"/>
      <name val="Tms Rmn"/>
    </font>
    <font>
      <sz val="24"/>
      <name val="MS Sans Serif"/>
      <family val="2"/>
    </font>
    <font>
      <b/>
      <sz val="14"/>
      <name val="Tms Rmn"/>
    </font>
    <font>
      <sz val="9"/>
      <name val="Helvetica 45"/>
    </font>
    <font>
      <sz val="11"/>
      <name val="Book Antiqua"/>
      <family val="1"/>
    </font>
    <font>
      <sz val="1"/>
      <color indexed="8"/>
      <name val="Courier"/>
      <family val="3"/>
    </font>
    <font>
      <i/>
      <sz val="8"/>
      <color indexed="12"/>
      <name val="Times New Roman"/>
      <family val="1"/>
    </font>
    <font>
      <sz val="11"/>
      <name val="Times New Roman"/>
      <family val="1"/>
    </font>
    <font>
      <sz val="11"/>
      <color indexed="19"/>
      <name val="Calibri"/>
      <family val="2"/>
    </font>
    <font>
      <sz val="10.5"/>
      <name val="Frutiger 45 Light"/>
      <family val="2"/>
    </font>
    <font>
      <i/>
      <sz val="10"/>
      <name val="Arial"/>
      <family val="2"/>
    </font>
    <font>
      <b/>
      <sz val="1"/>
      <color indexed="8"/>
      <name val="Courier"/>
      <family val="3"/>
    </font>
    <font>
      <b/>
      <sz val="8"/>
      <color indexed="10"/>
      <name val="Times New Roman"/>
      <family val="1"/>
    </font>
    <font>
      <sz val="10"/>
      <color indexed="23"/>
      <name val="MS Sans Serif"/>
      <family val="2"/>
    </font>
    <font>
      <b/>
      <sz val="12"/>
      <name val="MS Sans Serif"/>
      <family val="2"/>
    </font>
    <font>
      <b/>
      <sz val="9"/>
      <color indexed="12"/>
      <name val="Times New Roman"/>
      <family val="1"/>
    </font>
    <font>
      <u/>
      <sz val="8"/>
      <name val="Times New Roman"/>
      <family val="1"/>
    </font>
    <font>
      <b/>
      <sz val="13"/>
      <name val="Arial"/>
      <family val="2"/>
    </font>
    <font>
      <b/>
      <sz val="7"/>
      <name val="Arial"/>
      <family val="2"/>
    </font>
    <font>
      <sz val="12"/>
      <color theme="1"/>
      <name val="Cambria"/>
      <family val="2"/>
      <charset val="134"/>
      <scheme val="minor"/>
    </font>
    <font>
      <sz val="12"/>
      <color theme="1"/>
      <name val="Cambria"/>
      <family val="2"/>
      <scheme val="minor"/>
    </font>
    <font>
      <u/>
      <sz val="11"/>
      <color theme="10"/>
      <name val="Cambria"/>
      <family val="2"/>
      <scheme val="minor"/>
    </font>
    <font>
      <u/>
      <sz val="11"/>
      <color theme="10"/>
      <name val="Calibri"/>
      <family val="2"/>
    </font>
    <font>
      <sz val="11"/>
      <color theme="1"/>
      <name val="Book Antiqua"/>
      <family val="2"/>
    </font>
    <font>
      <sz val="10"/>
      <name val="Verdana"/>
      <family val="2"/>
    </font>
    <font>
      <u val="singleAccounting"/>
      <sz val="11"/>
      <name val="Times New Roman"/>
      <family val="1"/>
    </font>
    <font>
      <b/>
      <sz val="9"/>
      <color indexed="0"/>
      <name val="Arial"/>
      <family val="2"/>
    </font>
    <font>
      <sz val="9"/>
      <color indexed="0"/>
      <name val="Arial"/>
      <family val="2"/>
    </font>
    <font>
      <sz val="11"/>
      <color indexed="12"/>
      <name val="Times New Roman"/>
      <family val="1"/>
    </font>
    <font>
      <sz val="10"/>
      <color rgb="FF0156FF"/>
      <name val="Arial"/>
      <family val="2"/>
    </font>
    <font>
      <b/>
      <sz val="9"/>
      <color theme="0"/>
      <name val="Arial"/>
      <family val="2"/>
    </font>
    <font>
      <i/>
      <sz val="8"/>
      <color rgb="FF0156FF"/>
      <name val="Arial"/>
      <family val="2"/>
    </font>
    <font>
      <b/>
      <sz val="10"/>
      <color indexed="8"/>
      <name val="Arial"/>
      <family val="2"/>
    </font>
    <font>
      <b/>
      <sz val="15"/>
      <color theme="3"/>
      <name val="Frutiger 45 Light"/>
      <family val="2"/>
    </font>
    <font>
      <b/>
      <sz val="13"/>
      <color theme="3"/>
      <name val="Frutiger 45 Light"/>
      <family val="2"/>
    </font>
    <font>
      <b/>
      <sz val="11"/>
      <color theme="3"/>
      <name val="Frutiger 45 Light"/>
      <family val="2"/>
    </font>
    <font>
      <sz val="10.5"/>
      <color rgb="FF006100"/>
      <name val="Frutiger 45 Light"/>
      <family val="2"/>
    </font>
    <font>
      <sz val="10.5"/>
      <color rgb="FF9C0006"/>
      <name val="Frutiger 45 Light"/>
      <family val="2"/>
    </font>
    <font>
      <sz val="10.5"/>
      <color rgb="FF9C6500"/>
      <name val="Frutiger 45 Light"/>
      <family val="2"/>
    </font>
    <font>
      <sz val="10.5"/>
      <color rgb="FF3F3F76"/>
      <name val="Frutiger 45 Light"/>
      <family val="2"/>
    </font>
    <font>
      <b/>
      <sz val="10.5"/>
      <color rgb="FF3F3F3F"/>
      <name val="Frutiger 45 Light"/>
      <family val="2"/>
    </font>
    <font>
      <b/>
      <sz val="10.5"/>
      <color rgb="FFFA7D00"/>
      <name val="Frutiger 45 Light"/>
      <family val="2"/>
    </font>
    <font>
      <sz val="10.5"/>
      <color rgb="FFFA7D00"/>
      <name val="Frutiger 45 Light"/>
      <family val="2"/>
    </font>
    <font>
      <b/>
      <sz val="10.5"/>
      <color theme="0"/>
      <name val="Frutiger 45 Light"/>
      <family val="2"/>
    </font>
    <font>
      <sz val="10.5"/>
      <color rgb="FFFF0000"/>
      <name val="Frutiger 45 Light"/>
      <family val="2"/>
    </font>
    <font>
      <i/>
      <sz val="10.5"/>
      <color rgb="FF7F7F7F"/>
      <name val="Frutiger 45 Light"/>
      <family val="2"/>
    </font>
    <font>
      <b/>
      <sz val="10.5"/>
      <color theme="1"/>
      <name val="Frutiger 45 Light"/>
      <family val="2"/>
    </font>
    <font>
      <u/>
      <sz val="10"/>
      <color indexed="39"/>
      <name val="Arial"/>
      <family val="2"/>
    </font>
    <font>
      <sz val="10"/>
      <name val="Cambria"/>
      <family val="2"/>
      <scheme val="minor"/>
    </font>
    <font>
      <i/>
      <sz val="10"/>
      <color theme="1"/>
      <name val="Arial"/>
      <family val="2"/>
    </font>
    <font>
      <i/>
      <sz val="10"/>
      <color theme="1"/>
      <name val="Cambria"/>
      <family val="2"/>
      <scheme val="minor"/>
    </font>
    <font>
      <sz val="10"/>
      <color theme="1"/>
      <name val="Georgia"/>
      <family val="2"/>
    </font>
    <font>
      <i/>
      <sz val="9"/>
      <color theme="1"/>
      <name val="Cambria"/>
      <family val="1"/>
      <scheme val="minor"/>
    </font>
    <font>
      <b/>
      <sz val="11"/>
      <color theme="1"/>
      <name val="Cambria"/>
      <family val="1"/>
      <scheme val="minor"/>
    </font>
    <font>
      <b/>
      <sz val="11"/>
      <color theme="0"/>
      <name val="Cambria"/>
      <family val="1"/>
      <scheme val="major"/>
    </font>
    <font>
      <sz val="9"/>
      <color theme="1"/>
      <name val="Cambria"/>
      <family val="2"/>
      <scheme val="minor"/>
    </font>
    <font>
      <b/>
      <u/>
      <sz val="11"/>
      <color theme="1"/>
      <name val="Cambria"/>
      <family val="1"/>
      <scheme val="minor"/>
    </font>
    <font>
      <sz val="11"/>
      <color theme="1"/>
      <name val="Cambria"/>
      <family val="1"/>
      <scheme val="minor"/>
    </font>
    <font>
      <sz val="9"/>
      <color indexed="81"/>
      <name val="Tahoma"/>
      <family val="2"/>
    </font>
    <font>
      <b/>
      <sz val="9"/>
      <color indexed="81"/>
      <name val="Tahoma"/>
      <family val="2"/>
    </font>
    <font>
      <b/>
      <i/>
      <sz val="9"/>
      <name val="Arial"/>
      <family val="2"/>
    </font>
    <font>
      <b/>
      <sz val="11"/>
      <color theme="0"/>
      <name val="Cambria"/>
      <family val="1"/>
    </font>
    <font>
      <sz val="11"/>
      <color rgb="FF000000"/>
      <name val="Cambria"/>
      <family val="1"/>
    </font>
    <font>
      <i/>
      <sz val="11"/>
      <color theme="1"/>
      <name val="Cambria"/>
      <family val="1"/>
      <scheme val="minor"/>
    </font>
    <font>
      <i/>
      <sz val="9"/>
      <color theme="0"/>
      <name val="Arial"/>
      <family val="2"/>
    </font>
    <font>
      <b/>
      <i/>
      <sz val="9"/>
      <color indexed="8"/>
      <name val="Arial"/>
      <family val="2"/>
    </font>
    <font>
      <sz val="9"/>
      <color indexed="8"/>
      <name val="Arial"/>
      <family val="2"/>
    </font>
    <font>
      <b/>
      <sz val="9"/>
      <color indexed="8"/>
      <name val="Arial"/>
      <family val="2"/>
    </font>
    <font>
      <i/>
      <sz val="9"/>
      <color indexed="8"/>
      <name val="Arial"/>
      <family val="2"/>
    </font>
    <font>
      <b/>
      <i/>
      <sz val="8"/>
      <name val="Arial"/>
      <family val="2"/>
    </font>
    <font>
      <sz val="9"/>
      <color indexed="10"/>
      <name val="Arial"/>
      <family val="2"/>
    </font>
    <font>
      <u/>
      <sz val="9"/>
      <name val="Arial"/>
      <family val="2"/>
    </font>
    <font>
      <i/>
      <sz val="8.5"/>
      <name val="Arial"/>
      <family val="2"/>
    </font>
    <font>
      <sz val="8.5"/>
      <name val="Arial"/>
      <family val="2"/>
    </font>
    <font>
      <sz val="11"/>
      <color theme="1"/>
      <name val="Calibri"/>
      <family val="2"/>
    </font>
    <font>
      <b/>
      <sz val="11"/>
      <color theme="0"/>
      <name val="Calibri"/>
      <family val="2"/>
    </font>
    <font>
      <sz val="11"/>
      <color theme="0"/>
      <name val="Calibri"/>
      <family val="2"/>
    </font>
    <font>
      <sz val="11"/>
      <color rgb="FF000000"/>
      <name val="Calibri"/>
      <family val="2"/>
    </font>
    <font>
      <b/>
      <sz val="11"/>
      <color theme="1"/>
      <name val="Calibri"/>
      <family val="2"/>
    </font>
    <font>
      <sz val="11"/>
      <color rgb="FF0000FF"/>
      <name val="Calibri"/>
      <family val="2"/>
    </font>
    <font>
      <b/>
      <sz val="11"/>
      <color rgb="FF000000"/>
      <name val="Calibri"/>
      <family val="2"/>
    </font>
    <font>
      <sz val="11"/>
      <color rgb="FF00B050"/>
      <name val="Calibri"/>
      <family val="2"/>
    </font>
    <font>
      <b/>
      <sz val="9"/>
      <color theme="5" tint="0.59999389629810485"/>
      <name val="Arial"/>
      <family val="2"/>
    </font>
    <font>
      <b/>
      <sz val="9"/>
      <color rgb="FF0000FF"/>
      <name val="Arial"/>
      <family val="2"/>
    </font>
    <font>
      <sz val="10"/>
      <color rgb="FF0000FF"/>
      <name val="Arial"/>
      <family val="2"/>
    </font>
    <font>
      <sz val="10"/>
      <color rgb="FF000000"/>
      <name val="Arial"/>
      <family val="2"/>
    </font>
    <font>
      <sz val="10"/>
      <color rgb="FF00B050"/>
      <name val="Arial"/>
      <family val="2"/>
    </font>
    <font>
      <i/>
      <sz val="10"/>
      <color rgb="FF000000"/>
      <name val="Arial"/>
      <family val="2"/>
    </font>
    <font>
      <i/>
      <sz val="8"/>
      <color rgb="FF000000"/>
      <name val="Arial"/>
      <family val="2"/>
    </font>
    <font>
      <sz val="11"/>
      <name val="Calibri"/>
      <family val="2"/>
    </font>
    <font>
      <sz val="8"/>
      <name val="Calibri"/>
      <family val="2"/>
    </font>
    <font>
      <sz val="12"/>
      <name val="Helv"/>
    </font>
    <font>
      <u/>
      <sz val="16"/>
      <color indexed="12"/>
      <name val="Calibri"/>
      <family val="2"/>
    </font>
    <font>
      <b/>
      <sz val="14"/>
      <name val="Arial"/>
      <family val="2"/>
    </font>
    <font>
      <b/>
      <sz val="12"/>
      <color indexed="9"/>
      <name val="Arial"/>
      <family val="2"/>
    </font>
    <font>
      <sz val="10"/>
      <color indexed="18"/>
      <name val="Arial"/>
      <family val="2"/>
    </font>
    <font>
      <sz val="10"/>
      <color indexed="9"/>
      <name val="Arial"/>
      <family val="2"/>
    </font>
    <font>
      <i/>
      <sz val="12"/>
      <name val="Arial"/>
      <family val="2"/>
    </font>
    <font>
      <sz val="12"/>
      <color indexed="9"/>
      <name val="Arial"/>
      <family val="2"/>
    </font>
    <font>
      <b/>
      <sz val="14"/>
      <color indexed="9"/>
      <name val="Arial"/>
      <family val="2"/>
    </font>
    <font>
      <sz val="12"/>
      <color indexed="8"/>
      <name val="Arial"/>
      <family val="2"/>
    </font>
    <font>
      <b/>
      <sz val="12"/>
      <color indexed="10"/>
      <name val="Arial"/>
      <family val="2"/>
    </font>
    <font>
      <i/>
      <sz val="8.5"/>
      <color theme="1"/>
      <name val="Arial"/>
      <family val="2"/>
    </font>
    <font>
      <i/>
      <sz val="8.5"/>
      <color rgb="FF0000FF"/>
      <name val="Arial"/>
      <family val="2"/>
    </font>
    <font>
      <i/>
      <sz val="8.5"/>
      <color theme="1"/>
      <name val="Cambria"/>
      <family val="2"/>
      <scheme val="minor"/>
    </font>
    <font>
      <b/>
      <i/>
      <sz val="8.5"/>
      <color theme="1"/>
      <name val="Arial"/>
      <family val="2"/>
    </font>
    <font>
      <sz val="8.5"/>
      <color theme="1"/>
      <name val="Cambria"/>
      <family val="2"/>
      <scheme val="minor"/>
    </font>
    <font>
      <i/>
      <sz val="9"/>
      <color theme="1"/>
      <name val="Arial"/>
      <family val="2"/>
    </font>
    <font>
      <b/>
      <sz val="8.5"/>
      <color theme="1"/>
      <name val="Arial"/>
      <family val="2"/>
    </font>
    <font>
      <sz val="8.5"/>
      <color theme="1"/>
      <name val="Arial"/>
      <family val="2"/>
    </font>
    <font>
      <i/>
      <sz val="9"/>
      <color theme="0"/>
      <name val="Calibri"/>
      <family val="2"/>
    </font>
    <font>
      <i/>
      <sz val="8"/>
      <color rgb="FF0000FF"/>
      <name val="Arial"/>
      <family val="2"/>
    </font>
    <font>
      <b/>
      <sz val="10"/>
      <color rgb="FF000000"/>
      <name val="Arial"/>
      <family val="2"/>
    </font>
    <font>
      <b/>
      <sz val="9"/>
      <color indexed="81"/>
      <name val="Tahoma"/>
      <charset val="1"/>
    </font>
  </fonts>
  <fills count="93">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8"/>
      </patternFill>
    </fill>
    <fill>
      <patternFill patternType="solid">
        <fgColor indexed="56"/>
      </patternFill>
    </fill>
    <fill>
      <patternFill patternType="solid">
        <fgColor indexed="9"/>
      </patternFill>
    </fill>
    <fill>
      <patternFill patternType="solid">
        <fgColor indexed="63"/>
      </patternFill>
    </fill>
    <fill>
      <patternFill patternType="mediumGray">
        <fgColor indexed="22"/>
      </patternFill>
    </fill>
    <fill>
      <patternFill patternType="solid">
        <fgColor theme="6" tint="0.39997558519241921"/>
        <bgColor indexed="64"/>
      </patternFill>
    </fill>
    <fill>
      <patternFill patternType="solid">
        <fgColor theme="9" tint="0.59999389629810485"/>
        <bgColor indexed="64"/>
      </patternFill>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indexed="15"/>
        <bgColor indexed="64"/>
      </patternFill>
    </fill>
    <fill>
      <patternFill patternType="solid">
        <fgColor indexed="42"/>
        <bgColor indexed="64"/>
      </patternFill>
    </fill>
    <fill>
      <patternFill patternType="lightGray">
        <fgColor indexed="13"/>
      </patternFill>
    </fill>
    <fill>
      <patternFill patternType="solid">
        <fgColor theme="0"/>
        <bgColor indexed="64"/>
      </patternFill>
    </fill>
    <fill>
      <patternFill patternType="solid">
        <fgColor rgb="FFB3110D"/>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indexed="13"/>
        <bgColor indexed="64"/>
      </patternFill>
    </fill>
    <fill>
      <patternFill patternType="lightGray">
        <fgColor indexed="12"/>
      </patternFill>
    </fill>
    <fill>
      <patternFill patternType="solid">
        <fgColor indexed="54"/>
      </patternFill>
    </fill>
    <fill>
      <patternFill patternType="gray125">
        <fgColor indexed="22"/>
      </patternFill>
    </fill>
    <fill>
      <patternFill patternType="solid">
        <fgColor indexed="13"/>
      </patternFill>
    </fill>
    <fill>
      <patternFill patternType="solid">
        <fgColor theme="7"/>
        <bgColor indexed="64"/>
      </patternFill>
    </fill>
    <fill>
      <patternFill patternType="solid">
        <fgColor rgb="FF00B0F0"/>
        <bgColor indexed="64"/>
      </patternFill>
    </fill>
    <fill>
      <patternFill patternType="solid">
        <fgColor rgb="FF0070C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FF00"/>
        <bgColor indexed="64"/>
      </patternFill>
    </fill>
    <fill>
      <patternFill patternType="solid">
        <fgColor indexed="47"/>
        <bgColor indexed="8"/>
      </patternFill>
    </fill>
    <fill>
      <patternFill patternType="solid">
        <fgColor indexed="44"/>
        <bgColor indexed="64"/>
      </patternFill>
    </fill>
    <fill>
      <patternFill patternType="solid">
        <fgColor indexed="57"/>
        <bgColor indexed="8"/>
      </patternFill>
    </fill>
    <fill>
      <patternFill patternType="solid">
        <fgColor indexed="23"/>
        <bgColor indexed="8"/>
      </patternFill>
    </fill>
    <fill>
      <patternFill patternType="solid">
        <fgColor indexed="45"/>
        <bgColor indexed="8"/>
      </patternFill>
    </fill>
    <fill>
      <patternFill patternType="solid">
        <fgColor indexed="17"/>
        <bgColor indexed="64"/>
      </patternFill>
    </fill>
    <fill>
      <patternFill patternType="solid">
        <fgColor indexed="57"/>
        <bgColor indexed="64"/>
      </patternFill>
    </fill>
    <fill>
      <patternFill patternType="solid">
        <fgColor rgb="FF002060"/>
        <bgColor indexed="64"/>
      </patternFill>
    </fill>
  </fills>
  <borders count="337">
    <border>
      <left/>
      <right/>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auto="1"/>
      </right>
      <top style="medium">
        <color auto="1"/>
      </top>
      <bottom style="hair">
        <color auto="1"/>
      </bottom>
      <diagonal/>
    </border>
    <border>
      <left style="thin">
        <color auto="1"/>
      </left>
      <right style="thin">
        <color auto="1"/>
      </right>
      <top style="hair">
        <color auto="1"/>
      </top>
      <bottom/>
      <diagonal/>
    </border>
    <border>
      <left style="double">
        <color indexed="62"/>
      </left>
      <right style="double">
        <color indexed="62"/>
      </right>
      <top style="double">
        <color indexed="62"/>
      </top>
      <bottom style="double">
        <color indexed="62"/>
      </bottom>
      <diagonal/>
    </border>
    <border>
      <left/>
      <right/>
      <top/>
      <bottom style="thick">
        <color indexed="48"/>
      </bottom>
      <diagonal/>
    </border>
    <border>
      <left/>
      <right/>
      <top/>
      <bottom style="medium">
        <color indexed="48"/>
      </bottom>
      <diagonal/>
    </border>
    <border>
      <left style="medium">
        <color auto="1"/>
      </left>
      <right style="medium">
        <color auto="1"/>
      </right>
      <top style="medium">
        <color auto="1"/>
      </top>
      <bottom style="hair">
        <color auto="1"/>
      </bottom>
      <diagonal/>
    </border>
    <border>
      <left/>
      <right/>
      <top/>
      <bottom style="double">
        <color indexed="51"/>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bottom style="medium">
        <color auto="1"/>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auto="1"/>
      </top>
      <bottom style="thin">
        <color auto="1"/>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dotted">
        <color indexed="64"/>
      </left>
      <right/>
      <top/>
      <bottom style="dotted">
        <color indexed="64"/>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right/>
      <top/>
      <bottom style="thin">
        <color indexed="8"/>
      </bottom>
      <diagonal/>
    </border>
    <border>
      <left style="thin">
        <color indexed="9"/>
      </left>
      <right style="thin">
        <color indexed="9"/>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4"/>
      </bottom>
      <diagonal/>
    </border>
    <border>
      <left style="thick">
        <color indexed="9"/>
      </left>
      <right style="thick">
        <color indexed="9"/>
      </right>
      <top/>
      <bottom style="double">
        <color indexed="64"/>
      </bottom>
      <diagonal/>
    </border>
    <border>
      <left/>
      <right/>
      <top style="thin">
        <color indexed="62"/>
      </top>
      <bottom style="double">
        <color indexed="62"/>
      </bottom>
      <diagonal/>
    </border>
    <border>
      <left style="thick">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medium">
        <color indexed="64"/>
      </left>
      <right style="medium">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8"/>
      </top>
      <bottom/>
      <diagonal/>
    </border>
    <border>
      <left/>
      <right/>
      <top/>
      <bottom style="double">
        <color indexed="10"/>
      </bottom>
      <diagonal/>
    </border>
    <border>
      <left style="hair">
        <color indexed="64"/>
      </left>
      <right style="hair">
        <color indexed="64"/>
      </right>
      <top style="hair">
        <color indexed="64"/>
      </top>
      <bottom style="hair">
        <color indexed="64"/>
      </bottom>
      <diagonal/>
    </border>
    <border>
      <left style="thin">
        <color indexed="8"/>
      </left>
      <right style="thin">
        <color indexed="8"/>
      </right>
      <top style="thin">
        <color indexed="8"/>
      </top>
      <bottom style="thin">
        <color indexed="8"/>
      </bottom>
      <diagonal/>
    </border>
    <border diagonalDown="1">
      <left/>
      <right/>
      <top/>
      <bottom/>
      <diagonal/>
    </border>
    <border>
      <left/>
      <right style="medium">
        <color auto="1"/>
      </right>
      <top style="medium">
        <color auto="1"/>
      </top>
      <bottom style="hair">
        <color auto="1"/>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right/>
      <top style="medium">
        <color indexed="64"/>
      </top>
      <bottom/>
      <diagonal/>
    </border>
    <border>
      <left/>
      <right/>
      <top style="medium">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medium">
        <color auto="1"/>
      </right>
      <top style="medium">
        <color auto="1"/>
      </top>
      <bottom style="hair">
        <color auto="1"/>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62"/>
      </top>
      <bottom style="double">
        <color indexed="62"/>
      </bottom>
      <diagonal/>
    </border>
    <border>
      <left/>
      <right/>
      <top style="thin">
        <color indexed="48"/>
      </top>
      <bottom style="double">
        <color indexed="48"/>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auto="1"/>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medium">
        <color indexed="64"/>
      </left>
      <right style="medium">
        <color indexed="64"/>
      </right>
      <top style="thin">
        <color indexed="64"/>
      </top>
      <bottom style="thin">
        <color indexed="64"/>
      </bottom>
      <diagonal/>
    </border>
    <border>
      <left/>
      <right/>
      <top style="thin">
        <color indexed="8"/>
      </top>
      <bottom/>
      <diagonal/>
    </border>
    <border>
      <left/>
      <right/>
      <top/>
      <bottom style="thin">
        <color indexed="8"/>
      </bottom>
      <diagonal/>
    </border>
    <border>
      <left/>
      <right/>
      <top style="medium">
        <color indexed="8"/>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auto="1"/>
      </top>
      <bottom style="thin">
        <color auto="1"/>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style="thin">
        <color indexed="64"/>
      </right>
      <top style="thin">
        <color indexed="64"/>
      </top>
      <bottom style="thin">
        <color indexed="64"/>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medium">
        <color auto="1"/>
      </top>
      <bottom/>
      <diagonal/>
    </border>
    <border>
      <left style="medium">
        <color indexed="64"/>
      </left>
      <right style="medium">
        <color indexed="64"/>
      </right>
      <top style="medium">
        <color auto="1"/>
      </top>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medium">
        <color auto="1"/>
      </bottom>
      <diagonal/>
    </border>
    <border>
      <left/>
      <right style="thin">
        <color indexed="64"/>
      </right>
      <top style="thin">
        <color indexed="64"/>
      </top>
      <bottom style="medium">
        <color auto="1"/>
      </bottom>
      <diagonal/>
    </border>
    <border>
      <left style="thin">
        <color auto="1"/>
      </left>
      <right style="thin">
        <color auto="1"/>
      </right>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3695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xf numFmtId="0" fontId="16" fillId="0" borderId="0"/>
    <xf numFmtId="0" fontId="1" fillId="0" borderId="0"/>
    <xf numFmtId="0" fontId="2"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75" fontId="18" fillId="0" borderId="0"/>
    <xf numFmtId="175" fontId="19" fillId="0" borderId="0"/>
    <xf numFmtId="44" fontId="18" fillId="0" borderId="0" applyFont="0" applyFill="0" applyBorder="0" applyAlignment="0" applyProtection="0"/>
    <xf numFmtId="175" fontId="18" fillId="0" borderId="0"/>
    <xf numFmtId="175" fontId="19" fillId="0" borderId="0"/>
    <xf numFmtId="176" fontId="20" fillId="0" borderId="0"/>
    <xf numFmtId="0" fontId="2" fillId="0" borderId="0"/>
    <xf numFmtId="43" fontId="2" fillId="0" borderId="0" applyFont="0" applyFill="0" applyBorder="0" applyAlignment="0" applyProtection="0"/>
    <xf numFmtId="0" fontId="9" fillId="0" borderId="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1" fillId="0" borderId="0"/>
    <xf numFmtId="0" fontId="2" fillId="0" borderId="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28" fillId="27"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8" fillId="34" borderId="0" applyNumberFormat="0" applyBorder="0" applyAlignment="0" applyProtection="0"/>
    <xf numFmtId="0" fontId="29" fillId="18" borderId="0" applyNumberFormat="0" applyBorder="0" applyAlignment="0" applyProtection="0"/>
    <xf numFmtId="0" fontId="30" fillId="35" borderId="22" applyNumberFormat="0" applyAlignment="0" applyProtection="0"/>
    <xf numFmtId="0" fontId="31" fillId="36" borderId="23" applyNumberFormat="0" applyAlignment="0" applyProtection="0"/>
    <xf numFmtId="0" fontId="32" fillId="0" borderId="0" applyNumberFormat="0" applyFill="0" applyBorder="0" applyAlignment="0" applyProtection="0"/>
    <xf numFmtId="0" fontId="33" fillId="19" borderId="0" applyNumberFormat="0" applyBorder="0" applyAlignment="0" applyProtection="0"/>
    <xf numFmtId="0" fontId="34" fillId="0" borderId="24" applyNumberFormat="0" applyFill="0" applyAlignment="0" applyProtection="0"/>
    <xf numFmtId="0" fontId="35" fillId="0" borderId="25" applyNumberFormat="0" applyFill="0" applyAlignment="0" applyProtection="0"/>
    <xf numFmtId="0" fontId="36" fillId="0" borderId="26" applyNumberFormat="0" applyFill="0" applyAlignment="0" applyProtection="0"/>
    <xf numFmtId="0" fontId="36" fillId="0" borderId="0" applyNumberFormat="0" applyFill="0" applyBorder="0" applyAlignment="0" applyProtection="0"/>
    <xf numFmtId="0" fontId="37" fillId="22" borderId="22" applyNumberFormat="0" applyAlignment="0" applyProtection="0"/>
    <xf numFmtId="0" fontId="38" fillId="0" borderId="27" applyNumberFormat="0" applyFill="0" applyAlignment="0" applyProtection="0"/>
    <xf numFmtId="0" fontId="39" fillId="37" borderId="0" applyNumberFormat="0" applyBorder="0" applyAlignment="0" applyProtection="0"/>
    <xf numFmtId="0" fontId="2" fillId="38" borderId="28" applyNumberFormat="0" applyFont="0" applyAlignment="0" applyProtection="0"/>
    <xf numFmtId="0" fontId="40" fillId="35" borderId="29" applyNumberFormat="0" applyAlignment="0" applyProtection="0"/>
    <xf numFmtId="0" fontId="41" fillId="0" borderId="0" applyNumberFormat="0" applyFill="0" applyBorder="0" applyAlignment="0" applyProtection="0"/>
    <xf numFmtId="0" fontId="42" fillId="0" borderId="30" applyNumberFormat="0" applyFill="0" applyAlignment="0" applyProtection="0"/>
    <xf numFmtId="0" fontId="43" fillId="0" borderId="0" applyNumberFormat="0" applyFill="0" applyBorder="0" applyAlignment="0" applyProtection="0"/>
    <xf numFmtId="0" fontId="1" fillId="0" borderId="0"/>
    <xf numFmtId="9"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177" fontId="44" fillId="0" borderId="31" applyFill="0" applyBorder="0" applyProtection="0">
      <alignment horizontal="right"/>
      <protection locked="0"/>
    </xf>
    <xf numFmtId="178" fontId="44" fillId="0" borderId="31" applyFill="0" applyBorder="0" applyProtection="0">
      <alignment horizontal="right"/>
      <protection locked="0"/>
    </xf>
    <xf numFmtId="179" fontId="44" fillId="0" borderId="31" applyFill="0" applyBorder="0" applyProtection="0">
      <alignment horizontal="right"/>
      <protection locked="0"/>
    </xf>
    <xf numFmtId="0" fontId="10" fillId="22"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0" fillId="2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0" fillId="3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0" fillId="2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0" fillId="3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0" fillId="3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0" fillId="37"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0" fillId="35"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0" fillId="37"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28" fillId="39" borderId="0" applyNumberFormat="0" applyBorder="0" applyAlignment="0" applyProtection="0"/>
    <xf numFmtId="0" fontId="28" fillId="37" borderId="0" applyNumberFormat="0" applyBorder="0" applyAlignment="0" applyProtection="0"/>
    <xf numFmtId="0" fontId="28" fillId="35" borderId="0" applyNumberFormat="0" applyBorder="0" applyAlignment="0" applyProtection="0"/>
    <xf numFmtId="0" fontId="28" fillId="39" borderId="0" applyNumberFormat="0" applyBorder="0" applyAlignment="0" applyProtection="0"/>
    <xf numFmtId="0" fontId="28" fillId="24"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34" borderId="0" applyNumberFormat="0" applyBorder="0" applyAlignment="0" applyProtection="0"/>
    <xf numFmtId="0" fontId="28" fillId="39" borderId="0" applyNumberFormat="0" applyBorder="0" applyAlignment="0" applyProtection="0"/>
    <xf numFmtId="0" fontId="28" fillId="30" borderId="0" applyNumberFormat="0" applyBorder="0" applyAlignment="0" applyProtection="0"/>
    <xf numFmtId="0" fontId="45" fillId="0" borderId="32" applyNumberFormat="0" applyBorder="0" applyAlignment="0" applyProtection="0">
      <alignment horizontal="center" vertical="top"/>
      <protection locked="0"/>
    </xf>
    <xf numFmtId="0" fontId="46" fillId="3" borderId="32" applyNumberFormat="0" applyBorder="0" applyAlignment="0" applyProtection="0">
      <alignment horizontal="center" vertical="top"/>
      <protection locked="0"/>
    </xf>
    <xf numFmtId="0" fontId="47" fillId="41" borderId="22" applyNumberFormat="0" applyAlignment="0" applyProtection="0"/>
    <xf numFmtId="0" fontId="31" fillId="42" borderId="33"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0" fontId="48" fillId="0" borderId="0" applyFill="0" applyBorder="0" applyProtection="0">
      <alignment horizontal="centerContinuous"/>
      <protection locked="0"/>
    </xf>
    <xf numFmtId="0" fontId="4" fillId="0" borderId="14" applyNumberFormat="0" applyAlignment="0" applyProtection="0">
      <alignment horizontal="left" vertical="center"/>
    </xf>
    <xf numFmtId="0" fontId="4" fillId="0" borderId="1">
      <alignment horizontal="left" vertical="center"/>
    </xf>
    <xf numFmtId="0" fontId="49" fillId="0" borderId="34" applyNumberFormat="0" applyFill="0" applyAlignment="0" applyProtection="0"/>
    <xf numFmtId="0" fontId="50" fillId="0" borderId="25" applyNumberFormat="0" applyFill="0" applyAlignment="0" applyProtection="0"/>
    <xf numFmtId="0" fontId="51" fillId="0" borderId="35" applyNumberFormat="0" applyFill="0" applyAlignment="0" applyProtection="0"/>
    <xf numFmtId="0" fontId="51" fillId="0" borderId="0" applyNumberFormat="0" applyFill="0" applyBorder="0" applyAlignment="0" applyProtection="0"/>
    <xf numFmtId="181" fontId="44" fillId="0" borderId="36" applyFill="0" applyBorder="0" applyProtection="0">
      <alignment horizontal="center"/>
      <protection locked="0"/>
    </xf>
    <xf numFmtId="182" fontId="44" fillId="0" borderId="36" applyFill="0" applyBorder="0" applyProtection="0">
      <alignment horizontal="center"/>
      <protection locked="0"/>
    </xf>
    <xf numFmtId="0" fontId="52" fillId="37" borderId="22" applyNumberFormat="0" applyAlignment="0" applyProtection="0"/>
    <xf numFmtId="0" fontId="53" fillId="0" borderId="37" applyNumberFormat="0" applyFill="0" applyAlignment="0" applyProtection="0"/>
    <xf numFmtId="183" fontId="2" fillId="0" borderId="0" applyFont="0" applyFill="0" applyBorder="0" applyAlignment="0" applyProtection="0"/>
    <xf numFmtId="183" fontId="2" fillId="0" borderId="0" applyFont="0" applyFill="0" applyBorder="0" applyAlignment="0" applyProtection="0"/>
    <xf numFmtId="183" fontId="2" fillId="0" borderId="0" applyFont="0" applyFill="0" applyBorder="0" applyAlignment="0" applyProtection="0"/>
    <xf numFmtId="183"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7" fontId="44" fillId="0" borderId="36" applyFill="0" applyBorder="0" applyProtection="0">
      <alignment horizontal="center"/>
      <protection locked="0"/>
    </xf>
    <xf numFmtId="0" fontId="54" fillId="37" borderId="0" applyNumberFormat="0" applyBorder="0" applyAlignment="0" applyProtection="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38" borderId="28"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188" fontId="44" fillId="0" borderId="36" applyFill="0" applyBorder="0" applyProtection="0">
      <alignment horizontal="center"/>
      <protection locked="0"/>
    </xf>
    <xf numFmtId="0" fontId="55" fillId="41" borderId="38"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 fontId="45" fillId="0" borderId="39" applyNumberFormat="0" applyFont="0" applyFill="0" applyAlignment="0" applyProtection="0">
      <alignment horizontal="center"/>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15" fontId="15" fillId="0" borderId="0" applyFont="0" applyFill="0" applyBorder="0" applyAlignment="0" applyProtection="0"/>
    <xf numFmtId="15"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0" fontId="56" fillId="0" borderId="18">
      <alignment horizontal="center"/>
    </xf>
    <xf numFmtId="3" fontId="15" fillId="0" borderId="0" applyFont="0" applyFill="0" applyBorder="0" applyAlignment="0" applyProtection="0"/>
    <xf numFmtId="3" fontId="15" fillId="0" borderId="0" applyFont="0" applyFill="0" applyBorder="0" applyAlignment="0" applyProtection="0"/>
    <xf numFmtId="0" fontId="15" fillId="43" borderId="0" applyNumberFormat="0" applyFont="0" applyBorder="0" applyAlignment="0" applyProtection="0"/>
    <xf numFmtId="0" fontId="15" fillId="43" borderId="0" applyNumberFormat="0" applyFont="0" applyBorder="0" applyAlignment="0" applyProtection="0"/>
    <xf numFmtId="189" fontId="48" fillId="0" borderId="0" applyFill="0" applyBorder="0" applyProtection="0">
      <alignment horizontal="centerContinuous"/>
      <protection locked="0"/>
    </xf>
    <xf numFmtId="0" fontId="57" fillId="0" borderId="32" applyNumberFormat="0" applyBorder="0" applyAlignment="0" applyProtection="0">
      <alignment horizontal="center" vertical="top"/>
      <protection locked="0"/>
    </xf>
    <xf numFmtId="0" fontId="58" fillId="0" borderId="0" applyNumberFormat="0" applyFill="0" applyBorder="0" applyAlignment="0" applyProtection="0"/>
    <xf numFmtId="0" fontId="42" fillId="0" borderId="40" applyNumberFormat="0" applyFill="0" applyAlignment="0" applyProtection="0"/>
    <xf numFmtId="0" fontId="9" fillId="0" borderId="0"/>
    <xf numFmtId="0" fontId="56" fillId="0" borderId="41">
      <alignment horizontal="center"/>
    </xf>
    <xf numFmtId="193" fontId="15" fillId="0" borderId="0" applyFont="0" applyFill="0" applyBorder="0" applyAlignment="0" applyProtection="0"/>
    <xf numFmtId="194" fontId="15" fillId="0" borderId="0" applyFont="0" applyFill="0" applyBorder="0" applyAlignment="0" applyProtection="0"/>
    <xf numFmtId="195" fontId="15" fillId="0" borderId="0" applyFont="0" applyFill="0" applyBorder="0" applyAlignment="0" applyProtection="0"/>
    <xf numFmtId="0" fontId="7" fillId="0" borderId="0"/>
    <xf numFmtId="0" fontId="7" fillId="0" borderId="0"/>
    <xf numFmtId="0" fontId="73" fillId="46"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ill="0" applyBorder="0" applyAlignment="0" applyProtection="0"/>
    <xf numFmtId="37" fontId="15" fillId="0" borderId="0" applyFont="0" applyFill="0" applyBorder="0" applyAlignment="0" applyProtection="0"/>
    <xf numFmtId="196" fontId="15" fillId="0" borderId="0" applyFont="0" applyFill="0" applyBorder="0" applyAlignment="0" applyProtection="0"/>
    <xf numFmtId="197" fontId="15" fillId="0" borderId="0" applyFont="0" applyFill="0" applyBorder="0" applyAlignment="0" applyProtection="0"/>
    <xf numFmtId="197" fontId="15" fillId="0" borderId="0" applyFont="0" applyFill="0" applyBorder="0" applyAlignment="0" applyProtection="0"/>
    <xf numFmtId="196" fontId="15" fillId="0" borderId="0" applyFont="0" applyFill="0" applyBorder="0" applyAlignment="0" applyProtection="0"/>
    <xf numFmtId="196" fontId="15" fillId="0" borderId="0" applyFont="0" applyFill="0" applyBorder="0" applyAlignment="0" applyProtection="0"/>
    <xf numFmtId="39" fontId="15" fillId="0" borderId="0" applyFont="0" applyFill="0" applyBorder="0" applyAlignment="0" applyProtection="0"/>
    <xf numFmtId="198" fontId="15" fillId="0" borderId="6" applyFont="0" applyFill="0" applyBorder="0" applyAlignment="0" applyProtection="0"/>
    <xf numFmtId="199" fontId="15" fillId="0" borderId="0"/>
    <xf numFmtId="200" fontId="15" fillId="0" borderId="0"/>
    <xf numFmtId="200" fontId="15" fillId="0" borderId="0"/>
    <xf numFmtId="199" fontId="15" fillId="0" borderId="0"/>
    <xf numFmtId="199" fontId="15" fillId="0" borderId="0"/>
    <xf numFmtId="199" fontId="15" fillId="0" borderId="0"/>
    <xf numFmtId="44" fontId="2" fillId="0" borderId="0" applyFont="0" applyFill="0" applyBorder="0" applyAlignment="0" applyProtection="0"/>
    <xf numFmtId="196" fontId="74" fillId="0" borderId="0" applyFill="0" applyBorder="0" applyAlignment="0" applyProtection="0">
      <alignment horizontal="left" vertical="center" wrapText="1"/>
    </xf>
    <xf numFmtId="169" fontId="74" fillId="0" borderId="0"/>
    <xf numFmtId="0" fontId="14" fillId="0" borderId="0" applyNumberFormat="0" applyFill="0" applyBorder="0" applyAlignment="0" applyProtection="0">
      <alignment vertical="top"/>
      <protection locked="0"/>
    </xf>
    <xf numFmtId="201" fontId="75" fillId="0" borderId="50" applyBorder="0">
      <alignment horizontal="right"/>
    </xf>
    <xf numFmtId="0" fontId="76" fillId="0" borderId="0"/>
    <xf numFmtId="0" fontId="77" fillId="0" borderId="0"/>
    <xf numFmtId="0" fontId="78" fillId="47" borderId="0"/>
    <xf numFmtId="0" fontId="79" fillId="48" borderId="0"/>
    <xf numFmtId="0" fontId="79" fillId="48" borderId="0"/>
    <xf numFmtId="0" fontId="80"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175" fontId="19" fillId="0" borderId="0"/>
    <xf numFmtId="175" fontId="19" fillId="0" borderId="0"/>
    <xf numFmtId="0" fontId="2" fillId="0" borderId="0"/>
    <xf numFmtId="0" fontId="1" fillId="0" borderId="0"/>
    <xf numFmtId="0" fontId="1" fillId="0" borderId="0"/>
    <xf numFmtId="0" fontId="1" fillId="0" borderId="0"/>
    <xf numFmtId="175" fontId="18" fillId="0" borderId="0"/>
    <xf numFmtId="0" fontId="1" fillId="0" borderId="0"/>
    <xf numFmtId="0" fontId="9" fillId="0" borderId="0"/>
    <xf numFmtId="169" fontId="81" fillId="0" borderId="0" applyBorder="0"/>
    <xf numFmtId="169" fontId="82"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0" fontId="56" fillId="0" borderId="41">
      <alignment horizontal="center"/>
    </xf>
    <xf numFmtId="0" fontId="83" fillId="49" borderId="0"/>
    <xf numFmtId="0" fontId="56" fillId="0" borderId="0" applyNumberFormat="0" applyFill="0" applyBorder="0" applyAlignment="0" applyProtection="0"/>
    <xf numFmtId="0" fontId="84" fillId="0" borderId="0"/>
    <xf numFmtId="0" fontId="85" fillId="0" borderId="0"/>
    <xf numFmtId="0" fontId="21" fillId="0" borderId="0">
      <alignment vertical="top"/>
    </xf>
    <xf numFmtId="0" fontId="8" fillId="0" borderId="0"/>
    <xf numFmtId="0" fontId="8" fillId="0" borderId="0"/>
    <xf numFmtId="0" fontId="12" fillId="0" borderId="0">
      <alignment vertical="top"/>
    </xf>
    <xf numFmtId="0" fontId="86" fillId="0" borderId="0">
      <alignment vertical="top"/>
    </xf>
    <xf numFmtId="0" fontId="99" fillId="0" borderId="0"/>
    <xf numFmtId="0" fontId="120" fillId="0" borderId="0" applyFont="0" applyFill="0" applyBorder="0" applyAlignment="0" applyProtection="0"/>
    <xf numFmtId="0" fontId="120" fillId="0" borderId="0" applyFont="0" applyFill="0" applyBorder="0" applyAlignment="0" applyProtection="0"/>
    <xf numFmtId="0" fontId="121" fillId="0" borderId="0"/>
    <xf numFmtId="0" fontId="120" fillId="0" borderId="0" applyFont="0" applyFill="0" applyBorder="0" applyAlignment="0" applyProtection="0"/>
    <xf numFmtId="0" fontId="121" fillId="0" borderId="0"/>
    <xf numFmtId="0" fontId="120" fillId="0" borderId="0" applyFont="0" applyFill="0" applyBorder="0" applyAlignment="0" applyProtection="0"/>
    <xf numFmtId="0" fontId="122" fillId="0" borderId="0">
      <alignment horizontal="right"/>
    </xf>
    <xf numFmtId="0" fontId="122" fillId="3" borderId="0"/>
    <xf numFmtId="0" fontId="123" fillId="3" borderId="0"/>
    <xf numFmtId="0" fontId="123" fillId="3" borderId="0"/>
    <xf numFmtId="0" fontId="123" fillId="3" borderId="0"/>
    <xf numFmtId="0" fontId="123" fillId="3" borderId="0">
      <alignment horizontal="right"/>
    </xf>
    <xf numFmtId="0" fontId="120" fillId="0" borderId="0" applyFont="0" applyFill="0" applyBorder="0" applyAlignment="0" applyProtection="0"/>
    <xf numFmtId="0" fontId="120" fillId="0" borderId="0" applyFont="0" applyFill="0" applyBorder="0" applyAlignment="0" applyProtection="0"/>
    <xf numFmtId="10" fontId="124" fillId="0" borderId="0" applyFont="0" applyFill="0" applyBorder="0" applyAlignment="0" applyProtection="0"/>
    <xf numFmtId="9" fontId="125" fillId="0" borderId="0"/>
    <xf numFmtId="169" fontId="125" fillId="0" borderId="0"/>
    <xf numFmtId="10" fontId="125" fillId="0" borderId="0"/>
    <xf numFmtId="0" fontId="126" fillId="0" borderId="0" applyNumberFormat="0" applyFill="0" applyBorder="0" applyAlignment="0" applyProtection="0"/>
    <xf numFmtId="0" fontId="96" fillId="0" borderId="0" applyFont="0" applyFill="0" applyBorder="0" applyAlignment="0"/>
    <xf numFmtId="0" fontId="125" fillId="0" borderId="0" applyFont="0" applyFill="0" applyBorder="0" applyAlignment="0" applyProtection="0"/>
    <xf numFmtId="0" fontId="127" fillId="0" borderId="0" applyFont="0" applyFill="0" applyBorder="0" applyAlignment="0" applyProtection="0"/>
    <xf numFmtId="0" fontId="127" fillId="0" borderId="0" applyFont="0" applyFill="0" applyBorder="0" applyAlignment="0" applyProtection="0"/>
    <xf numFmtId="0" fontId="127" fillId="0" borderId="0" applyFont="0" applyFill="0" applyBorder="0" applyAlignment="0" applyProtection="0"/>
    <xf numFmtId="0" fontId="127" fillId="0" borderId="0" applyFont="0" applyFill="0" applyBorder="0" applyAlignment="0" applyProtection="0"/>
    <xf numFmtId="0" fontId="127" fillId="0" borderId="0" applyFont="0" applyFill="0" applyBorder="0" applyAlignment="0" applyProtection="0"/>
    <xf numFmtId="0" fontId="128" fillId="0" borderId="0" applyFont="0" applyFill="0" applyBorder="0" applyAlignment="0" applyProtection="0"/>
    <xf numFmtId="0" fontId="125" fillId="0" borderId="0" applyFont="0" applyFill="0" applyBorder="0" applyAlignment="0" applyProtection="0"/>
    <xf numFmtId="173" fontId="15" fillId="0" borderId="0"/>
    <xf numFmtId="169" fontId="15" fillId="0" borderId="0"/>
    <xf numFmtId="2" fontId="15" fillId="0" borderId="0"/>
    <xf numFmtId="205" fontId="129" fillId="0" borderId="0" applyFont="0" applyFill="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0" borderId="0" applyNumberFormat="0" applyBorder="0" applyAlignment="0" applyProtection="0"/>
    <xf numFmtId="0" fontId="25" fillId="23" borderId="0" applyNumberFormat="0" applyBorder="0" applyAlignment="0" applyProtection="0"/>
    <xf numFmtId="0" fontId="25" fillId="26" borderId="0" applyNumberFormat="0" applyBorder="0" applyAlignment="0" applyProtection="0"/>
    <xf numFmtId="0" fontId="104" fillId="27" borderId="0" applyNumberFormat="0" applyBorder="0" applyAlignment="0" applyProtection="0"/>
    <xf numFmtId="0" fontId="104" fillId="24" borderId="0" applyNumberFormat="0" applyBorder="0" applyAlignment="0" applyProtection="0"/>
    <xf numFmtId="0" fontId="104" fillId="25" borderId="0" applyNumberFormat="0" applyBorder="0" applyAlignment="0" applyProtection="0"/>
    <xf numFmtId="0" fontId="104" fillId="28" borderId="0" applyNumberFormat="0" applyBorder="0" applyAlignment="0" applyProtection="0"/>
    <xf numFmtId="0" fontId="104" fillId="29" borderId="0" applyNumberFormat="0" applyBorder="0" applyAlignment="0" applyProtection="0"/>
    <xf numFmtId="0" fontId="104" fillId="30" borderId="0" applyNumberFormat="0" applyBorder="0" applyAlignment="0" applyProtection="0"/>
    <xf numFmtId="0" fontId="104" fillId="31" borderId="0" applyNumberFormat="0" applyBorder="0" applyAlignment="0" applyProtection="0"/>
    <xf numFmtId="0" fontId="104" fillId="32" borderId="0" applyNumberFormat="0" applyBorder="0" applyAlignment="0" applyProtection="0"/>
    <xf numFmtId="0" fontId="104" fillId="33" borderId="0" applyNumberFormat="0" applyBorder="0" applyAlignment="0" applyProtection="0"/>
    <xf numFmtId="0" fontId="104" fillId="28" borderId="0" applyNumberFormat="0" applyBorder="0" applyAlignment="0" applyProtection="0"/>
    <xf numFmtId="0" fontId="104" fillId="29" borderId="0" applyNumberFormat="0" applyBorder="0" applyAlignment="0" applyProtection="0"/>
    <xf numFmtId="0" fontId="104" fillId="34" borderId="0" applyNumberFormat="0" applyBorder="0" applyAlignment="0" applyProtection="0"/>
    <xf numFmtId="42" fontId="2" fillId="0" borderId="0" applyFont="0" applyFill="0" applyBorder="0" applyAlignment="0" applyProtection="0"/>
    <xf numFmtId="0" fontId="2" fillId="0" borderId="0"/>
    <xf numFmtId="0" fontId="2" fillId="0" borderId="0"/>
    <xf numFmtId="0" fontId="2" fillId="0" borderId="0"/>
    <xf numFmtId="0" fontId="105" fillId="18" borderId="0" applyNumberFormat="0" applyBorder="0" applyAlignment="0" applyProtection="0"/>
    <xf numFmtId="0" fontId="130" fillId="0" borderId="0" applyNumberFormat="0" applyFill="0" applyBorder="0" applyAlignment="0" applyProtection="0"/>
    <xf numFmtId="0" fontId="96" fillId="0" borderId="0"/>
    <xf numFmtId="0" fontId="89" fillId="0" borderId="11" applyNumberFormat="0" applyFill="0" applyAlignment="0" applyProtection="0"/>
    <xf numFmtId="0" fontId="131" fillId="0" borderId="51" applyFill="0" applyProtection="0">
      <alignment horizontal="right"/>
    </xf>
    <xf numFmtId="0" fontId="125" fillId="0" borderId="0" applyFont="0" applyFill="0" applyBorder="0" applyAlignment="0" applyProtection="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106" fillId="35" borderId="52" applyNumberFormat="0" applyAlignment="0" applyProtection="0"/>
    <xf numFmtId="8" fontId="2" fillId="0" borderId="53" applyFont="0" applyFill="0" applyBorder="0" applyProtection="0">
      <alignment horizontal="right"/>
    </xf>
    <xf numFmtId="0" fontId="7" fillId="0" borderId="0" applyAlignment="0"/>
    <xf numFmtId="0" fontId="107" fillId="36" borderId="23" applyNumberFormat="0" applyAlignment="0" applyProtection="0"/>
    <xf numFmtId="0" fontId="73" fillId="46" borderId="0" applyAlignment="0"/>
    <xf numFmtId="0" fontId="132" fillId="0" borderId="0" applyFont="0" applyFill="0" applyBorder="0" applyAlignment="0" applyProtection="0"/>
    <xf numFmtId="40" fontId="2" fillId="0" borderId="0" applyFont="0" applyFill="0" applyBorder="0" applyProtection="0">
      <alignment horizontal="right"/>
    </xf>
    <xf numFmtId="38" fontId="125" fillId="0" borderId="0" applyFill="0" applyBorder="0" applyProtection="0">
      <alignment horizontal="center"/>
    </xf>
    <xf numFmtId="38" fontId="133" fillId="0" borderId="0" applyNumberFormat="0" applyFill="0" applyBorder="0">
      <alignment vertical="center"/>
    </xf>
    <xf numFmtId="7" fontId="2" fillId="0" borderId="0" applyFont="0" applyFill="0" applyBorder="0" applyAlignment="0" applyProtection="0"/>
    <xf numFmtId="0" fontId="96" fillId="0" borderId="0" applyFont="0" applyFill="0" applyBorder="0" applyAlignment="0" applyProtection="0"/>
    <xf numFmtId="8" fontId="134" fillId="0" borderId="0" applyBorder="0"/>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23"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5" fillId="3" borderId="4">
      <alignment horizontal="right"/>
    </xf>
    <xf numFmtId="174" fontId="135" fillId="3" borderId="4">
      <alignment horizontal="right"/>
    </xf>
    <xf numFmtId="0" fontId="135" fillId="3" borderId="4">
      <alignment horizontal="right"/>
    </xf>
    <xf numFmtId="0" fontId="135" fillId="3" borderId="4">
      <alignment horizontal="right"/>
    </xf>
    <xf numFmtId="174" fontId="136" fillId="3" borderId="4">
      <alignment horizontal="right"/>
    </xf>
    <xf numFmtId="0" fontId="135" fillId="3" borderId="4">
      <alignment horizontal="right"/>
    </xf>
    <xf numFmtId="174" fontId="135" fillId="3" borderId="4">
      <alignment horizontal="right"/>
    </xf>
    <xf numFmtId="0" fontId="135" fillId="3" borderId="4">
      <alignment horizontal="right"/>
    </xf>
    <xf numFmtId="0" fontId="135" fillId="3" borderId="4">
      <alignment horizontal="right"/>
    </xf>
    <xf numFmtId="174" fontId="136" fillId="3" borderId="4">
      <alignment horizontal="right"/>
    </xf>
    <xf numFmtId="0" fontId="136"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23"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5" fillId="3" borderId="4">
      <alignment horizontal="right"/>
    </xf>
    <xf numFmtId="174" fontId="135" fillId="3" borderId="4">
      <alignment horizontal="right"/>
    </xf>
    <xf numFmtId="0" fontId="135" fillId="3" borderId="4">
      <alignment horizontal="right"/>
    </xf>
    <xf numFmtId="0" fontId="135" fillId="3" borderId="4">
      <alignment horizontal="right"/>
    </xf>
    <xf numFmtId="174" fontId="136" fillId="3" borderId="4">
      <alignment horizontal="right"/>
    </xf>
    <xf numFmtId="0" fontId="135" fillId="3" borderId="4">
      <alignment horizontal="right"/>
    </xf>
    <xf numFmtId="174" fontId="135" fillId="3" borderId="4">
      <alignment horizontal="right"/>
    </xf>
    <xf numFmtId="0" fontId="135" fillId="3" borderId="4">
      <alignment horizontal="right"/>
    </xf>
    <xf numFmtId="0" fontId="135" fillId="3" borderId="4">
      <alignment horizontal="right"/>
    </xf>
    <xf numFmtId="174" fontId="136" fillId="3" borderId="4">
      <alignment horizontal="right"/>
    </xf>
    <xf numFmtId="0" fontId="136"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6" fillId="3" borderId="4">
      <alignment horizontal="right"/>
    </xf>
    <xf numFmtId="0" fontId="125" fillId="0" borderId="0" applyFont="0" applyFill="0" applyBorder="0" applyAlignment="0" applyProtection="0"/>
    <xf numFmtId="0" fontId="2" fillId="0" borderId="0" applyNumberFormat="0">
      <alignment horizontal="right"/>
    </xf>
    <xf numFmtId="15" fontId="2" fillId="0" borderId="0" applyFont="0" applyFill="0" applyBorder="0" applyProtection="0">
      <alignment horizontal="right"/>
    </xf>
    <xf numFmtId="8" fontId="125" fillId="0" borderId="0" applyFill="0" applyBorder="0" applyProtection="0">
      <alignment horizontal="center"/>
    </xf>
    <xf numFmtId="6" fontId="125" fillId="0" borderId="0">
      <alignment horizontal="center"/>
    </xf>
    <xf numFmtId="8" fontId="125" fillId="0" borderId="0" applyFill="0" applyBorder="0" applyProtection="0">
      <alignment horizontal="center"/>
    </xf>
    <xf numFmtId="0" fontId="128" fillId="0" borderId="0" applyFont="0" applyFill="0" applyBorder="0" applyAlignment="0" applyProtection="0"/>
    <xf numFmtId="4" fontId="125" fillId="0" borderId="0" applyFont="0" applyFill="0" applyBorder="0" applyAlignment="0" applyProtection="0"/>
    <xf numFmtId="174" fontId="128" fillId="0" borderId="0" applyFont="0" applyFill="0" applyBorder="0" applyAlignment="0" applyProtection="0"/>
    <xf numFmtId="0" fontId="123" fillId="50" borderId="0"/>
    <xf numFmtId="0" fontId="123" fillId="50" borderId="0"/>
    <xf numFmtId="0" fontId="124" fillId="50" borderId="0"/>
    <xf numFmtId="0" fontId="124" fillId="0" borderId="0"/>
    <xf numFmtId="0" fontId="123" fillId="50" borderId="0"/>
    <xf numFmtId="0" fontId="135" fillId="0" borderId="0"/>
    <xf numFmtId="0" fontId="135" fillId="0" borderId="0"/>
    <xf numFmtId="0" fontId="120" fillId="0" borderId="0" applyFont="0" applyFill="0" applyBorder="0" applyAlignment="0" applyProtection="0"/>
    <xf numFmtId="0" fontId="137" fillId="0" borderId="0" applyFont="0" applyFill="0" applyBorder="0" applyAlignment="0" applyProtection="0"/>
    <xf numFmtId="0" fontId="108" fillId="0" borderId="0" applyNumberFormat="0" applyFill="0" applyBorder="0" applyAlignment="0" applyProtection="0"/>
    <xf numFmtId="0" fontId="138" fillId="0" borderId="0"/>
    <xf numFmtId="0" fontId="134" fillId="0" borderId="0" applyNumberFormat="0" applyFont="0" applyAlignment="0">
      <alignment vertical="center"/>
    </xf>
    <xf numFmtId="0" fontId="123" fillId="0" borderId="54"/>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23"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6"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23"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23" fillId="3" borderId="4">
      <alignment horizontal="right"/>
    </xf>
    <xf numFmtId="0" fontId="135" fillId="3" borderId="4">
      <alignment horizontal="right"/>
    </xf>
    <xf numFmtId="206" fontId="135" fillId="3" borderId="4">
      <alignment horizontal="right"/>
    </xf>
    <xf numFmtId="0" fontId="135" fillId="3" borderId="4">
      <alignment horizontal="right"/>
    </xf>
    <xf numFmtId="0" fontId="135" fillId="3" borderId="4">
      <alignment horizontal="right"/>
    </xf>
    <xf numFmtId="206" fontId="136"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5" fillId="3" borderId="4">
      <alignment horizontal="right"/>
    </xf>
    <xf numFmtId="208" fontId="135"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36" fillId="3" borderId="4">
      <alignment horizontal="right"/>
    </xf>
    <xf numFmtId="0" fontId="135" fillId="3" borderId="4">
      <alignment horizontal="right"/>
    </xf>
    <xf numFmtId="0" fontId="135" fillId="3" borderId="4">
      <alignment horizontal="right"/>
    </xf>
    <xf numFmtId="0" fontId="136" fillId="3" borderId="4">
      <alignment horizontal="right"/>
    </xf>
    <xf numFmtId="0" fontId="136" fillId="3" borderId="4">
      <alignment horizontal="right"/>
    </xf>
    <xf numFmtId="0" fontId="109" fillId="19" borderId="0" applyNumberFormat="0" applyBorder="0" applyAlignment="0" applyProtection="0"/>
    <xf numFmtId="0" fontId="139" fillId="0" borderId="0">
      <alignment horizontal="center"/>
    </xf>
    <xf numFmtId="0" fontId="11" fillId="0" borderId="0" applyFill="0" applyBorder="0" applyProtection="0">
      <alignment horizontal="right"/>
    </xf>
    <xf numFmtId="0" fontId="110" fillId="0" borderId="24" applyNumberFormat="0" applyFill="0" applyAlignment="0" applyProtection="0"/>
    <xf numFmtId="0" fontId="111" fillId="0" borderId="25" applyNumberFormat="0" applyFill="0" applyAlignment="0" applyProtection="0"/>
    <xf numFmtId="0" fontId="112" fillId="0" borderId="26" applyNumberFormat="0" applyFill="0" applyAlignment="0" applyProtection="0"/>
    <xf numFmtId="0" fontId="112" fillId="0" borderId="0" applyNumberFormat="0" applyFill="0" applyBorder="0" applyAlignment="0" applyProtection="0"/>
    <xf numFmtId="10" fontId="130" fillId="0" borderId="0" applyNumberFormat="0" applyFill="0" applyBorder="0" applyAlignment="0" applyProtection="0">
      <alignment horizontal="right"/>
    </xf>
    <xf numFmtId="0" fontId="113" fillId="22" borderId="52" applyNumberFormat="0" applyAlignment="0" applyProtection="0"/>
    <xf numFmtId="0" fontId="101" fillId="0" borderId="0" applyNumberFormat="0" applyFill="0" applyBorder="0" applyAlignment="0">
      <protection locked="0"/>
    </xf>
    <xf numFmtId="0" fontId="77" fillId="0" borderId="0" applyAlignment="0"/>
    <xf numFmtId="0" fontId="140" fillId="0" borderId="0"/>
    <xf numFmtId="0" fontId="114" fillId="0" borderId="27" applyNumberFormat="0" applyFill="0" applyAlignment="0" applyProtection="0"/>
    <xf numFmtId="196" fontId="2" fillId="0" borderId="0" applyNumberFormat="0" applyFont="0" applyFill="0" applyBorder="0" applyAlignment="0"/>
    <xf numFmtId="0" fontId="122" fillId="0" borderId="0">
      <alignment horizontal="right"/>
    </xf>
    <xf numFmtId="0" fontId="124" fillId="50" borderId="0">
      <alignment horizontal="right"/>
    </xf>
    <xf numFmtId="17" fontId="96" fillId="0" borderId="0"/>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168" fontId="122" fillId="0" borderId="0">
      <alignment horizontal="right"/>
    </xf>
    <xf numFmtId="0" fontId="122" fillId="0" borderId="0">
      <alignment horizontal="right"/>
    </xf>
    <xf numFmtId="0" fontId="122" fillId="0" borderId="0">
      <alignment horizontal="right"/>
    </xf>
    <xf numFmtId="0" fontId="122" fillId="0" borderId="0">
      <alignment horizontal="right"/>
    </xf>
    <xf numFmtId="0" fontId="122" fillId="0" borderId="0">
      <alignment horizontal="right"/>
    </xf>
    <xf numFmtId="168" fontId="122" fillId="0" borderId="0">
      <alignment horizontal="right"/>
    </xf>
    <xf numFmtId="0" fontId="122" fillId="0" borderId="0">
      <alignment horizontal="right"/>
    </xf>
    <xf numFmtId="0" fontId="122" fillId="0" borderId="0">
      <alignment horizontal="right"/>
    </xf>
    <xf numFmtId="0" fontId="12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2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168" fontId="122" fillId="0" borderId="0">
      <alignment horizontal="right"/>
    </xf>
    <xf numFmtId="0" fontId="122" fillId="0" borderId="0">
      <alignment horizontal="right"/>
    </xf>
    <xf numFmtId="0" fontId="122" fillId="0" borderId="0">
      <alignment horizontal="right"/>
    </xf>
    <xf numFmtId="0" fontId="122" fillId="0" borderId="0">
      <alignment horizontal="right"/>
    </xf>
    <xf numFmtId="0" fontId="122" fillId="0" borderId="0">
      <alignment horizontal="right"/>
    </xf>
    <xf numFmtId="168" fontId="122" fillId="0" borderId="0">
      <alignment horizontal="right"/>
    </xf>
    <xf numFmtId="0" fontId="122" fillId="0" borderId="0">
      <alignment horizontal="right"/>
    </xf>
    <xf numFmtId="0" fontId="122" fillId="0" borderId="0">
      <alignment horizontal="right"/>
    </xf>
    <xf numFmtId="0" fontId="12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22" fillId="0" borderId="0">
      <alignment horizontal="right"/>
    </xf>
    <xf numFmtId="205" fontId="122" fillId="0" borderId="0">
      <alignment horizontal="right"/>
    </xf>
    <xf numFmtId="0" fontId="122" fillId="0" borderId="0">
      <alignment horizontal="right"/>
    </xf>
    <xf numFmtId="0" fontId="122" fillId="0" borderId="0">
      <alignment horizontal="right"/>
    </xf>
    <xf numFmtId="0" fontId="122" fillId="0" borderId="0">
      <alignment horizontal="right"/>
    </xf>
    <xf numFmtId="168" fontId="122" fillId="0" borderId="0">
      <alignment horizontal="right"/>
    </xf>
    <xf numFmtId="0" fontId="122" fillId="0" borderId="0">
      <alignment horizontal="right"/>
    </xf>
    <xf numFmtId="0" fontId="122" fillId="0" borderId="0">
      <alignment horizontal="right"/>
    </xf>
    <xf numFmtId="0" fontId="12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22" fillId="0" borderId="0">
      <alignment horizontal="right"/>
    </xf>
    <xf numFmtId="205" fontId="122" fillId="0" borderId="0">
      <alignment horizontal="right"/>
    </xf>
    <xf numFmtId="0" fontId="122" fillId="0" borderId="0">
      <alignment horizontal="right"/>
    </xf>
    <xf numFmtId="0" fontId="122" fillId="0" borderId="0">
      <alignment horizontal="right"/>
    </xf>
    <xf numFmtId="0" fontId="122" fillId="0" borderId="0">
      <alignment horizontal="right"/>
    </xf>
    <xf numFmtId="168" fontId="122" fillId="0" borderId="0">
      <alignment horizontal="right"/>
    </xf>
    <xf numFmtId="0" fontId="122" fillId="0" borderId="0">
      <alignment horizontal="right"/>
    </xf>
    <xf numFmtId="0" fontId="122" fillId="0" borderId="0">
      <alignment horizontal="right"/>
    </xf>
    <xf numFmtId="0" fontId="122" fillId="0" borderId="0">
      <alignment horizontal="right"/>
    </xf>
    <xf numFmtId="0" fontId="92" fillId="0" borderId="0" applyNumberFormat="0" applyFill="0" applyBorder="0" applyProtection="0"/>
    <xf numFmtId="0" fontId="96" fillId="0" borderId="0" applyNumberFormat="0" applyFill="0" applyBorder="0" applyProtection="0"/>
    <xf numFmtId="38" fontId="141" fillId="0" borderId="0" applyNumberFormat="0" applyFill="0" applyBorder="0">
      <alignment horizontal="left" vertical="center"/>
    </xf>
    <xf numFmtId="0" fontId="142" fillId="0" borderId="0" applyFill="0" applyBorder="0">
      <alignment vertical="center"/>
    </xf>
    <xf numFmtId="0" fontId="123" fillId="50" borderId="4">
      <alignment horizontal="right"/>
    </xf>
    <xf numFmtId="210" fontId="125" fillId="0" borderId="0" applyFill="0" applyBorder="0" applyProtection="0">
      <alignment horizontal="center"/>
    </xf>
    <xf numFmtId="212" fontId="125" fillId="0" borderId="0" applyFont="0" applyFill="0" applyBorder="0" applyAlignment="0" applyProtection="0">
      <alignment horizontal="centerContinuous"/>
      <protection locked="0"/>
    </xf>
    <xf numFmtId="0" fontId="125" fillId="0" borderId="0" applyFont="0" applyFill="0" applyBorder="0" applyAlignment="0" applyProtection="0"/>
    <xf numFmtId="0" fontId="96" fillId="0" borderId="0" applyFont="0" applyFill="0" applyBorder="0" applyAlignment="0" applyProtection="0"/>
    <xf numFmtId="0" fontId="125"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0" fontId="125"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0" fontId="115" fillId="37" borderId="0" applyNumberFormat="0" applyBorder="0" applyAlignment="0" applyProtection="0"/>
    <xf numFmtId="0" fontId="78" fillId="47" borderId="0" applyAlignment="0"/>
    <xf numFmtId="0" fontId="79" fillId="48" borderId="0" applyAlignment="0"/>
    <xf numFmtId="0" fontId="80" fillId="0" borderId="0" applyAlignment="0"/>
    <xf numFmtId="0" fontId="143" fillId="0" borderId="0"/>
    <xf numFmtId="0" fontId="2" fillId="38" borderId="55" applyNumberFormat="0" applyFont="0" applyAlignment="0" applyProtection="0"/>
    <xf numFmtId="0" fontId="144" fillId="0" borderId="0">
      <alignment horizontal="left" vertical="top"/>
      <protection locked="0"/>
    </xf>
    <xf numFmtId="0" fontId="116" fillId="35" borderId="56" applyNumberFormat="0" applyAlignment="0" applyProtection="0"/>
    <xf numFmtId="0" fontId="145" fillId="0" borderId="0" applyFill="0">
      <alignment horizontal="center" vertical="center"/>
    </xf>
    <xf numFmtId="0" fontId="135" fillId="0" borderId="0" applyNumberFormat="0" applyFill="0" applyBorder="0" applyAlignment="0" applyProtection="0"/>
    <xf numFmtId="0" fontId="124" fillId="50" borderId="0"/>
    <xf numFmtId="0" fontId="135" fillId="0" borderId="0"/>
    <xf numFmtId="9" fontId="125" fillId="0" borderId="0" applyFont="0" applyFill="0" applyBorder="0" applyAlignment="0" applyProtection="0"/>
    <xf numFmtId="0" fontId="125" fillId="0" borderId="0" applyFont="0" applyFill="0" applyBorder="0" applyAlignment="0" applyProtection="0"/>
    <xf numFmtId="0" fontId="125" fillId="0" borderId="0" applyFont="0" applyFill="0" applyBorder="0" applyAlignment="0" applyProtection="0"/>
    <xf numFmtId="169" fontId="125" fillId="0" borderId="0" applyFont="0" applyFill="0" applyBorder="0" applyAlignment="0" applyProtection="0"/>
    <xf numFmtId="0" fontId="6" fillId="3" borderId="0" applyFill="0" applyBorder="0" applyAlignment="0" applyProtection="0">
      <protection hidden="1"/>
    </xf>
    <xf numFmtId="216" fontId="2" fillId="0" borderId="0" applyFont="0" applyFill="0" applyBorder="0" applyProtection="0">
      <alignment horizontal="right"/>
    </xf>
    <xf numFmtId="0" fontId="123" fillId="50" borderId="0">
      <alignment horizontal="right"/>
    </xf>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35" fillId="3" borderId="0"/>
    <xf numFmtId="0" fontId="136"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35" fillId="3" borderId="0"/>
    <xf numFmtId="0" fontId="136"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35" fillId="3" borderId="0"/>
    <xf numFmtId="0" fontId="136" fillId="3" borderId="0"/>
    <xf numFmtId="0" fontId="135" fillId="3" borderId="0"/>
    <xf numFmtId="0" fontId="136"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35" fillId="3" borderId="0"/>
    <xf numFmtId="0" fontId="136"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35" fillId="3" borderId="0"/>
    <xf numFmtId="0" fontId="136"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35" fillId="3" borderId="0"/>
    <xf numFmtId="0" fontId="136" fillId="3" borderId="0"/>
    <xf numFmtId="0" fontId="135" fillId="3" borderId="0"/>
    <xf numFmtId="0" fontId="136"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35" fillId="3" borderId="0"/>
    <xf numFmtId="0" fontId="136" fillId="3" borderId="0"/>
    <xf numFmtId="0" fontId="123" fillId="3" borderId="0"/>
    <xf numFmtId="0" fontId="135" fillId="3" borderId="0"/>
    <xf numFmtId="0" fontId="136" fillId="3" borderId="0"/>
    <xf numFmtId="0" fontId="135" fillId="3" borderId="0"/>
    <xf numFmtId="0" fontId="135" fillId="3" borderId="0"/>
    <xf numFmtId="200" fontId="135" fillId="3" borderId="0"/>
    <xf numFmtId="200" fontId="135" fillId="3" borderId="0"/>
    <xf numFmtId="0" fontId="135" fillId="3" borderId="0"/>
    <xf numFmtId="0" fontId="136" fillId="3" borderId="0"/>
    <xf numFmtId="0" fontId="135" fillId="3" borderId="0"/>
    <xf numFmtId="0" fontId="135" fillId="3" borderId="0"/>
    <xf numFmtId="200" fontId="135" fillId="3" borderId="0"/>
    <xf numFmtId="200" fontId="135" fillId="3" borderId="0"/>
    <xf numFmtId="0" fontId="135" fillId="3" borderId="0"/>
    <xf numFmtId="0" fontId="136" fillId="3" borderId="0"/>
    <xf numFmtId="0" fontId="136" fillId="3" borderId="0"/>
    <xf numFmtId="0" fontId="136"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23" fillId="3" borderId="0"/>
    <xf numFmtId="0" fontId="135" fillId="3" borderId="0"/>
    <xf numFmtId="0" fontId="136" fillId="3" borderId="0"/>
    <xf numFmtId="0" fontId="123" fillId="3" borderId="0"/>
    <xf numFmtId="0" fontId="135" fillId="3" borderId="0"/>
    <xf numFmtId="0" fontId="136" fillId="3" borderId="0"/>
    <xf numFmtId="0" fontId="135" fillId="3" borderId="0"/>
    <xf numFmtId="0" fontId="135" fillId="3" borderId="0"/>
    <xf numFmtId="200" fontId="135" fillId="3" borderId="0"/>
    <xf numFmtId="200" fontId="135" fillId="3" borderId="0"/>
    <xf numFmtId="0" fontId="135" fillId="3" borderId="0"/>
    <xf numFmtId="0" fontId="136" fillId="3" borderId="0"/>
    <xf numFmtId="0" fontId="135" fillId="3" borderId="0"/>
    <xf numFmtId="0" fontId="135" fillId="3" borderId="0"/>
    <xf numFmtId="200" fontId="135" fillId="3" borderId="0"/>
    <xf numFmtId="200" fontId="135" fillId="3" borderId="0"/>
    <xf numFmtId="0" fontId="135" fillId="3" borderId="0"/>
    <xf numFmtId="0" fontId="136" fillId="3" borderId="0"/>
    <xf numFmtId="0" fontId="136" fillId="3" borderId="0"/>
    <xf numFmtId="0" fontId="136" fillId="3" borderId="0"/>
    <xf numFmtId="0" fontId="146" fillId="0" borderId="0">
      <alignment horizontal="center"/>
    </xf>
    <xf numFmtId="0" fontId="121" fillId="0" borderId="11">
      <alignment horizontal="centerContinuous"/>
    </xf>
    <xf numFmtId="0" fontId="135" fillId="3" borderId="0">
      <alignment horizontal="right"/>
    </xf>
    <xf numFmtId="0" fontId="122" fillId="0" borderId="0">
      <alignment horizontal="center"/>
    </xf>
    <xf numFmtId="0" fontId="135" fillId="3" borderId="4">
      <alignment horizontal="right"/>
    </xf>
    <xf numFmtId="204" fontId="147" fillId="0" borderId="0"/>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53">
      <alignment horizontal="centerContinuous"/>
    </xf>
    <xf numFmtId="0" fontId="95" fillId="0" borderId="53">
      <alignment horizontal="centerContinuous"/>
    </xf>
    <xf numFmtId="0" fontId="95" fillId="0" borderId="53">
      <alignment horizontal="centerContinuous"/>
    </xf>
    <xf numFmtId="0" fontId="95" fillId="0" borderId="53">
      <alignment horizontal="centerContinuous"/>
    </xf>
    <xf numFmtId="0" fontId="95" fillId="0" borderId="53">
      <alignment horizontal="centerContinuous"/>
    </xf>
    <xf numFmtId="0" fontId="95" fillId="0" borderId="53">
      <alignment horizontal="centerContinuous"/>
    </xf>
    <xf numFmtId="0" fontId="95" fillId="0" borderId="53">
      <alignment horizontal="centerContinuous"/>
    </xf>
    <xf numFmtId="0" fontId="95" fillId="0" borderId="53">
      <alignment horizontal="centerContinuous"/>
    </xf>
    <xf numFmtId="0" fontId="4" fillId="0" borderId="0" applyFill="0" applyBorder="0" applyProtection="0">
      <alignment horizontal="left"/>
    </xf>
    <xf numFmtId="0" fontId="83" fillId="49" borderId="0" applyAlignment="0"/>
    <xf numFmtId="0" fontId="94" fillId="0" borderId="53"/>
    <xf numFmtId="12" fontId="2" fillId="0" borderId="0" applyFont="0" applyFill="0" applyBorder="0" applyProtection="0">
      <alignment horizontal="right"/>
    </xf>
    <xf numFmtId="0" fontId="2" fillId="50" borderId="0" applyFont="0" applyFill="0" applyBorder="0" applyProtection="0">
      <alignment horizontal="right"/>
    </xf>
    <xf numFmtId="0" fontId="117" fillId="0" borderId="0"/>
    <xf numFmtId="0" fontId="3" fillId="0" borderId="0" applyNumberFormat="0" applyFill="0" applyBorder="0" applyProtection="0">
      <alignment horizontal="left"/>
    </xf>
    <xf numFmtId="217" fontId="5" fillId="0" borderId="0" applyFill="0" applyBorder="0" applyProtection="0">
      <alignment horizontal="right" vertical="top"/>
    </xf>
    <xf numFmtId="214" fontId="5" fillId="0" borderId="0" applyFill="0" applyBorder="0" applyProtection="0">
      <alignment horizontal="right" wrapText="1"/>
    </xf>
    <xf numFmtId="209" fontId="5" fillId="0" borderId="0" applyFill="0" applyBorder="0" applyProtection="0">
      <alignment horizontal="right"/>
    </xf>
    <xf numFmtId="218" fontId="5" fillId="0" borderId="0" applyFill="0" applyBorder="0" applyProtection="0">
      <alignment horizontal="right"/>
    </xf>
    <xf numFmtId="219" fontId="5" fillId="0" borderId="0" applyFill="0" applyBorder="0" applyProtection="0">
      <alignment horizontal="right"/>
    </xf>
    <xf numFmtId="220" fontId="5" fillId="0" borderId="0" applyFill="0" applyBorder="0" applyProtection="0">
      <alignment horizontal="right"/>
    </xf>
    <xf numFmtId="207" fontId="5" fillId="0" borderId="0" applyFill="0" applyBorder="0" applyProtection="0">
      <alignment horizontal="right" wrapText="1"/>
    </xf>
    <xf numFmtId="174" fontId="5" fillId="0" borderId="0" applyFill="0" applyBorder="0" applyProtection="0">
      <alignment horizontal="right" wrapText="1"/>
    </xf>
    <xf numFmtId="4" fontId="5" fillId="0" borderId="0" applyFill="0" applyBorder="0" applyProtection="0">
      <alignment wrapText="1"/>
    </xf>
    <xf numFmtId="0" fontId="5" fillId="0" borderId="0" applyNumberFormat="0" applyFill="0" applyBorder="0" applyProtection="0">
      <alignment horizontal="left" vertical="top" wrapText="1"/>
    </xf>
    <xf numFmtId="0" fontId="102" fillId="0" borderId="0" applyNumberFormat="0" applyFill="0" applyBorder="0" applyProtection="0">
      <alignment horizontal="left" vertical="top" wrapText="1"/>
    </xf>
    <xf numFmtId="213" fontId="148" fillId="0" borderId="0" applyFill="0" applyBorder="0" applyProtection="0">
      <alignment horizontal="center" wrapText="1"/>
    </xf>
    <xf numFmtId="207" fontId="148" fillId="0" borderId="0" applyFill="0" applyBorder="0" applyProtection="0">
      <alignment horizontal="right" wrapText="1"/>
    </xf>
    <xf numFmtId="214" fontId="148" fillId="0" borderId="0" applyFill="0" applyBorder="0" applyProtection="0">
      <alignment horizontal="right" wrapText="1"/>
    </xf>
    <xf numFmtId="221" fontId="148" fillId="0" borderId="0" applyFill="0" applyBorder="0" applyProtection="0">
      <alignment horizontal="right" wrapText="1"/>
    </xf>
    <xf numFmtId="37" fontId="148" fillId="0" borderId="0" applyFill="0" applyBorder="0" applyProtection="0">
      <alignment horizontal="center" wrapText="1"/>
    </xf>
    <xf numFmtId="218" fontId="148" fillId="0" borderId="0" applyFill="0" applyBorder="0" applyProtection="0">
      <alignment horizontal="right"/>
    </xf>
    <xf numFmtId="222" fontId="148" fillId="0" borderId="0" applyFill="0" applyBorder="0" applyProtection="0">
      <alignment horizontal="right"/>
    </xf>
    <xf numFmtId="209" fontId="148" fillId="0" borderId="0" applyFill="0" applyBorder="0" applyProtection="0">
      <alignment horizontal="right"/>
    </xf>
    <xf numFmtId="4" fontId="148" fillId="0" borderId="0" applyFill="0" applyBorder="0" applyProtection="0">
      <alignment wrapText="1"/>
    </xf>
    <xf numFmtId="0" fontId="102" fillId="0" borderId="57" applyNumberFormat="0" applyFill="0" applyProtection="0">
      <alignment wrapText="1"/>
    </xf>
    <xf numFmtId="0" fontId="3" fillId="0" borderId="0" applyNumberFormat="0" applyFill="0" applyBorder="0" applyProtection="0"/>
    <xf numFmtId="0" fontId="102" fillId="0" borderId="57" applyNumberFormat="0" applyFill="0" applyProtection="0">
      <alignment horizontal="center" wrapText="1"/>
    </xf>
    <xf numFmtId="215" fontId="102" fillId="0" borderId="0" applyFill="0" applyBorder="0" applyProtection="0">
      <alignment horizontal="center" wrapText="1"/>
    </xf>
    <xf numFmtId="0" fontId="4" fillId="0" borderId="0" applyNumberFormat="0" applyFill="0" applyBorder="0" applyProtection="0">
      <alignment horizontal="justify" wrapText="1"/>
    </xf>
    <xf numFmtId="0" fontId="102" fillId="0" borderId="0" applyNumberFormat="0" applyFill="0" applyBorder="0" applyProtection="0">
      <alignment horizontal="centerContinuous" wrapText="1"/>
    </xf>
    <xf numFmtId="0" fontId="5" fillId="0" borderId="0" applyNumberFormat="0" applyFill="0" applyBorder="0" applyProtection="0">
      <alignment horizontal="left"/>
    </xf>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84" fillId="0" borderId="0" applyAlignment="0"/>
    <xf numFmtId="6" fontId="141" fillId="0" borderId="58" applyFill="0">
      <alignment vertical="center"/>
    </xf>
    <xf numFmtId="0" fontId="85" fillId="0" borderId="0" applyAlignment="0"/>
    <xf numFmtId="0" fontId="98" fillId="0" borderId="0">
      <alignment horizontal="centerContinuous"/>
    </xf>
    <xf numFmtId="49" fontId="149" fillId="0" borderId="0"/>
    <xf numFmtId="0" fontId="5" fillId="0" borderId="0"/>
    <xf numFmtId="0" fontId="21" fillId="0" borderId="0" applyAlignment="0"/>
    <xf numFmtId="0" fontId="8" fillId="0" borderId="0" applyAlignment="0"/>
    <xf numFmtId="0" fontId="12" fillId="0" borderId="0" applyAlignment="0"/>
    <xf numFmtId="0" fontId="141" fillId="0" borderId="0" applyFill="0" applyBorder="0">
      <alignment vertical="center"/>
    </xf>
    <xf numFmtId="0" fontId="96" fillId="0" borderId="0">
      <alignment horizontal="center"/>
    </xf>
    <xf numFmtId="0" fontId="99" fillId="0" borderId="0"/>
    <xf numFmtId="38" fontId="150" fillId="0" borderId="0" applyNumberFormat="0" applyFill="0" applyBorder="0">
      <alignment horizontal="left" vertical="center"/>
    </xf>
    <xf numFmtId="38" fontId="151" fillId="0" borderId="0" applyNumberFormat="0" applyFill="0" applyBorder="0">
      <alignment horizontal="centerContinuous" vertical="center"/>
    </xf>
    <xf numFmtId="0" fontId="86" fillId="0" borderId="0" applyAlignment="0"/>
    <xf numFmtId="0" fontId="152" fillId="0" borderId="0"/>
    <xf numFmtId="0" fontId="153" fillId="0" borderId="0" applyFill="0" applyBorder="0" applyAlignment="0" applyProtection="0"/>
    <xf numFmtId="0" fontId="118" fillId="0" borderId="59" applyNumberFormat="0" applyFill="0" applyAlignment="0" applyProtection="0"/>
    <xf numFmtId="0" fontId="100" fillId="0" borderId="0"/>
    <xf numFmtId="0" fontId="100" fillId="3" borderId="0" applyFill="0"/>
    <xf numFmtId="0" fontId="100" fillId="3" borderId="0" applyFill="0"/>
    <xf numFmtId="0" fontId="103" fillId="0" borderId="0" applyNumberFormat="0"/>
    <xf numFmtId="172" fontId="154" fillId="0" borderId="0">
      <alignment horizontal="left"/>
      <protection locked="0"/>
    </xf>
    <xf numFmtId="0" fontId="101" fillId="0" borderId="0"/>
    <xf numFmtId="0" fontId="119" fillId="0" borderId="0" applyNumberFormat="0" applyFill="0" applyBorder="0" applyAlignment="0" applyProtection="0"/>
    <xf numFmtId="5" fontId="91" fillId="0" borderId="0">
      <alignment vertical="center"/>
    </xf>
    <xf numFmtId="0" fontId="155" fillId="51" borderId="0"/>
    <xf numFmtId="0" fontId="156" fillId="0" borderId="0" applyFill="0" applyBorder="0">
      <alignment vertical="center"/>
    </xf>
    <xf numFmtId="0" fontId="141" fillId="52" borderId="60" applyNumberFormat="0" applyFont="0" applyBorder="0" applyAlignment="0" applyProtection="0">
      <alignment horizontal="right"/>
    </xf>
    <xf numFmtId="0" fontId="99" fillId="0" borderId="0"/>
    <xf numFmtId="0" fontId="1" fillId="0" borderId="0"/>
    <xf numFmtId="0" fontId="99" fillId="0" borderId="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30" fillId="35" borderId="52" applyNumberFormat="0" applyAlignment="0" applyProtection="0"/>
    <xf numFmtId="0" fontId="37" fillId="22" borderId="52" applyNumberFormat="0" applyAlignment="0" applyProtection="0"/>
    <xf numFmtId="0" fontId="2" fillId="38" borderId="55" applyNumberFormat="0" applyFont="0" applyAlignment="0" applyProtection="0"/>
    <xf numFmtId="0" fontId="40" fillId="35" borderId="56" applyNumberFormat="0" applyAlignment="0" applyProtection="0"/>
    <xf numFmtId="0" fontId="42" fillId="0" borderId="59" applyNumberFormat="0" applyFill="0" applyAlignment="0" applyProtection="0"/>
    <xf numFmtId="0" fontId="47" fillId="41" borderId="52" applyNumberFormat="0" applyAlignment="0" applyProtection="0"/>
    <xf numFmtId="0" fontId="4" fillId="0" borderId="61">
      <alignment horizontal="left" vertical="center"/>
    </xf>
    <xf numFmtId="0" fontId="52" fillId="37" borderId="52" applyNumberFormat="0" applyAlignment="0" applyProtection="0"/>
    <xf numFmtId="0" fontId="2" fillId="38" borderId="55" applyNumberFormat="0" applyFont="0" applyAlignment="0" applyProtection="0"/>
    <xf numFmtId="0" fontId="55" fillId="41" borderId="64" applyNumberFormat="0" applyAlignment="0" applyProtection="0"/>
    <xf numFmtId="1" fontId="45" fillId="0" borderId="65" applyNumberFormat="0" applyFont="0" applyFill="0" applyAlignment="0" applyProtection="0">
      <alignment horizontal="center"/>
    </xf>
    <xf numFmtId="0" fontId="42" fillId="0" borderId="66" applyNumberFormat="0" applyFill="0" applyAlignment="0" applyProtection="0"/>
    <xf numFmtId="198" fontId="15" fillId="0" borderId="63" applyFont="0" applyFill="0" applyBorder="0" applyAlignment="0" applyProtection="0"/>
    <xf numFmtId="0" fontId="2" fillId="0" borderId="0"/>
    <xf numFmtId="0" fontId="113" fillId="22" borderId="68" applyNumberFormat="0" applyAlignment="0" applyProtection="0"/>
    <xf numFmtId="0" fontId="2" fillId="38" borderId="69" applyNumberFormat="0" applyFont="0" applyAlignment="0" applyProtection="0"/>
    <xf numFmtId="0" fontId="116" fillId="35" borderId="70" applyNumberFormat="0" applyAlignment="0" applyProtection="0"/>
    <xf numFmtId="0" fontId="131" fillId="0" borderId="67" applyFill="0" applyProtection="0">
      <alignment horizontal="right"/>
    </xf>
    <xf numFmtId="0" fontId="106" fillId="35" borderId="68" applyNumberFormat="0" applyAlignment="0" applyProtection="0"/>
    <xf numFmtId="0" fontId="118" fillId="0" borderId="71" applyNumberFormat="0" applyFill="0" applyAlignment="0" applyProtection="0"/>
    <xf numFmtId="0" fontId="2" fillId="0" borderId="0"/>
    <xf numFmtId="0" fontId="2" fillId="0" borderId="0"/>
    <xf numFmtId="0" fontId="2" fillId="0" borderId="0"/>
    <xf numFmtId="0" fontId="30" fillId="35" borderId="68" applyNumberFormat="0" applyAlignment="0" applyProtection="0"/>
    <xf numFmtId="0" fontId="37" fillId="22" borderId="68" applyNumberFormat="0" applyAlignment="0" applyProtection="0"/>
    <xf numFmtId="0" fontId="2" fillId="38" borderId="69" applyNumberFormat="0" applyFont="0" applyAlignment="0" applyProtection="0"/>
    <xf numFmtId="0" fontId="40" fillId="35" borderId="70" applyNumberFormat="0" applyAlignment="0" applyProtection="0"/>
    <xf numFmtId="0" fontId="42" fillId="0" borderId="71" applyNumberFormat="0" applyFill="0" applyAlignment="0" applyProtection="0"/>
    <xf numFmtId="0" fontId="47" fillId="41" borderId="68" applyNumberFormat="0" applyAlignment="0" applyProtection="0"/>
    <xf numFmtId="0" fontId="52" fillId="37" borderId="68" applyNumberFormat="0" applyAlignment="0" applyProtection="0"/>
    <xf numFmtId="0" fontId="106" fillId="35" borderId="83" applyNumberFormat="0" applyAlignment="0" applyProtection="0"/>
    <xf numFmtId="0" fontId="2" fillId="38" borderId="69" applyNumberFormat="0" applyFont="0" applyAlignment="0" applyProtection="0"/>
    <xf numFmtId="0" fontId="131" fillId="0" borderId="82" applyFill="0" applyProtection="0">
      <alignment horizontal="right"/>
    </xf>
    <xf numFmtId="0" fontId="118" fillId="0" borderId="86" applyNumberFormat="0" applyFill="0" applyAlignment="0" applyProtection="0"/>
    <xf numFmtId="0" fontId="131" fillId="0" borderId="72" applyFill="0" applyProtection="0">
      <alignment horizontal="right"/>
    </xf>
    <xf numFmtId="0" fontId="106" fillId="35" borderId="73" applyNumberFormat="0" applyAlignment="0" applyProtection="0"/>
    <xf numFmtId="0" fontId="116" fillId="35" borderId="85" applyNumberFormat="0" applyAlignment="0" applyProtection="0"/>
    <xf numFmtId="0" fontId="2" fillId="38" borderId="84" applyNumberFormat="0" applyFont="0" applyAlignment="0" applyProtection="0"/>
    <xf numFmtId="0" fontId="113" fillId="22" borderId="83" applyNumberFormat="0" applyAlignment="0" applyProtection="0"/>
    <xf numFmtId="0" fontId="113" fillId="22" borderId="73" applyNumberFormat="0" applyAlignment="0" applyProtection="0"/>
    <xf numFmtId="0" fontId="2" fillId="38" borderId="74" applyNumberFormat="0" applyFont="0" applyAlignment="0" applyProtection="0"/>
    <xf numFmtId="0" fontId="116" fillId="35" borderId="75" applyNumberFormat="0" applyAlignment="0" applyProtection="0"/>
    <xf numFmtId="0" fontId="118" fillId="0" borderId="76" applyNumberFormat="0" applyFill="0" applyAlignment="0" applyProtection="0"/>
    <xf numFmtId="0" fontId="30" fillId="35" borderId="73" applyNumberFormat="0" applyAlignment="0" applyProtection="0"/>
    <xf numFmtId="0" fontId="37" fillId="22" borderId="73" applyNumberFormat="0" applyAlignment="0" applyProtection="0"/>
    <xf numFmtId="0" fontId="2" fillId="38" borderId="74" applyNumberFormat="0" applyFont="0" applyAlignment="0" applyProtection="0"/>
    <xf numFmtId="0" fontId="40" fillId="35" borderId="75" applyNumberFormat="0" applyAlignment="0" applyProtection="0"/>
    <xf numFmtId="0" fontId="42" fillId="0" borderId="76" applyNumberFormat="0" applyFill="0" applyAlignment="0" applyProtection="0"/>
    <xf numFmtId="0" fontId="47" fillId="41" borderId="73" applyNumberFormat="0" applyAlignment="0" applyProtection="0"/>
    <xf numFmtId="0" fontId="4" fillId="0" borderId="77">
      <alignment horizontal="left" vertical="center"/>
    </xf>
    <xf numFmtId="0" fontId="52" fillId="37" borderId="73" applyNumberFormat="0" applyAlignment="0" applyProtection="0"/>
    <xf numFmtId="0" fontId="2" fillId="38" borderId="74" applyNumberFormat="0" applyFont="0" applyAlignment="0" applyProtection="0"/>
    <xf numFmtId="0" fontId="55" fillId="41" borderId="79" applyNumberFormat="0" applyAlignment="0" applyProtection="0"/>
    <xf numFmtId="1" fontId="45" fillId="0" borderId="80" applyNumberFormat="0" applyFont="0" applyFill="0" applyAlignment="0" applyProtection="0">
      <alignment horizontal="center"/>
    </xf>
    <xf numFmtId="0" fontId="42" fillId="0" borderId="81" applyNumberFormat="0" applyFill="0" applyAlignment="0" applyProtection="0"/>
    <xf numFmtId="198" fontId="15" fillId="0" borderId="78" applyFont="0" applyFill="0" applyBorder="0" applyAlignment="0" applyProtection="0"/>
    <xf numFmtId="0" fontId="113" fillId="22" borderId="73" applyNumberFormat="0" applyAlignment="0" applyProtection="0"/>
    <xf numFmtId="0" fontId="2" fillId="38" borderId="74" applyNumberFormat="0" applyFont="0" applyAlignment="0" applyProtection="0"/>
    <xf numFmtId="0" fontId="116" fillId="35" borderId="75" applyNumberFormat="0" applyAlignment="0" applyProtection="0"/>
    <xf numFmtId="0" fontId="131" fillId="0" borderId="72" applyFill="0" applyProtection="0">
      <alignment horizontal="right"/>
    </xf>
    <xf numFmtId="0" fontId="106" fillId="35" borderId="73" applyNumberFormat="0" applyAlignment="0" applyProtection="0"/>
    <xf numFmtId="0" fontId="118" fillId="0" borderId="76" applyNumberFormat="0" applyFill="0" applyAlignment="0" applyProtection="0"/>
    <xf numFmtId="0" fontId="30" fillId="35" borderId="83" applyNumberFormat="0" applyAlignment="0" applyProtection="0"/>
    <xf numFmtId="0" fontId="37" fillId="22" borderId="83" applyNumberFormat="0" applyAlignment="0" applyProtection="0"/>
    <xf numFmtId="0" fontId="2" fillId="38" borderId="84" applyNumberFormat="0" applyFont="0" applyAlignment="0" applyProtection="0"/>
    <xf numFmtId="0" fontId="40" fillId="35" borderId="85" applyNumberFormat="0" applyAlignment="0" applyProtection="0"/>
    <xf numFmtId="0" fontId="42" fillId="0" borderId="86" applyNumberFormat="0" applyFill="0" applyAlignment="0" applyProtection="0"/>
    <xf numFmtId="0" fontId="47" fillId="41" borderId="83" applyNumberFormat="0" applyAlignment="0" applyProtection="0"/>
    <xf numFmtId="0" fontId="4" fillId="0" borderId="87">
      <alignment horizontal="left" vertical="center"/>
    </xf>
    <xf numFmtId="0" fontId="52" fillId="37" borderId="83" applyNumberFormat="0" applyAlignment="0" applyProtection="0"/>
    <xf numFmtId="0" fontId="2" fillId="38" borderId="84" applyNumberFormat="0" applyFont="0" applyAlignment="0" applyProtection="0"/>
    <xf numFmtId="0" fontId="55" fillId="41" borderId="89" applyNumberFormat="0" applyAlignment="0" applyProtection="0"/>
    <xf numFmtId="1" fontId="45" fillId="0" borderId="90" applyNumberFormat="0" applyFont="0" applyFill="0" applyAlignment="0" applyProtection="0">
      <alignment horizontal="center"/>
    </xf>
    <xf numFmtId="0" fontId="42" fillId="0" borderId="91" applyNumberFormat="0" applyFill="0" applyAlignment="0" applyProtection="0"/>
    <xf numFmtId="198" fontId="15" fillId="0" borderId="88" applyFont="0" applyFill="0" applyBorder="0" applyAlignment="0" applyProtection="0"/>
    <xf numFmtId="0" fontId="113" fillId="22" borderId="83" applyNumberFormat="0" applyAlignment="0" applyProtection="0"/>
    <xf numFmtId="0" fontId="2" fillId="38" borderId="84" applyNumberFormat="0" applyFont="0" applyAlignment="0" applyProtection="0"/>
    <xf numFmtId="0" fontId="116" fillId="35" borderId="85" applyNumberFormat="0" applyAlignment="0" applyProtection="0"/>
    <xf numFmtId="0" fontId="131" fillId="0" borderId="82" applyFill="0" applyProtection="0">
      <alignment horizontal="right"/>
    </xf>
    <xf numFmtId="0" fontId="106" fillId="35" borderId="83" applyNumberFormat="0" applyAlignment="0" applyProtection="0"/>
    <xf numFmtId="0" fontId="118" fillId="0" borderId="86" applyNumberFormat="0" applyFill="0" applyAlignment="0" applyProtection="0"/>
    <xf numFmtId="0" fontId="2" fillId="0" borderId="0"/>
    <xf numFmtId="43" fontId="2" fillId="0" borderId="0" applyFont="0" applyFill="0" applyBorder="0" applyAlignment="0" applyProtection="0"/>
    <xf numFmtId="43" fontId="10" fillId="0" borderId="0" applyFont="0" applyFill="0" applyBorder="0" applyAlignment="0" applyProtection="0"/>
    <xf numFmtId="4" fontId="44"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8" fontId="44" fillId="0" borderId="0" applyFont="0" applyFill="0" applyBorder="0" applyAlignment="0" applyProtection="0"/>
    <xf numFmtId="0" fontId="2" fillId="0" borderId="0"/>
    <xf numFmtId="0" fontId="10" fillId="0" borderId="0"/>
    <xf numFmtId="0" fontId="5" fillId="0" borderId="0"/>
    <xf numFmtId="0" fontId="13"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10" fillId="0" borderId="0" applyFont="0" applyFill="0" applyBorder="0" applyAlignment="0" applyProtection="0"/>
    <xf numFmtId="44" fontId="1" fillId="0" borderId="0" applyFont="0" applyFill="0" applyBorder="0" applyAlignment="0" applyProtection="0"/>
    <xf numFmtId="0" fontId="2" fillId="0" borderId="0"/>
    <xf numFmtId="9" fontId="1" fillId="0" borderId="0" applyFont="0" applyFill="0" applyBorder="0" applyAlignment="0" applyProtection="0"/>
    <xf numFmtId="9" fontId="10" fillId="0" borderId="0" applyFont="0" applyFill="0" applyBorder="0" applyAlignment="0" applyProtection="0"/>
    <xf numFmtId="0" fontId="1" fillId="0" borderId="0"/>
    <xf numFmtId="0" fontId="56" fillId="0" borderId="18">
      <alignment horizontal="center"/>
    </xf>
    <xf numFmtId="0" fontId="56" fillId="0" borderId="18">
      <alignment horizontal="center"/>
    </xf>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ill="0" applyBorder="0" applyAlignment="0" applyProtection="0"/>
    <xf numFmtId="197" fontId="15" fillId="0" borderId="0" applyFont="0" applyFill="0" applyBorder="0" applyAlignment="0" applyProtection="0"/>
    <xf numFmtId="197" fontId="15" fillId="0" borderId="0" applyFont="0" applyFill="0" applyBorder="0" applyAlignment="0" applyProtection="0"/>
    <xf numFmtId="196" fontId="15" fillId="0" borderId="0" applyFont="0" applyFill="0" applyBorder="0" applyAlignment="0" applyProtection="0"/>
    <xf numFmtId="196" fontId="15" fillId="0" borderId="0" applyFont="0" applyFill="0" applyBorder="0" applyAlignment="0" applyProtection="0"/>
    <xf numFmtId="44" fontId="2" fillId="0" borderId="0" applyFont="0" applyFill="0" applyBorder="0" applyAlignment="0" applyProtection="0"/>
    <xf numFmtId="200" fontId="15" fillId="0" borderId="0"/>
    <xf numFmtId="200" fontId="15" fillId="0" borderId="0"/>
    <xf numFmtId="199" fontId="15" fillId="0" borderId="0"/>
    <xf numFmtId="199" fontId="15"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5" fillId="0" borderId="0"/>
    <xf numFmtId="0" fontId="10"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1" fontId="45" fillId="0" borderId="92" applyNumberFormat="0" applyFont="0" applyFill="0" applyAlignment="0" applyProtection="0">
      <alignment horizontal="center"/>
    </xf>
    <xf numFmtId="0" fontId="158" fillId="0" borderId="93" applyNumberFormat="0" applyFill="0" applyAlignment="0" applyProtection="0"/>
    <xf numFmtId="0" fontId="159" fillId="0" borderId="94" applyNumberFormat="0" applyFill="0" applyAlignment="0" applyProtection="0"/>
    <xf numFmtId="0" fontId="160" fillId="0" borderId="95" applyNumberFormat="0" applyFill="0" applyAlignment="0" applyProtection="0"/>
    <xf numFmtId="0" fontId="160" fillId="0" borderId="0" applyNumberFormat="0" applyFill="0" applyBorder="0" applyAlignment="0" applyProtection="0"/>
    <xf numFmtId="0" fontId="161" fillId="55" borderId="0" applyNumberFormat="0" applyBorder="0" applyAlignment="0" applyProtection="0"/>
    <xf numFmtId="0" fontId="162" fillId="56" borderId="0" applyNumberFormat="0" applyBorder="0" applyAlignment="0" applyProtection="0"/>
    <xf numFmtId="0" fontId="163" fillId="57" borderId="0" applyNumberFormat="0" applyBorder="0" applyAlignment="0" applyProtection="0"/>
    <xf numFmtId="0" fontId="164" fillId="58" borderId="96" applyNumberFormat="0" applyAlignment="0" applyProtection="0"/>
    <xf numFmtId="0" fontId="165" fillId="59" borderId="97" applyNumberFormat="0" applyAlignment="0" applyProtection="0"/>
    <xf numFmtId="0" fontId="166" fillId="59" borderId="96" applyNumberFormat="0" applyAlignment="0" applyProtection="0"/>
    <xf numFmtId="0" fontId="167" fillId="0" borderId="98" applyNumberFormat="0" applyFill="0" applyAlignment="0" applyProtection="0"/>
    <xf numFmtId="0" fontId="168" fillId="60" borderId="99" applyNumberFormat="0" applyAlignment="0" applyProtection="0"/>
    <xf numFmtId="0" fontId="169" fillId="0" borderId="0" applyNumberFormat="0" applyFill="0" applyBorder="0" applyAlignment="0" applyProtection="0"/>
    <xf numFmtId="0" fontId="1" fillId="4" borderId="21" applyNumberFormat="0" applyFont="0" applyAlignment="0" applyProtection="0"/>
    <xf numFmtId="0" fontId="170" fillId="0" borderId="0" applyNumberFormat="0" applyFill="0" applyBorder="0" applyAlignment="0" applyProtection="0"/>
    <xf numFmtId="0" fontId="26" fillId="0" borderId="100" applyNumberFormat="0" applyFill="0" applyAlignment="0" applyProtection="0"/>
    <xf numFmtId="0" fontId="171" fillId="61"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71" fillId="62" borderId="0" applyNumberFormat="0" applyBorder="0" applyAlignment="0" applyProtection="0"/>
    <xf numFmtId="0" fontId="171" fillId="6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71" fillId="64" borderId="0" applyNumberFormat="0" applyBorder="0" applyAlignment="0" applyProtection="0"/>
    <xf numFmtId="0" fontId="171" fillId="65"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71" fillId="66" borderId="0" applyNumberFormat="0" applyBorder="0" applyAlignment="0" applyProtection="0"/>
    <xf numFmtId="0" fontId="171" fillId="67"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1" fillId="68" borderId="0" applyNumberFormat="0" applyBorder="0" applyAlignment="0" applyProtection="0"/>
    <xf numFmtId="0" fontId="171" fillId="69"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71" fillId="70" borderId="0" applyNumberFormat="0" applyBorder="0" applyAlignment="0" applyProtection="0"/>
    <xf numFmtId="0" fontId="171" fillId="71"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1" fillId="72" borderId="0" applyNumberFormat="0" applyBorder="0" applyAlignment="0" applyProtection="0"/>
    <xf numFmtId="0" fontId="172" fillId="0" borderId="0"/>
    <xf numFmtId="44" fontId="172" fillId="0" borderId="0" applyFont="0" applyFill="0" applyBorder="0" applyAlignment="0" applyProtection="0"/>
    <xf numFmtId="9" fontId="172" fillId="0" borderId="0" applyFont="0" applyFill="0" applyBorder="0" applyAlignment="0" applyProtection="0"/>
    <xf numFmtId="43" fontId="172" fillId="0" borderId="0" applyFont="0" applyFill="0" applyBorder="0" applyAlignment="0" applyProtection="0"/>
    <xf numFmtId="9" fontId="173" fillId="0" borderId="0" applyFont="0" applyFill="0" applyBorder="0" applyAlignment="0" applyProtection="0"/>
    <xf numFmtId="0" fontId="174" fillId="0" borderId="103"/>
    <xf numFmtId="5" fontId="175" fillId="0" borderId="0" applyFont="0" applyFill="0" applyBorder="0" applyAlignment="0" applyProtection="0"/>
    <xf numFmtId="8" fontId="175" fillId="0" borderId="0" applyFont="0" applyFill="0" applyBorder="0" applyAlignment="0" applyProtection="0"/>
    <xf numFmtId="9" fontId="175" fillId="0" borderId="0" applyFont="0" applyFill="0" applyBorder="0" applyAlignment="0" applyProtection="0"/>
    <xf numFmtId="10" fontId="175" fillId="0" borderId="0" applyFont="0" applyFill="0" applyBorder="0" applyAlignment="0" applyProtection="0"/>
    <xf numFmtId="44" fontId="96" fillId="0" borderId="0" applyFont="0" applyFill="0" applyBorder="0" applyAlignment="0" applyProtection="0"/>
    <xf numFmtId="42" fontId="96" fillId="0" borderId="0" applyFont="0" applyFill="0" applyBorder="0" applyAlignment="0" applyProtection="0"/>
    <xf numFmtId="224" fontId="2" fillId="0" borderId="0" applyFont="0" applyFill="0" applyBorder="0" applyAlignment="0" applyProtection="0"/>
    <xf numFmtId="225" fontId="2" fillId="0" borderId="0" applyFont="0" applyFill="0" applyBorder="0" applyAlignment="0" applyProtection="0"/>
    <xf numFmtId="0" fontId="176" fillId="0" borderId="0" applyNumberFormat="0" applyFill="0" applyBorder="0" applyAlignment="0" applyProtection="0"/>
    <xf numFmtId="0" fontId="96" fillId="0" borderId="0"/>
    <xf numFmtId="0" fontId="10" fillId="23"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3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34" borderId="0" applyNumberFormat="0" applyBorder="0" applyAlignment="0" applyProtection="0"/>
    <xf numFmtId="0" fontId="10" fillId="37" borderId="0" applyNumberFormat="0" applyBorder="0" applyAlignment="0" applyProtection="0"/>
    <xf numFmtId="0" fontId="10" fillId="18" borderId="0" applyNumberFormat="0" applyBorder="0" applyAlignment="0" applyProtection="0"/>
    <xf numFmtId="0" fontId="10" fillId="23" borderId="0" applyNumberFormat="0" applyBorder="0" applyAlignment="0" applyProtection="0"/>
    <xf numFmtId="0" fontId="10" fillId="37"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28" fillId="23" borderId="0" applyNumberFormat="0" applyBorder="0" applyAlignment="0" applyProtection="0"/>
    <xf numFmtId="0" fontId="28" fillId="34" borderId="0" applyNumberFormat="0" applyBorder="0" applyAlignment="0" applyProtection="0"/>
    <xf numFmtId="0" fontId="28" fillId="26" borderId="0" applyNumberFormat="0" applyBorder="0" applyAlignment="0" applyProtection="0"/>
    <xf numFmtId="0" fontId="28" fillId="18" borderId="0" applyNumberFormat="0" applyBorder="0" applyAlignment="0" applyProtection="0"/>
    <xf numFmtId="0" fontId="28" fillId="23" borderId="0" applyNumberFormat="0" applyBorder="0" applyAlignment="0" applyProtection="0"/>
    <xf numFmtId="0" fontId="28" fillId="37" borderId="0" applyNumberFormat="0" applyBorder="0" applyAlignment="0" applyProtection="0"/>
    <xf numFmtId="0" fontId="28" fillId="27"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8" fillId="30" borderId="0" applyNumberFormat="0" applyBorder="0" applyAlignment="0" applyProtection="0"/>
    <xf numFmtId="0" fontId="91" fillId="0" borderId="0"/>
    <xf numFmtId="1" fontId="177" fillId="0" borderId="0">
      <alignment horizontal="center"/>
    </xf>
    <xf numFmtId="1" fontId="178" fillId="0" borderId="0" applyFill="0" applyBorder="0" applyProtection="0">
      <alignment horizontal="right" wrapText="1"/>
      <protection locked="0"/>
    </xf>
    <xf numFmtId="226" fontId="93" fillId="0" borderId="0" applyFill="0" applyBorder="0" applyProtection="0">
      <alignment horizontal="right"/>
      <protection locked="0"/>
    </xf>
    <xf numFmtId="1" fontId="178" fillId="0" borderId="0" applyFill="0" applyBorder="0" applyProtection="0">
      <alignment horizontal="right" wrapText="1"/>
      <protection locked="0"/>
    </xf>
    <xf numFmtId="0" fontId="179" fillId="0" borderId="0" applyNumberFormat="0" applyFill="0" applyBorder="0" applyAlignment="0" applyProtection="0"/>
    <xf numFmtId="0" fontId="180" fillId="0" borderId="0" applyNumberFormat="0" applyFill="0" applyBorder="0" applyProtection="0">
      <protection locked="0"/>
    </xf>
    <xf numFmtId="226" fontId="181" fillId="0" borderId="0">
      <protection locked="0"/>
    </xf>
    <xf numFmtId="0" fontId="180" fillId="0" borderId="0" applyNumberFormat="0" applyFill="0" applyBorder="0" applyProtection="0">
      <protection locked="0"/>
    </xf>
    <xf numFmtId="172" fontId="96" fillId="0" borderId="0">
      <alignment vertical="top"/>
    </xf>
    <xf numFmtId="227" fontId="182" fillId="0" borderId="0" applyFill="0" applyBorder="0" applyProtection="0"/>
    <xf numFmtId="172" fontId="182" fillId="0" borderId="0">
      <alignment horizontal="left"/>
    </xf>
    <xf numFmtId="0" fontId="33" fillId="19" borderId="0" applyNumberFormat="0" applyBorder="0" applyAlignment="0" applyProtection="0"/>
    <xf numFmtId="0" fontId="175" fillId="0" borderId="11" applyNumberFormat="0" applyFont="0" applyFill="0" applyAlignment="0" applyProtection="0"/>
    <xf numFmtId="0" fontId="175" fillId="0" borderId="3" applyNumberFormat="0" applyFont="0" applyFill="0" applyAlignment="0" applyProtection="0"/>
    <xf numFmtId="0" fontId="175" fillId="0" borderId="4" applyNumberFormat="0" applyFont="0" applyFill="0" applyAlignment="0" applyProtection="0"/>
    <xf numFmtId="0" fontId="175" fillId="0" borderId="62" applyNumberFormat="0" applyFont="0" applyFill="0" applyAlignment="0" applyProtection="0"/>
    <xf numFmtId="0" fontId="33" fillId="19" borderId="0" applyNumberFormat="0" applyBorder="0" applyAlignment="0" applyProtection="0"/>
    <xf numFmtId="228" fontId="2" fillId="0" borderId="0" applyFont="0" applyFill="0" applyBorder="0" applyAlignment="0" applyProtection="0"/>
    <xf numFmtId="0" fontId="30" fillId="35" borderId="83" applyNumberFormat="0" applyAlignment="0" applyProtection="0"/>
    <xf numFmtId="0" fontId="31" fillId="36" borderId="23" applyNumberFormat="0" applyAlignment="0" applyProtection="0"/>
    <xf numFmtId="0" fontId="38" fillId="0" borderId="27" applyNumberFormat="0" applyFill="0" applyAlignment="0" applyProtection="0"/>
    <xf numFmtId="0" fontId="31" fillId="36" borderId="23" applyNumberFormat="0" applyAlignment="0" applyProtection="0"/>
    <xf numFmtId="0" fontId="43" fillId="0" borderId="104" applyNumberFormat="0" applyFill="0" applyAlignment="0" applyProtection="0"/>
    <xf numFmtId="1" fontId="183" fillId="0" borderId="0"/>
    <xf numFmtId="1" fontId="127" fillId="0" borderId="0">
      <protection locked="0"/>
    </xf>
    <xf numFmtId="0" fontId="15" fillId="0" borderId="0">
      <alignment horizontal="center" wrapText="1"/>
      <protection hidden="1"/>
    </xf>
    <xf numFmtId="229" fontId="184" fillId="0" borderId="0"/>
    <xf numFmtId="229" fontId="184" fillId="0" borderId="0"/>
    <xf numFmtId="229" fontId="184" fillId="0" borderId="0"/>
    <xf numFmtId="229" fontId="184" fillId="0" borderId="0"/>
    <xf numFmtId="229" fontId="184" fillId="0" borderId="0"/>
    <xf numFmtId="229" fontId="184" fillId="0" borderId="0"/>
    <xf numFmtId="229" fontId="184" fillId="0" borderId="0"/>
    <xf numFmtId="229" fontId="184" fillId="0" borderId="0"/>
    <xf numFmtId="230" fontId="44" fillId="0" borderId="11"/>
    <xf numFmtId="3" fontId="2" fillId="0" borderId="0" applyFont="0" applyFill="0" applyBorder="0" applyAlignment="0" applyProtection="0"/>
    <xf numFmtId="0" fontId="185" fillId="74" borderId="0">
      <alignment horizontal="center" vertical="center" wrapText="1"/>
    </xf>
    <xf numFmtId="38" fontId="89" fillId="0" borderId="0" applyNumberFormat="0" applyFill="0" applyBorder="0">
      <alignment horizontal="left"/>
    </xf>
    <xf numFmtId="231" fontId="2" fillId="0" borderId="0" applyFill="0" applyBorder="0">
      <alignment horizontal="right"/>
      <protection locked="0"/>
    </xf>
    <xf numFmtId="8" fontId="92" fillId="0" borderId="0" applyFont="0" applyFill="0" applyBorder="0" applyAlignment="0" applyProtection="0">
      <alignment horizontal="left"/>
    </xf>
    <xf numFmtId="223" fontId="186" fillId="0" borderId="0" applyFont="0" applyFill="0" applyBorder="0" applyAlignment="0" applyProtection="0"/>
    <xf numFmtId="232" fontId="2" fillId="0" borderId="0" applyFont="0" applyFill="0" applyBorder="0" applyAlignment="0" applyProtection="0"/>
    <xf numFmtId="0" fontId="15" fillId="0" borderId="0" applyFont="0" applyFill="0" applyBorder="0" applyAlignment="0">
      <protection locked="0"/>
    </xf>
    <xf numFmtId="233" fontId="2" fillId="0" borderId="0" applyFont="0" applyFill="0" applyBorder="0" applyAlignment="0" applyProtection="0"/>
    <xf numFmtId="0" fontId="2" fillId="0" borderId="0" applyFont="0" applyFill="0" applyBorder="0" applyAlignment="0" applyProtection="0"/>
    <xf numFmtId="17" fontId="90" fillId="0" borderId="62" applyFont="0" applyFill="0" applyBorder="0" applyAlignment="0" applyProtection="0"/>
    <xf numFmtId="37" fontId="187" fillId="0" borderId="0"/>
    <xf numFmtId="234" fontId="188" fillId="0" borderId="0"/>
    <xf numFmtId="235" fontId="188" fillId="0" borderId="0"/>
    <xf numFmtId="0" fontId="36" fillId="0" borderId="0" applyNumberFormat="0" applyFill="0" applyBorder="0" applyAlignment="0" applyProtection="0"/>
    <xf numFmtId="0" fontId="28" fillId="40" borderId="0" applyNumberFormat="0" applyBorder="0" applyAlignment="0" applyProtection="0"/>
    <xf numFmtId="0" fontId="28" fillId="34" borderId="0" applyNumberFormat="0" applyBorder="0" applyAlignment="0" applyProtection="0"/>
    <xf numFmtId="0" fontId="28" fillId="26" borderId="0" applyNumberFormat="0" applyBorder="0" applyAlignment="0" applyProtection="0"/>
    <xf numFmtId="0" fontId="28" fillId="75" borderId="0" applyNumberFormat="0" applyBorder="0" applyAlignment="0" applyProtection="0"/>
    <xf numFmtId="0" fontId="28" fillId="29" borderId="0" applyNumberFormat="0" applyBorder="0" applyAlignment="0" applyProtection="0"/>
    <xf numFmtId="0" fontId="28" fillId="32"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8" fillId="34" borderId="0" applyNumberFormat="0" applyBorder="0" applyAlignment="0" applyProtection="0"/>
    <xf numFmtId="0" fontId="37" fillId="22" borderId="83" applyNumberFormat="0" applyAlignment="0" applyProtection="0"/>
    <xf numFmtId="236" fontId="2" fillId="0" borderId="0" applyFont="0" applyFill="0" applyBorder="0" applyAlignment="0" applyProtection="0"/>
    <xf numFmtId="0" fontId="189" fillId="0" borderId="0">
      <protection locked="0"/>
    </xf>
    <xf numFmtId="0" fontId="189" fillId="0" borderId="0">
      <protection locked="0"/>
    </xf>
    <xf numFmtId="0" fontId="189" fillId="0" borderId="0">
      <protection locked="0"/>
    </xf>
    <xf numFmtId="0" fontId="189" fillId="0" borderId="0">
      <protection locked="0"/>
    </xf>
    <xf numFmtId="0" fontId="189" fillId="0" borderId="0">
      <protection locked="0"/>
    </xf>
    <xf numFmtId="0" fontId="189" fillId="0" borderId="0">
      <protection locked="0"/>
    </xf>
    <xf numFmtId="0" fontId="189" fillId="0" borderId="0">
      <protection locked="0"/>
    </xf>
    <xf numFmtId="0" fontId="15" fillId="0" borderId="0"/>
    <xf numFmtId="2" fontId="2" fillId="0" borderId="0" applyFont="0" applyFill="0" applyBorder="0" applyAlignment="0" applyProtection="0"/>
    <xf numFmtId="237" fontId="91" fillId="0" borderId="0" applyFont="0" applyFill="0" applyBorder="0" applyAlignment="0" applyProtection="0">
      <protection locked="0"/>
    </xf>
    <xf numFmtId="13" fontId="91" fillId="0" borderId="0" applyFont="0" applyFill="0" applyBorder="0" applyAlignment="0" applyProtection="0">
      <protection locked="0"/>
    </xf>
    <xf numFmtId="38" fontId="5" fillId="3" borderId="0" applyNumberFormat="0" applyBorder="0" applyAlignment="0" applyProtection="0"/>
    <xf numFmtId="169" fontId="190" fillId="0" borderId="0" applyFill="0" applyBorder="0" applyProtection="0">
      <alignment horizontal="right"/>
      <protection locked="0"/>
    </xf>
    <xf numFmtId="0" fontId="14" fillId="0" borderId="0" applyNumberFormat="0" applyFill="0" applyBorder="0" applyAlignment="0" applyProtection="0">
      <alignment vertical="top"/>
      <protection locked="0"/>
    </xf>
    <xf numFmtId="0" fontId="120"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9" fillId="18" borderId="0" applyNumberFormat="0" applyBorder="0" applyAlignment="0" applyProtection="0"/>
    <xf numFmtId="0" fontId="29" fillId="20" borderId="0" applyNumberFormat="0" applyBorder="0" applyAlignment="0" applyProtection="0"/>
    <xf numFmtId="10" fontId="5" fillId="2" borderId="102" applyNumberFormat="0" applyBorder="0" applyAlignment="0" applyProtection="0"/>
    <xf numFmtId="13" fontId="178" fillId="0" borderId="105" applyNumberFormat="0" applyFont="0" applyFill="0" applyAlignment="0" applyProtection="0">
      <alignment horizontal="right" wrapText="1"/>
      <protection locked="0"/>
    </xf>
    <xf numFmtId="0" fontId="2" fillId="0" borderId="0" applyFill="0" applyBorder="0">
      <alignment horizontal="right"/>
      <protection locked="0"/>
    </xf>
    <xf numFmtId="38" fontId="94" fillId="0" borderId="0" applyNumberFormat="0" applyBorder="0" applyProtection="0">
      <alignment horizontal="left"/>
    </xf>
    <xf numFmtId="238" fontId="2" fillId="0" borderId="0" applyFill="0" applyBorder="0">
      <alignment horizontal="right"/>
      <protection locked="0"/>
    </xf>
    <xf numFmtId="0" fontId="3" fillId="73" borderId="106">
      <alignment horizontal="left" vertical="center" wrapText="1"/>
    </xf>
    <xf numFmtId="15" fontId="2" fillId="0" borderId="0"/>
    <xf numFmtId="239" fontId="2" fillId="0" borderId="0" applyFont="0" applyFill="0" applyBorder="0" applyAlignment="0" applyProtection="0"/>
    <xf numFmtId="4" fontId="191" fillId="0" borderId="0" applyFont="0" applyFill="0" applyBorder="0" applyAlignment="0" applyProtection="0"/>
    <xf numFmtId="240" fontId="2" fillId="0" borderId="0" applyFont="0" applyFill="0" applyBorder="0" applyAlignment="0" applyProtection="0"/>
    <xf numFmtId="14" fontId="175"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241" fontId="2" fillId="0" borderId="0" applyFont="0" applyFill="0" applyBorder="0" applyAlignment="0" applyProtection="0"/>
    <xf numFmtId="242" fontId="2" fillId="0" borderId="0" applyFont="0" applyFill="0" applyBorder="0" applyAlignment="0" applyProtection="0"/>
    <xf numFmtId="0" fontId="192" fillId="37" borderId="0" applyNumberFormat="0" applyBorder="0" applyAlignment="0" applyProtection="0"/>
    <xf numFmtId="0" fontId="13" fillId="0" borderId="0"/>
    <xf numFmtId="243" fontId="143" fillId="0" borderId="0"/>
    <xf numFmtId="0" fontId="1" fillId="0" borderId="0"/>
    <xf numFmtId="0" fontId="193" fillId="0" borderId="0"/>
    <xf numFmtId="172" fontId="94" fillId="0" borderId="0" applyBorder="0">
      <alignment horizontal="left"/>
    </xf>
    <xf numFmtId="0" fontId="173" fillId="37" borderId="84" applyNumberFormat="0" applyFont="0" applyAlignment="0" applyProtection="0"/>
    <xf numFmtId="0" fontId="10" fillId="38" borderId="84" applyNumberFormat="0" applyFont="0" applyAlignment="0" applyProtection="0"/>
    <xf numFmtId="244" fontId="194" fillId="0" borderId="0" applyFont="0" applyFill="0" applyBorder="0" applyAlignment="0" applyProtection="0"/>
    <xf numFmtId="43" fontId="96" fillId="0" borderId="0" applyFont="0" applyFill="0" applyBorder="0" applyAlignment="0" applyProtection="0"/>
    <xf numFmtId="41" fontId="96" fillId="0" borderId="0" applyFont="0" applyFill="0" applyBorder="0" applyAlignment="0" applyProtection="0"/>
    <xf numFmtId="245" fontId="195" fillId="0" borderId="0">
      <protection locked="0"/>
    </xf>
    <xf numFmtId="10" fontId="2" fillId="0" borderId="0" applyFont="0" applyFill="0" applyBorder="0" applyAlignment="0" applyProtection="0"/>
    <xf numFmtId="169" fontId="186" fillId="0" borderId="0" applyFont="0" applyFill="0" applyBorder="0" applyAlignment="0" applyProtection="0"/>
    <xf numFmtId="10" fontId="186" fillId="0" borderId="0" applyFont="0" applyFill="0" applyBorder="0" applyAlignment="0" applyProtection="0"/>
    <xf numFmtId="9" fontId="2" fillId="0" borderId="0"/>
    <xf numFmtId="246" fontId="2" fillId="0" borderId="0" applyFill="0" applyBorder="0">
      <alignment horizontal="right"/>
      <protection locked="0"/>
    </xf>
    <xf numFmtId="2" fontId="2" fillId="0" borderId="0" applyFont="0" applyFill="0" applyAlignment="0" applyProtection="0"/>
    <xf numFmtId="9" fontId="2" fillId="0" borderId="0" applyNumberFormat="0" applyFill="0" applyBorder="0" applyAlignment="0" applyProtection="0"/>
    <xf numFmtId="247" fontId="15" fillId="0" borderId="0" applyFill="0" applyBorder="0">
      <alignment horizontal="right"/>
      <protection locked="0"/>
    </xf>
    <xf numFmtId="248" fontId="2" fillId="0" borderId="0">
      <alignment horizontal="right"/>
      <protection locked="0"/>
    </xf>
    <xf numFmtId="0" fontId="196" fillId="0" borderId="0" applyNumberFormat="0" applyFill="0" applyBorder="0" applyProtection="0">
      <protection locked="0"/>
    </xf>
    <xf numFmtId="0" fontId="40" fillId="41" borderId="85" applyNumberFormat="0" applyAlignment="0" applyProtection="0"/>
    <xf numFmtId="0" fontId="40" fillId="35" borderId="85" applyNumberFormat="0" applyAlignment="0" applyProtection="0"/>
    <xf numFmtId="249" fontId="197" fillId="0" borderId="0" applyFill="0" applyBorder="0">
      <alignment horizontal="right"/>
      <protection hidden="1"/>
    </xf>
    <xf numFmtId="0" fontId="198" fillId="74" borderId="102">
      <alignment horizontal="center" vertical="center" wrapText="1"/>
      <protection hidden="1"/>
    </xf>
    <xf numFmtId="38" fontId="15"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226" fontId="199" fillId="76" borderId="0" applyNumberFormat="0" applyFont="0" applyBorder="0" applyAlignment="0" applyProtection="0">
      <protection locked="0"/>
    </xf>
    <xf numFmtId="250" fontId="15" fillId="0" borderId="0">
      <protection locked="0"/>
    </xf>
    <xf numFmtId="38" fontId="200" fillId="0" borderId="0" applyNumberFormat="0" applyBorder="0">
      <alignment horizontal="left"/>
    </xf>
    <xf numFmtId="0" fontId="175" fillId="0" borderId="0" applyNumberFormat="0" applyFont="0" applyFill="0" applyBorder="0" applyProtection="0">
      <alignment horizontal="left" vertical="top" wrapText="1"/>
    </xf>
    <xf numFmtId="0" fontId="43" fillId="0" borderId="0" applyNumberFormat="0" applyFill="0" applyBorder="0" applyAlignment="0" applyProtection="0"/>
    <xf numFmtId="0" fontId="43" fillId="0" borderId="0" applyNumberFormat="0" applyFill="0" applyBorder="0" applyAlignment="0" applyProtection="0"/>
    <xf numFmtId="0" fontId="32" fillId="0" borderId="0" applyNumberFormat="0" applyFill="0" applyBorder="0" applyAlignment="0" applyProtection="0"/>
    <xf numFmtId="0" fontId="15" fillId="0" borderId="0" applyBorder="0"/>
    <xf numFmtId="0" fontId="41" fillId="0" borderId="0" applyNumberFormat="0" applyFill="0" applyBorder="0" applyAlignment="0" applyProtection="0"/>
    <xf numFmtId="0" fontId="34" fillId="0" borderId="24" applyNumberFormat="0" applyFill="0" applyAlignment="0" applyProtection="0"/>
    <xf numFmtId="0" fontId="35" fillId="0" borderId="25" applyNumberFormat="0" applyFill="0" applyAlignment="0" applyProtection="0"/>
    <xf numFmtId="0" fontId="36" fillId="0" borderId="26" applyNumberFormat="0" applyFill="0" applyAlignment="0" applyProtection="0"/>
    <xf numFmtId="0" fontId="55" fillId="0" borderId="0" applyNumberFormat="0" applyFill="0" applyBorder="0" applyAlignment="0" applyProtection="0"/>
    <xf numFmtId="1" fontId="92" fillId="0" borderId="11" applyNumberFormat="0">
      <alignment horizontal="right"/>
    </xf>
    <xf numFmtId="0" fontId="15" fillId="0" borderId="0"/>
    <xf numFmtId="0" fontId="91" fillId="77" borderId="0" applyNumberFormat="0" applyFont="0" applyBorder="0" applyAlignment="0" applyProtection="0"/>
    <xf numFmtId="5" fontId="175" fillId="0" borderId="0" applyFont="0" applyFill="0" applyBorder="0" applyAlignment="0" applyProtection="0"/>
    <xf numFmtId="8" fontId="175" fillId="0" borderId="0" applyFont="0" applyFill="0" applyBorder="0" applyAlignment="0" applyProtection="0"/>
    <xf numFmtId="9" fontId="175" fillId="0" borderId="0" applyFont="0" applyFill="0" applyBorder="0" applyAlignment="0" applyProtection="0"/>
    <xf numFmtId="10" fontId="175" fillId="0" borderId="0" applyFont="0" applyFill="0" applyBorder="0" applyAlignment="0" applyProtection="0"/>
    <xf numFmtId="0" fontId="175" fillId="0" borderId="11" applyNumberFormat="0" applyFont="0" applyFill="0" applyAlignment="0" applyProtection="0"/>
    <xf numFmtId="0" fontId="175" fillId="0" borderId="3" applyNumberFormat="0" applyFont="0" applyFill="0" applyAlignment="0" applyProtection="0"/>
    <xf numFmtId="0" fontId="175" fillId="0" borderId="4" applyNumberFormat="0" applyFont="0" applyFill="0" applyAlignment="0" applyProtection="0"/>
    <xf numFmtId="0" fontId="175" fillId="0" borderId="62" applyNumberFormat="0" applyFont="0" applyFill="0" applyAlignment="0" applyProtection="0"/>
    <xf numFmtId="14" fontId="175" fillId="0" borderId="0" applyFont="0" applyFill="0" applyBorder="0" applyAlignment="0" applyProtection="0"/>
    <xf numFmtId="0" fontId="1" fillId="0" borderId="0"/>
    <xf numFmtId="5" fontId="175" fillId="0" borderId="0" applyFont="0" applyFill="0" applyBorder="0" applyAlignment="0" applyProtection="0"/>
    <xf numFmtId="0" fontId="175" fillId="0" borderId="0" applyNumberFormat="0" applyFont="0" applyFill="0" applyBorder="0" applyProtection="0">
      <alignment horizontal="left" vertical="top" wrapText="1"/>
    </xf>
    <xf numFmtId="5" fontId="175" fillId="0" borderId="0" applyFont="0" applyFill="0" applyBorder="0" applyAlignment="0" applyProtection="0"/>
    <xf numFmtId="5" fontId="175" fillId="0" borderId="0" applyFont="0" applyFill="0" applyBorder="0" applyAlignment="0" applyProtection="0"/>
    <xf numFmtId="5" fontId="175" fillId="0" borderId="0" applyFont="0" applyFill="0" applyBorder="0" applyAlignment="0" applyProtection="0"/>
    <xf numFmtId="5" fontId="175" fillId="0" borderId="0" applyFont="0" applyFill="0" applyBorder="0" applyAlignment="0" applyProtection="0"/>
    <xf numFmtId="5" fontId="175" fillId="0" borderId="0" applyFont="0" applyFill="0" applyBorder="0" applyAlignment="0" applyProtection="0"/>
    <xf numFmtId="5" fontId="175" fillId="0" borderId="0" applyFont="0" applyFill="0" applyBorder="0" applyAlignment="0" applyProtection="0"/>
    <xf numFmtId="0" fontId="1" fillId="8" borderId="0" applyNumberFormat="0" applyBorder="0" applyAlignment="0" applyProtection="0"/>
    <xf numFmtId="5" fontId="175" fillId="0" borderId="0" applyFont="0" applyFill="0" applyBorder="0" applyAlignment="0" applyProtection="0"/>
    <xf numFmtId="8" fontId="175" fillId="0" borderId="0" applyFont="0" applyFill="0" applyBorder="0" applyAlignment="0" applyProtection="0"/>
    <xf numFmtId="9" fontId="175" fillId="0" borderId="0" applyFont="0" applyFill="0" applyBorder="0" applyAlignment="0" applyProtection="0"/>
    <xf numFmtId="10" fontId="175" fillId="0" borderId="0" applyFont="0" applyFill="0" applyBorder="0" applyAlignment="0" applyProtection="0"/>
    <xf numFmtId="0" fontId="1" fillId="6" borderId="0" applyNumberFormat="0" applyBorder="0" applyAlignment="0" applyProtection="0"/>
    <xf numFmtId="5" fontId="175" fillId="0" borderId="0" applyFont="0" applyFill="0" applyBorder="0" applyAlignment="0" applyProtection="0"/>
    <xf numFmtId="0" fontId="1" fillId="8" borderId="0" applyNumberFormat="0" applyBorder="0" applyAlignment="0" applyProtection="0"/>
    <xf numFmtId="0" fontId="1" fillId="0" borderId="0"/>
    <xf numFmtId="5" fontId="175" fillId="0" borderId="0" applyFont="0" applyFill="0" applyBorder="0" applyAlignment="0" applyProtection="0"/>
    <xf numFmtId="0" fontId="1" fillId="8" borderId="0" applyNumberFormat="0" applyBorder="0" applyAlignment="0" applyProtection="0"/>
    <xf numFmtId="0" fontId="201" fillId="0" borderId="0" applyFill="0" applyBorder="0" applyAlignment="0" applyProtection="0"/>
    <xf numFmtId="44" fontId="1" fillId="0" borderId="0" applyFont="0" applyFill="0" applyBorder="0" applyAlignment="0" applyProtection="0"/>
    <xf numFmtId="0" fontId="102" fillId="0" borderId="0" applyFill="0" applyAlignment="0" applyProtection="0"/>
    <xf numFmtId="44" fontId="5" fillId="0" borderId="0" applyFont="0" applyFill="0" applyBorder="0" applyAlignment="0" applyProtection="0"/>
    <xf numFmtId="0" fontId="175" fillId="0" borderId="11" applyNumberFormat="0" applyFont="0" applyFill="0" applyAlignment="0" applyProtection="0"/>
    <xf numFmtId="0" fontId="175" fillId="0" borderId="3" applyNumberFormat="0" applyFont="0" applyFill="0" applyAlignment="0" applyProtection="0"/>
    <xf numFmtId="0" fontId="175" fillId="0" borderId="4" applyNumberFormat="0" applyFont="0" applyFill="0" applyAlignment="0" applyProtection="0"/>
    <xf numFmtId="0" fontId="175" fillId="0" borderId="62" applyNumberFormat="0" applyFont="0" applyFill="0" applyAlignment="0" applyProtection="0"/>
    <xf numFmtId="43" fontId="20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166" fontId="2" fillId="0" borderId="0" applyFont="0" applyFill="0" applyBorder="0" applyAlignment="0" applyProtection="0"/>
    <xf numFmtId="43" fontId="1"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14" fontId="175"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0" borderId="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5" fontId="175" fillId="0" borderId="0" applyFont="0" applyFill="0" applyBorder="0" applyAlignment="0" applyProtection="0"/>
    <xf numFmtId="0" fontId="175" fillId="0" borderId="0" applyNumberFormat="0" applyFont="0" applyFill="0" applyBorder="0" applyProtection="0">
      <alignment horizontal="left" vertical="top" wrapText="1"/>
    </xf>
    <xf numFmtId="0" fontId="1" fillId="8" borderId="0" applyNumberFormat="0" applyBorder="0" applyAlignment="0" applyProtection="0"/>
    <xf numFmtId="0" fontId="203" fillId="0" borderId="0"/>
    <xf numFmtId="5" fontId="175" fillId="0" borderId="0" applyFont="0" applyFill="0" applyBorder="0" applyAlignment="0" applyProtection="0"/>
    <xf numFmtId="0" fontId="1" fillId="14" borderId="0" applyNumberFormat="0" applyBorder="0" applyAlignment="0" applyProtection="0"/>
    <xf numFmtId="43" fontId="1" fillId="0" borderId="0" applyFont="0" applyFill="0" applyBorder="0" applyAlignment="0" applyProtection="0"/>
    <xf numFmtId="5" fontId="175" fillId="0" borderId="0" applyFont="0" applyFill="0" applyBorder="0" applyAlignment="0" applyProtection="0"/>
    <xf numFmtId="43" fontId="1" fillId="0" borderId="0" applyFont="0" applyFill="0" applyBorder="0" applyAlignment="0" applyProtection="0"/>
    <xf numFmtId="0" fontId="96" fillId="0" borderId="0" applyFill="0" applyBorder="0" applyAlignment="0" applyProtection="0"/>
    <xf numFmtId="0" fontId="1" fillId="12"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44" fontId="204" fillId="0" borderId="0" applyFont="0" applyFill="0" applyBorder="0" applyAlignment="0" applyProtection="0"/>
    <xf numFmtId="5" fontId="175" fillId="0" borderId="0" applyFont="0" applyFill="0" applyBorder="0" applyAlignment="0" applyProtection="0"/>
    <xf numFmtId="0" fontId="1" fillId="14" borderId="0" applyNumberFormat="0" applyBorder="0" applyAlignment="0" applyProtection="0"/>
    <xf numFmtId="0" fontId="1" fillId="12"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43" fontId="1" fillId="0" borderId="0" applyFont="0" applyFill="0" applyBorder="0" applyAlignment="0" applyProtection="0"/>
    <xf numFmtId="5" fontId="175" fillId="0" borderId="0" applyFont="0" applyFill="0" applyBorder="0" applyAlignment="0" applyProtection="0"/>
    <xf numFmtId="0" fontId="1" fillId="14" borderId="0" applyNumberFormat="0" applyBorder="0" applyAlignment="0" applyProtection="0"/>
    <xf numFmtId="0" fontId="1" fillId="12"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0" fontId="1" fillId="6" borderId="0" applyNumberFormat="0" applyBorder="0" applyAlignment="0" applyProtection="0"/>
    <xf numFmtId="43" fontId="1" fillId="0" borderId="0" applyFont="0" applyFill="0" applyBorder="0" applyAlignment="0" applyProtection="0"/>
    <xf numFmtId="5" fontId="175" fillId="0" borderId="0" applyFont="0" applyFill="0" applyBorder="0" applyAlignment="0" applyProtection="0"/>
    <xf numFmtId="0" fontId="1" fillId="14" borderId="0" applyNumberFormat="0" applyBorder="0" applyAlignment="0" applyProtection="0"/>
    <xf numFmtId="0" fontId="3" fillId="0" borderId="0" applyFill="0" applyAlignment="0" applyProtection="0"/>
    <xf numFmtId="0" fontId="1" fillId="14"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252" fontId="2" fillId="0" borderId="0" applyFont="0" applyFill="0" applyBorder="0" applyAlignment="0" applyProtection="0"/>
    <xf numFmtId="5" fontId="175" fillId="0" borderId="0" applyFont="0" applyFill="0" applyBorder="0" applyAlignment="0" applyProtection="0"/>
    <xf numFmtId="0" fontId="1" fillId="14" borderId="0" applyNumberFormat="0" applyBorder="0" applyAlignment="0" applyProtection="0"/>
    <xf numFmtId="43" fontId="5" fillId="0" borderId="0" applyFont="0" applyFill="0" applyBorder="0" applyAlignment="0" applyProtection="0"/>
    <xf numFmtId="0" fontId="1" fillId="14" borderId="0" applyNumberFormat="0" applyBorder="0" applyAlignment="0" applyProtection="0"/>
    <xf numFmtId="5" fontId="175" fillId="0" borderId="0" applyFont="0" applyFill="0" applyBorder="0" applyAlignment="0" applyProtection="0"/>
    <xf numFmtId="0" fontId="1" fillId="8" borderId="0" applyNumberFormat="0" applyBorder="0" applyAlignment="0" applyProtection="0"/>
    <xf numFmtId="253" fontId="2" fillId="0" borderId="0" applyFont="0" applyFill="0" applyBorder="0" applyAlignment="0" applyProtection="0"/>
    <xf numFmtId="5" fontId="175" fillId="0" borderId="0" applyFont="0" applyFill="0" applyBorder="0" applyAlignment="0" applyProtection="0"/>
    <xf numFmtId="0" fontId="1" fillId="14" borderId="0" applyNumberFormat="0" applyBorder="0" applyAlignment="0" applyProtection="0"/>
    <xf numFmtId="0" fontId="1" fillId="14"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253" fontId="2" fillId="0" borderId="0" applyFont="0" applyFill="0" applyBorder="0" applyAlignment="0" applyProtection="0"/>
    <xf numFmtId="5" fontId="175"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236" fontId="2" fillId="0" borderId="0" applyFont="0" applyFill="0" applyBorder="0" applyAlignment="0" applyProtection="0"/>
    <xf numFmtId="0" fontId="1" fillId="14"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0" fontId="202" fillId="0" borderId="0" applyFill="0" applyBorder="0" applyProtection="0">
      <alignment horizontal="center" vertical="center"/>
    </xf>
    <xf numFmtId="252" fontId="2" fillId="0" borderId="0" applyFont="0" applyFill="0" applyBorder="0" applyAlignment="0" applyProtection="0"/>
    <xf numFmtId="0" fontId="1" fillId="6"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0" fontId="3" fillId="0" borderId="11" applyFill="0" applyAlignment="0" applyProtection="0"/>
    <xf numFmtId="5" fontId="175"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8"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9" fontId="1"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5" fillId="0" borderId="0"/>
    <xf numFmtId="0" fontId="1" fillId="1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15" borderId="0" applyNumberFormat="0" applyBorder="0" applyAlignment="0" applyProtection="0"/>
    <xf numFmtId="9" fontId="204" fillId="0" borderId="0" applyFont="0" applyFill="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57" fillId="0" borderId="0" applyNumberFormat="0" applyFill="0" applyBorder="0" applyAlignment="0" applyProtection="0"/>
    <xf numFmtId="0" fontId="5" fillId="0" borderId="0"/>
    <xf numFmtId="25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1"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1" fontId="2"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4" fontId="2"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1"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43" fontId="1" fillId="0" borderId="0" applyFont="0" applyFill="0" applyBorder="0" applyAlignment="0" applyProtection="0"/>
    <xf numFmtId="43" fontId="96"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43" fontId="10"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43" fontId="10"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43" fontId="10" fillId="0" borderId="0" applyFont="0" applyFill="0" applyBorder="0" applyAlignment="0" applyProtection="0"/>
    <xf numFmtId="252"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51"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96"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06" fillId="0" borderId="0" applyNumberFormat="0" applyFill="0" applyBorder="0" applyAlignment="0" applyProtection="0">
      <alignment vertical="top"/>
      <protection locked="0"/>
    </xf>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alignment vertical="center"/>
    </xf>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0" fillId="0" borderId="0"/>
    <xf numFmtId="0" fontId="1" fillId="0" borderId="0"/>
    <xf numFmtId="0" fontId="10" fillId="0" borderId="0"/>
    <xf numFmtId="0" fontId="2" fillId="0" borderId="0"/>
    <xf numFmtId="0" fontId="2" fillId="0" borderId="0"/>
    <xf numFmtId="0" fontId="10" fillId="0" borderId="0"/>
    <xf numFmtId="0" fontId="2" fillId="0" borderId="0"/>
    <xf numFmtId="0" fontId="2" fillId="0" borderId="0"/>
    <xf numFmtId="0" fontId="10" fillId="0" borderId="0"/>
    <xf numFmtId="0" fontId="2" fillId="0" borderId="0"/>
    <xf numFmtId="0" fontId="2" fillId="0" borderId="0">
      <alignment vertical="center"/>
    </xf>
    <xf numFmtId="0" fontId="2" fillId="0" borderId="0"/>
    <xf numFmtId="0" fontId="5"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5" fillId="0" borderId="0"/>
    <xf numFmtId="0" fontId="2" fillId="0" borderId="0">
      <alignment vertical="center"/>
    </xf>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7" fillId="0" borderId="0"/>
    <xf numFmtId="0" fontId="7"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9" fontId="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0" fillId="0" borderId="0" applyFont="0" applyFill="0" applyBorder="0" applyAlignment="0" applyProtection="0"/>
    <xf numFmtId="9" fontId="96" fillId="0" borderId="0" applyFont="0" applyFill="0" applyBorder="0" applyAlignment="0" applyProtection="0"/>
    <xf numFmtId="9" fontId="9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206" fillId="0" borderId="0" applyNumberFormat="0" applyFill="0" applyBorder="0" applyAlignment="0" applyProtection="0">
      <alignment vertical="top"/>
      <protection locked="0"/>
    </xf>
    <xf numFmtId="0" fontId="205" fillId="0" borderId="0" applyNumberFormat="0" applyFill="0" applyBorder="0" applyAlignment="0" applyProtection="0"/>
    <xf numFmtId="0" fontId="1" fillId="0" borderId="0"/>
    <xf numFmtId="0" fontId="5" fillId="0" borderId="0"/>
    <xf numFmtId="0" fontId="5" fillId="0" borderId="0"/>
    <xf numFmtId="0" fontId="203" fillId="0" borderId="0"/>
    <xf numFmtId="43" fontId="204" fillId="0" borderId="0" applyFont="0" applyFill="0" applyBorder="0" applyAlignment="0" applyProtection="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08" fillId="0" borderId="0" applyFont="0" applyFill="0" applyBorder="0" applyAlignment="0" applyProtection="0"/>
    <xf numFmtId="44" fontId="208" fillId="0" borderId="0" applyFont="0" applyFill="0" applyBorder="0" applyAlignment="0" applyProtection="0"/>
    <xf numFmtId="43" fontId="1" fillId="0" borderId="0" applyFont="0" applyFill="0" applyBorder="0" applyAlignment="0" applyProtection="0"/>
    <xf numFmtId="255" fontId="209" fillId="0" borderId="0" applyFont="0" applyFill="0" applyBorder="0" applyAlignment="0" applyProtection="0"/>
    <xf numFmtId="256" fontId="209" fillId="0" borderId="0" applyFont="0" applyFill="0" applyBorder="0" applyAlignment="0" applyProtection="0"/>
    <xf numFmtId="257" fontId="209" fillId="0" borderId="0" applyFont="0" applyFill="0" applyBorder="0" applyAlignment="0" applyProtection="0"/>
    <xf numFmtId="258" fontId="209" fillId="0" borderId="0" applyFont="0" applyFill="0" applyBorder="0" applyAlignment="0" applyProtection="0"/>
    <xf numFmtId="0" fontId="1" fillId="0" borderId="0"/>
    <xf numFmtId="44" fontId="1" fillId="0" borderId="0" applyFont="0" applyFill="0" applyBorder="0" applyAlignment="0" applyProtection="0"/>
    <xf numFmtId="0" fontId="210" fillId="0" borderId="107">
      <alignment horizontal="left"/>
    </xf>
    <xf numFmtId="0" fontId="211" fillId="0" borderId="107">
      <alignment horizontal="left" wrapText="1"/>
    </xf>
    <xf numFmtId="0" fontId="211" fillId="0" borderId="0">
      <alignment horizontal="right" vertical="center"/>
    </xf>
    <xf numFmtId="0" fontId="11" fillId="0" borderId="0" applyFill="0" applyBorder="0" applyProtection="0">
      <alignment horizontal="center" vertical="center"/>
    </xf>
    <xf numFmtId="0" fontId="210" fillId="0" borderId="0">
      <alignment horizontal="center" vertical="center" wrapText="1"/>
    </xf>
    <xf numFmtId="0" fontId="102" fillId="0" borderId="101">
      <alignment horizontal="center"/>
    </xf>
    <xf numFmtId="251" fontId="2" fillId="0" borderId="0" applyFont="0" applyFill="0" applyBorder="0" applyAlignment="0" applyProtection="0"/>
    <xf numFmtId="251" fontId="2" fillId="0" borderId="0" applyFont="0" applyFill="0" applyBorder="0" applyAlignment="0" applyProtection="0"/>
    <xf numFmtId="25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51"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51" fontId="2"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59" fontId="212" fillId="0" borderId="0" applyFill="0" applyBorder="0" applyProtection="0"/>
    <xf numFmtId="260" fontId="19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211" fillId="0" borderId="0">
      <alignment horizontal="left" vertical="center" wrapText="1"/>
    </xf>
    <xf numFmtId="0" fontId="210" fillId="0" borderId="0">
      <alignment horizontal="left" vertical="center" wrapText="1"/>
    </xf>
    <xf numFmtId="43" fontId="2" fillId="0" borderId="0" applyFont="0" applyFill="0" applyBorder="0" applyAlignment="0" applyProtection="0"/>
    <xf numFmtId="0" fontId="1" fillId="0" borderId="0"/>
    <xf numFmtId="0" fontId="2" fillId="0" borderId="0"/>
    <xf numFmtId="0" fontId="1" fillId="0" borderId="0"/>
    <xf numFmtId="177" fontId="44" fillId="0" borderId="108" applyFill="0" applyBorder="0" applyProtection="0">
      <alignment horizontal="right"/>
      <protection locked="0"/>
    </xf>
    <xf numFmtId="178" fontId="44" fillId="0" borderId="108" applyFill="0" applyBorder="0" applyProtection="0">
      <alignment horizontal="right"/>
      <protection locked="0"/>
    </xf>
    <xf numFmtId="179" fontId="44" fillId="0" borderId="108" applyFill="0" applyBorder="0" applyProtection="0">
      <alignment horizontal="right"/>
      <protection locked="0"/>
    </xf>
    <xf numFmtId="0" fontId="4" fillId="0" borderId="109" applyNumberFormat="0" applyAlignment="0" applyProtection="0">
      <alignment horizontal="left" vertical="center"/>
    </xf>
    <xf numFmtId="0" fontId="4" fillId="0" borderId="45">
      <alignment horizontal="left" vertical="center"/>
    </xf>
    <xf numFmtId="181" fontId="44" fillId="0" borderId="110" applyFill="0" applyBorder="0" applyProtection="0">
      <alignment horizontal="center"/>
      <protection locked="0"/>
    </xf>
    <xf numFmtId="182" fontId="44" fillId="0" borderId="110" applyFill="0" applyBorder="0" applyProtection="0">
      <alignment horizontal="center"/>
      <protection locked="0"/>
    </xf>
    <xf numFmtId="187" fontId="44" fillId="0" borderId="110" applyFill="0" applyBorder="0" applyProtection="0">
      <alignment horizontal="center"/>
      <protection locked="0"/>
    </xf>
    <xf numFmtId="188" fontId="44" fillId="0" borderId="110" applyFill="0" applyBorder="0" applyProtection="0">
      <alignment horizontal="center"/>
      <protection locked="0"/>
    </xf>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5"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43" fontId="1" fillId="0" borderId="0" applyFont="0" applyFill="0" applyBorder="0" applyAlignment="0" applyProtection="0"/>
    <xf numFmtId="0" fontId="205" fillId="0" borderId="0" applyNumberFormat="0" applyFill="0" applyBorder="0" applyAlignment="0" applyProtection="0"/>
    <xf numFmtId="43" fontId="5"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05" fillId="0" borderId="0" applyNumberFormat="0" applyFill="0" applyBorder="0" applyAlignment="0" applyProtection="0"/>
    <xf numFmtId="261" fontId="2" fillId="0" borderId="0"/>
    <xf numFmtId="0" fontId="5" fillId="0" borderId="0"/>
    <xf numFmtId="0" fontId="1" fillId="0" borderId="0"/>
    <xf numFmtId="0" fontId="1" fillId="0" borderId="0"/>
    <xf numFmtId="0" fontId="1" fillId="0" borderId="0"/>
    <xf numFmtId="0" fontId="1" fillId="4" borderId="21" applyNumberFormat="0" applyFont="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1" fillId="0" borderId="0"/>
    <xf numFmtId="0" fontId="205" fillId="0" borderId="0" applyNumberFormat="0" applyFill="0" applyBorder="0" applyAlignment="0" applyProtection="0"/>
    <xf numFmtId="0" fontId="1" fillId="0" borderId="0"/>
    <xf numFmtId="0" fontId="20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9" fontId="175" fillId="0" borderId="0" applyFon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5" fontId="175" fillId="0" borderId="0" applyFon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43" fontId="172" fillId="0" borderId="0" applyFont="0" applyFill="0" applyBorder="0" applyAlignment="0" applyProtection="0"/>
    <xf numFmtId="9" fontId="172" fillId="0" borderId="0" applyFont="0" applyFill="0" applyBorder="0" applyAlignment="0" applyProtection="0"/>
    <xf numFmtId="44" fontId="172" fillId="0" borderId="0" applyFont="0" applyFill="0" applyBorder="0" applyAlignment="0" applyProtection="0"/>
    <xf numFmtId="0" fontId="205" fillId="0" borderId="0" applyNumberFormat="0" applyFill="0" applyBorder="0" applyAlignment="0" applyProtection="0"/>
    <xf numFmtId="0" fontId="172"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 fillId="0" borderId="0"/>
    <xf numFmtId="0" fontId="172" fillId="0" borderId="0"/>
    <xf numFmtId="44" fontId="172" fillId="0" borderId="0" applyFont="0" applyFill="0" applyBorder="0" applyAlignment="0" applyProtection="0"/>
    <xf numFmtId="9" fontId="172" fillId="0" borderId="0" applyFont="0" applyFill="0" applyBorder="0" applyAlignment="0" applyProtection="0"/>
    <xf numFmtId="43" fontId="172" fillId="0" borderId="0" applyFont="0" applyFill="0" applyBorder="0" applyAlignment="0" applyProtection="0"/>
    <xf numFmtId="0" fontId="174" fillId="0" borderId="112"/>
    <xf numFmtId="5" fontId="175" fillId="0" borderId="0" applyFont="0" applyFill="0" applyBorder="0" applyAlignment="0" applyProtection="0"/>
    <xf numFmtId="9" fontId="175" fillId="0" borderId="0" applyFont="0" applyFill="0" applyBorder="0" applyAlignment="0" applyProtection="0"/>
    <xf numFmtId="0" fontId="175" fillId="0" borderId="44" applyNumberFormat="0" applyFont="0" applyFill="0" applyAlignment="0" applyProtection="0"/>
    <xf numFmtId="0" fontId="30" fillId="35" borderId="113" applyNumberFormat="0" applyAlignment="0" applyProtection="0"/>
    <xf numFmtId="17" fontId="90" fillId="0" borderId="44" applyFont="0" applyFill="0" applyBorder="0" applyAlignment="0" applyProtection="0"/>
    <xf numFmtId="0" fontId="37" fillId="22" borderId="113" applyNumberFormat="0" applyAlignment="0" applyProtection="0"/>
    <xf numFmtId="236" fontId="2" fillId="0" borderId="0" applyFont="0" applyFill="0" applyBorder="0" applyAlignment="0" applyProtection="0"/>
    <xf numFmtId="0" fontId="173" fillId="37" borderId="114" applyNumberFormat="0" applyFont="0" applyAlignment="0" applyProtection="0"/>
    <xf numFmtId="0" fontId="10" fillId="38" borderId="114" applyNumberFormat="0" applyFont="0" applyAlignment="0" applyProtection="0"/>
    <xf numFmtId="0" fontId="40" fillId="41" borderId="115" applyNumberFormat="0" applyAlignment="0" applyProtection="0"/>
    <xf numFmtId="0" fontId="40" fillId="35" borderId="115" applyNumberFormat="0" applyAlignment="0" applyProtection="0"/>
    <xf numFmtId="0" fontId="175" fillId="0" borderId="44" applyNumberFormat="0" applyFont="0" applyFill="0" applyAlignment="0" applyProtection="0"/>
    <xf numFmtId="0" fontId="175" fillId="0" borderId="44" applyNumberFormat="0" applyFont="0" applyFill="0" applyAlignment="0" applyProtection="0"/>
    <xf numFmtId="177" fontId="44" fillId="0" borderId="116" applyFill="0" applyBorder="0" applyProtection="0">
      <alignment horizontal="right"/>
      <protection locked="0"/>
    </xf>
    <xf numFmtId="178" fontId="44" fillId="0" borderId="116" applyFill="0" applyBorder="0" applyProtection="0">
      <alignment horizontal="right"/>
      <protection locked="0"/>
    </xf>
    <xf numFmtId="179" fontId="44" fillId="0" borderId="116" applyFill="0" applyBorder="0" applyProtection="0">
      <alignment horizontal="right"/>
      <protection locked="0"/>
    </xf>
    <xf numFmtId="0" fontId="30" fillId="35" borderId="113" applyNumberFormat="0" applyAlignment="0" applyProtection="0"/>
    <xf numFmtId="0" fontId="47" fillId="41" borderId="113" applyNumberFormat="0" applyAlignment="0" applyProtection="0"/>
    <xf numFmtId="0" fontId="4" fillId="0" borderId="117" applyNumberFormat="0" applyAlignment="0" applyProtection="0">
      <alignment horizontal="left" vertical="center"/>
    </xf>
    <xf numFmtId="181" fontId="44" fillId="0" borderId="118" applyFill="0" applyBorder="0" applyProtection="0">
      <alignment horizontal="center"/>
      <protection locked="0"/>
    </xf>
    <xf numFmtId="182" fontId="44" fillId="0" borderId="118" applyFill="0" applyBorder="0" applyProtection="0">
      <alignment horizontal="center"/>
      <protection locked="0"/>
    </xf>
    <xf numFmtId="0" fontId="37" fillId="22" borderId="113" applyNumberFormat="0" applyAlignment="0" applyProtection="0"/>
    <xf numFmtId="0" fontId="52" fillId="37" borderId="113" applyNumberFormat="0" applyAlignment="0" applyProtection="0"/>
    <xf numFmtId="187" fontId="44" fillId="0" borderId="118" applyFill="0" applyBorder="0" applyProtection="0">
      <alignment horizontal="center"/>
      <protection locked="0"/>
    </xf>
    <xf numFmtId="188" fontId="44" fillId="0" borderId="118" applyFill="0" applyBorder="0" applyProtection="0">
      <alignment horizontal="center"/>
      <protection locked="0"/>
    </xf>
    <xf numFmtId="0" fontId="40" fillId="35" borderId="115" applyNumberFormat="0" applyAlignment="0" applyProtection="0"/>
    <xf numFmtId="0" fontId="55" fillId="41" borderId="119" applyNumberFormat="0" applyAlignment="0" applyProtection="0"/>
    <xf numFmtId="1" fontId="45" fillId="0" borderId="120" applyNumberFormat="0" applyFont="0" applyFill="0" applyAlignment="0" applyProtection="0">
      <alignment horizontal="center"/>
    </xf>
    <xf numFmtId="0" fontId="42" fillId="0" borderId="121" applyNumberFormat="0" applyFill="0" applyAlignment="0" applyProtection="0"/>
    <xf numFmtId="0" fontId="42" fillId="0" borderId="122" applyNumberFormat="0" applyFill="0" applyAlignment="0" applyProtection="0"/>
    <xf numFmtId="198" fontId="15" fillId="0" borderId="131" applyFont="0" applyFill="0" applyBorder="0" applyAlignment="0" applyProtection="0"/>
    <xf numFmtId="0" fontId="4" fillId="0" borderId="132">
      <alignment horizontal="left" vertical="center"/>
    </xf>
    <xf numFmtId="0" fontId="2" fillId="38" borderId="114" applyNumberFormat="0" applyFont="0" applyAlignment="0" applyProtection="0"/>
    <xf numFmtId="0" fontId="2" fillId="38" borderId="114" applyNumberFormat="0" applyFont="0" applyAlignment="0" applyProtection="0"/>
    <xf numFmtId="0" fontId="10" fillId="0" borderId="0"/>
    <xf numFmtId="0" fontId="2" fillId="0" borderId="0"/>
    <xf numFmtId="1" fontId="45" fillId="0" borderId="133" applyNumberFormat="0" applyFont="0" applyFill="0" applyAlignment="0" applyProtection="0">
      <alignment horizontal="center"/>
    </xf>
    <xf numFmtId="175" fontId="19" fillId="0" borderId="0"/>
    <xf numFmtId="0" fontId="56" fillId="0" borderId="41">
      <alignment horizontal="center"/>
    </xf>
    <xf numFmtId="44" fontId="2" fillId="0" borderId="0" applyFont="0" applyFill="0" applyBorder="0" applyAlignment="0" applyProtection="0"/>
    <xf numFmtId="0" fontId="2" fillId="0" borderId="0"/>
    <xf numFmtId="175" fontId="19" fillId="0" borderId="0"/>
    <xf numFmtId="9" fontId="2" fillId="0" borderId="0" applyFont="0" applyFill="0" applyBorder="0" applyAlignment="0" applyProtection="0"/>
    <xf numFmtId="9" fontId="2" fillId="0" borderId="0" applyFont="0" applyFill="0" applyBorder="0" applyAlignment="0" applyProtection="0"/>
    <xf numFmtId="0" fontId="89" fillId="0" borderId="130" applyNumberFormat="0" applyFill="0" applyAlignment="0" applyProtection="0"/>
    <xf numFmtId="0" fontId="131" fillId="0" borderId="134" applyFill="0" applyProtection="0">
      <alignment horizontal="right"/>
    </xf>
    <xf numFmtId="0" fontId="106" fillId="35" borderId="113" applyNumberFormat="0" applyAlignment="0" applyProtection="0"/>
    <xf numFmtId="8" fontId="2" fillId="0" borderId="135" applyFont="0" applyFill="0" applyBorder="0" applyProtection="0">
      <alignment horizontal="right"/>
    </xf>
    <xf numFmtId="0" fontId="113" fillId="22" borderId="113" applyNumberFormat="0" applyAlignment="0" applyProtection="0"/>
    <xf numFmtId="0" fontId="2" fillId="38" borderId="114" applyNumberFormat="0" applyFont="0" applyAlignment="0" applyProtection="0"/>
    <xf numFmtId="0" fontId="116" fillId="35" borderId="115" applyNumberFormat="0" applyAlignment="0" applyProtection="0"/>
    <xf numFmtId="0" fontId="121" fillId="0" borderId="130">
      <alignment horizontal="centerContinuous"/>
    </xf>
    <xf numFmtId="0" fontId="95" fillId="0" borderId="135">
      <alignment horizontal="centerContinuous"/>
    </xf>
    <xf numFmtId="0" fontId="95" fillId="0" borderId="135">
      <alignment horizontal="centerContinuous"/>
    </xf>
    <xf numFmtId="0" fontId="95" fillId="0" borderId="135">
      <alignment horizontal="centerContinuous"/>
    </xf>
    <xf numFmtId="0" fontId="95" fillId="0" borderId="135">
      <alignment horizontal="centerContinuous"/>
    </xf>
    <xf numFmtId="0" fontId="95" fillId="0" borderId="135">
      <alignment horizontal="centerContinuous"/>
    </xf>
    <xf numFmtId="0" fontId="95" fillId="0" borderId="135">
      <alignment horizontal="centerContinuous"/>
    </xf>
    <xf numFmtId="0" fontId="95" fillId="0" borderId="135">
      <alignment horizontal="centerContinuous"/>
    </xf>
    <xf numFmtId="0" fontId="95" fillId="0" borderId="135">
      <alignment horizontal="centerContinuous"/>
    </xf>
    <xf numFmtId="0" fontId="94" fillId="0" borderId="135"/>
    <xf numFmtId="0" fontId="118" fillId="0" borderId="121" applyNumberFormat="0" applyFill="0" applyAlignment="0" applyProtection="0"/>
    <xf numFmtId="0" fontId="30" fillId="35" borderId="113" applyNumberFormat="0" applyAlignment="0" applyProtection="0"/>
    <xf numFmtId="0" fontId="37" fillId="22" borderId="113" applyNumberFormat="0" applyAlignment="0" applyProtection="0"/>
    <xf numFmtId="0" fontId="2" fillId="38" borderId="114" applyNumberFormat="0" applyFont="0" applyAlignment="0" applyProtection="0"/>
    <xf numFmtId="0" fontId="40" fillId="35" borderId="115" applyNumberFormat="0" applyAlignment="0" applyProtection="0"/>
    <xf numFmtId="0" fontId="42" fillId="0" borderId="121" applyNumberFormat="0" applyFill="0" applyAlignment="0" applyProtection="0"/>
    <xf numFmtId="0" fontId="47" fillId="41" borderId="113" applyNumberFormat="0" applyAlignment="0" applyProtection="0"/>
    <xf numFmtId="0" fontId="4" fillId="0" borderId="132">
      <alignment horizontal="left" vertical="center"/>
    </xf>
    <xf numFmtId="0" fontId="52" fillId="37" borderId="113" applyNumberFormat="0" applyAlignment="0" applyProtection="0"/>
    <xf numFmtId="0" fontId="2" fillId="38" borderId="114" applyNumberFormat="0" applyFont="0" applyAlignment="0" applyProtection="0"/>
    <xf numFmtId="0" fontId="55" fillId="41" borderId="119" applyNumberFormat="0" applyAlignment="0" applyProtection="0"/>
    <xf numFmtId="1" fontId="45" fillId="0" borderId="120" applyNumberFormat="0" applyFont="0" applyFill="0" applyAlignment="0" applyProtection="0">
      <alignment horizontal="center"/>
    </xf>
    <xf numFmtId="0" fontId="42" fillId="0" borderId="122" applyNumberFormat="0" applyFill="0" applyAlignment="0" applyProtection="0"/>
    <xf numFmtId="198" fontId="15" fillId="0" borderId="131" applyFont="0" applyFill="0" applyBorder="0" applyAlignment="0" applyProtection="0"/>
    <xf numFmtId="0" fontId="113" fillId="22" borderId="113" applyNumberFormat="0" applyAlignment="0" applyProtection="0"/>
    <xf numFmtId="0" fontId="2" fillId="38" borderId="114" applyNumberFormat="0" applyFont="0" applyAlignment="0" applyProtection="0"/>
    <xf numFmtId="0" fontId="116" fillId="35" borderId="115" applyNumberFormat="0" applyAlignment="0" applyProtection="0"/>
    <xf numFmtId="0" fontId="131" fillId="0" borderId="134" applyFill="0" applyProtection="0">
      <alignment horizontal="right"/>
    </xf>
    <xf numFmtId="0" fontId="106" fillId="35" borderId="113" applyNumberFormat="0" applyAlignment="0" applyProtection="0"/>
    <xf numFmtId="0" fontId="118" fillId="0" borderId="121" applyNumberFormat="0" applyFill="0" applyAlignment="0" applyProtection="0"/>
    <xf numFmtId="0" fontId="30" fillId="35" borderId="113" applyNumberFormat="0" applyAlignment="0" applyProtection="0"/>
    <xf numFmtId="0" fontId="37" fillId="22" borderId="113" applyNumberFormat="0" applyAlignment="0" applyProtection="0"/>
    <xf numFmtId="0" fontId="2" fillId="38" borderId="114" applyNumberFormat="0" applyFont="0" applyAlignment="0" applyProtection="0"/>
    <xf numFmtId="0" fontId="40" fillId="35" borderId="115" applyNumberFormat="0" applyAlignment="0" applyProtection="0"/>
    <xf numFmtId="0" fontId="42" fillId="0" borderId="121" applyNumberFormat="0" applyFill="0" applyAlignment="0" applyProtection="0"/>
    <xf numFmtId="0" fontId="47" fillId="41" borderId="113" applyNumberFormat="0" applyAlignment="0" applyProtection="0"/>
    <xf numFmtId="0" fontId="52" fillId="37" borderId="113" applyNumberFormat="0" applyAlignment="0" applyProtection="0"/>
    <xf numFmtId="0" fontId="106" fillId="35" borderId="113" applyNumberFormat="0" applyAlignment="0" applyProtection="0"/>
    <xf numFmtId="0" fontId="2" fillId="38" borderId="114" applyNumberFormat="0" applyFont="0" applyAlignment="0" applyProtection="0"/>
    <xf numFmtId="0" fontId="131" fillId="0" borderId="134" applyFill="0" applyProtection="0">
      <alignment horizontal="right"/>
    </xf>
    <xf numFmtId="0" fontId="118" fillId="0" borderId="121" applyNumberFormat="0" applyFill="0" applyAlignment="0" applyProtection="0"/>
    <xf numFmtId="0" fontId="131" fillId="0" borderId="134" applyFill="0" applyProtection="0">
      <alignment horizontal="right"/>
    </xf>
    <xf numFmtId="0" fontId="106" fillId="35" borderId="113" applyNumberFormat="0" applyAlignment="0" applyProtection="0"/>
    <xf numFmtId="0" fontId="116" fillId="35" borderId="115" applyNumberFormat="0" applyAlignment="0" applyProtection="0"/>
    <xf numFmtId="0" fontId="2" fillId="38" borderId="114" applyNumberFormat="0" applyFont="0" applyAlignment="0" applyProtection="0"/>
    <xf numFmtId="0" fontId="113" fillId="22" borderId="113" applyNumberFormat="0" applyAlignment="0" applyProtection="0"/>
    <xf numFmtId="0" fontId="113" fillId="22" borderId="113" applyNumberFormat="0" applyAlignment="0" applyProtection="0"/>
    <xf numFmtId="0" fontId="2" fillId="38" borderId="114" applyNumberFormat="0" applyFont="0" applyAlignment="0" applyProtection="0"/>
    <xf numFmtId="0" fontId="116" fillId="35" borderId="115" applyNumberFormat="0" applyAlignment="0" applyProtection="0"/>
    <xf numFmtId="0" fontId="118" fillId="0" borderId="121" applyNumberFormat="0" applyFill="0" applyAlignment="0" applyProtection="0"/>
    <xf numFmtId="0" fontId="30" fillId="35" borderId="113" applyNumberFormat="0" applyAlignment="0" applyProtection="0"/>
    <xf numFmtId="0" fontId="37" fillId="22" borderId="113" applyNumberFormat="0" applyAlignment="0" applyProtection="0"/>
    <xf numFmtId="0" fontId="2" fillId="38" borderId="114" applyNumberFormat="0" applyFont="0" applyAlignment="0" applyProtection="0"/>
    <xf numFmtId="0" fontId="40" fillId="35" borderId="115" applyNumberFormat="0" applyAlignment="0" applyProtection="0"/>
    <xf numFmtId="0" fontId="42" fillId="0" borderId="121" applyNumberFormat="0" applyFill="0" applyAlignment="0" applyProtection="0"/>
    <xf numFmtId="0" fontId="47" fillId="41" borderId="113" applyNumberFormat="0" applyAlignment="0" applyProtection="0"/>
    <xf numFmtId="0" fontId="4" fillId="0" borderId="132">
      <alignment horizontal="left" vertical="center"/>
    </xf>
    <xf numFmtId="0" fontId="52" fillId="37" borderId="113" applyNumberFormat="0" applyAlignment="0" applyProtection="0"/>
    <xf numFmtId="0" fontId="2" fillId="38" borderId="114" applyNumberFormat="0" applyFont="0" applyAlignment="0" applyProtection="0"/>
    <xf numFmtId="0" fontId="55" fillId="41" borderId="119" applyNumberFormat="0" applyAlignment="0" applyProtection="0"/>
    <xf numFmtId="1" fontId="45" fillId="0" borderId="120" applyNumberFormat="0" applyFont="0" applyFill="0" applyAlignment="0" applyProtection="0">
      <alignment horizontal="center"/>
    </xf>
    <xf numFmtId="0" fontId="42" fillId="0" borderId="122" applyNumberFormat="0" applyFill="0" applyAlignment="0" applyProtection="0"/>
    <xf numFmtId="198" fontId="15" fillId="0" borderId="131" applyFont="0" applyFill="0" applyBorder="0" applyAlignment="0" applyProtection="0"/>
    <xf numFmtId="0" fontId="113" fillId="22" borderId="113" applyNumberFormat="0" applyAlignment="0" applyProtection="0"/>
    <xf numFmtId="0" fontId="2" fillId="38" borderId="114" applyNumberFormat="0" applyFont="0" applyAlignment="0" applyProtection="0"/>
    <xf numFmtId="0" fontId="116" fillId="35" borderId="115" applyNumberFormat="0" applyAlignment="0" applyProtection="0"/>
    <xf numFmtId="0" fontId="131" fillId="0" borderId="134" applyFill="0" applyProtection="0">
      <alignment horizontal="right"/>
    </xf>
    <xf numFmtId="0" fontId="106" fillId="35" borderId="113" applyNumberFormat="0" applyAlignment="0" applyProtection="0"/>
    <xf numFmtId="0" fontId="118" fillId="0" borderId="121" applyNumberFormat="0" applyFill="0" applyAlignment="0" applyProtection="0"/>
    <xf numFmtId="0" fontId="30" fillId="35" borderId="113" applyNumberFormat="0" applyAlignment="0" applyProtection="0"/>
    <xf numFmtId="0" fontId="37" fillId="22" borderId="113" applyNumberFormat="0" applyAlignment="0" applyProtection="0"/>
    <xf numFmtId="0" fontId="2" fillId="38" borderId="114" applyNumberFormat="0" applyFont="0" applyAlignment="0" applyProtection="0"/>
    <xf numFmtId="0" fontId="40" fillId="35" borderId="115" applyNumberFormat="0" applyAlignment="0" applyProtection="0"/>
    <xf numFmtId="0" fontId="42" fillId="0" borderId="121" applyNumberFormat="0" applyFill="0" applyAlignment="0" applyProtection="0"/>
    <xf numFmtId="0" fontId="47" fillId="41" borderId="113" applyNumberFormat="0" applyAlignment="0" applyProtection="0"/>
    <xf numFmtId="0" fontId="4" fillId="0" borderId="132">
      <alignment horizontal="left" vertical="center"/>
    </xf>
    <xf numFmtId="0" fontId="52" fillId="37" borderId="113" applyNumberFormat="0" applyAlignment="0" applyProtection="0"/>
    <xf numFmtId="0" fontId="2" fillId="38" borderId="114" applyNumberFormat="0" applyFont="0" applyAlignment="0" applyProtection="0"/>
    <xf numFmtId="0" fontId="55" fillId="41" borderId="119" applyNumberFormat="0" applyAlignment="0" applyProtection="0"/>
    <xf numFmtId="1" fontId="45" fillId="0" borderId="120" applyNumberFormat="0" applyFont="0" applyFill="0" applyAlignment="0" applyProtection="0">
      <alignment horizontal="center"/>
    </xf>
    <xf numFmtId="0" fontId="42" fillId="0" borderId="122" applyNumberFormat="0" applyFill="0" applyAlignment="0" applyProtection="0"/>
    <xf numFmtId="198" fontId="15" fillId="0" borderId="131" applyFont="0" applyFill="0" applyBorder="0" applyAlignment="0" applyProtection="0"/>
    <xf numFmtId="0" fontId="113" fillId="22" borderId="113" applyNumberFormat="0" applyAlignment="0" applyProtection="0"/>
    <xf numFmtId="0" fontId="2" fillId="38" borderId="114" applyNumberFormat="0" applyFont="0" applyAlignment="0" applyProtection="0"/>
    <xf numFmtId="0" fontId="116" fillId="35" borderId="115" applyNumberFormat="0" applyAlignment="0" applyProtection="0"/>
    <xf numFmtId="0" fontId="131" fillId="0" borderId="134" applyFill="0" applyProtection="0">
      <alignment horizontal="right"/>
    </xf>
    <xf numFmtId="0" fontId="106" fillId="35" borderId="113" applyNumberFormat="0" applyAlignment="0" applyProtection="0"/>
    <xf numFmtId="0" fontId="118" fillId="0" borderId="121" applyNumberFormat="0" applyFill="0" applyAlignment="0" applyProtection="0"/>
    <xf numFmtId="0" fontId="1" fillId="0" borderId="0"/>
    <xf numFmtId="1" fontId="45" fillId="0" borderId="133" applyNumberFormat="0" applyFont="0" applyFill="0" applyAlignment="0" applyProtection="0">
      <alignment horizontal="center"/>
    </xf>
    <xf numFmtId="0" fontId="174" fillId="0" borderId="136"/>
    <xf numFmtId="0" fontId="175" fillId="0" borderId="130" applyNumberFormat="0" applyFont="0" applyFill="0" applyAlignment="0" applyProtection="0"/>
    <xf numFmtId="230" fontId="44" fillId="0" borderId="130"/>
    <xf numFmtId="1" fontId="92" fillId="0" borderId="130" applyNumberFormat="0">
      <alignment horizontal="right"/>
    </xf>
    <xf numFmtId="0" fontId="175" fillId="0" borderId="130" applyNumberFormat="0" applyFont="0" applyFill="0" applyAlignment="0" applyProtection="0"/>
    <xf numFmtId="0" fontId="175" fillId="0" borderId="130" applyNumberFormat="0" applyFont="0" applyFill="0" applyAlignment="0" applyProtection="0"/>
    <xf numFmtId="0" fontId="3" fillId="0" borderId="130" applyFill="0" applyAlignment="0" applyProtection="0"/>
    <xf numFmtId="177" fontId="44" fillId="0" borderId="116" applyFill="0" applyBorder="0" applyProtection="0">
      <alignment horizontal="right"/>
      <protection locked="0"/>
    </xf>
    <xf numFmtId="178" fontId="44" fillId="0" borderId="116" applyFill="0" applyBorder="0" applyProtection="0">
      <alignment horizontal="right"/>
      <protection locked="0"/>
    </xf>
    <xf numFmtId="179" fontId="44" fillId="0" borderId="116" applyFill="0" applyBorder="0" applyProtection="0">
      <alignment horizontal="right"/>
      <protection locked="0"/>
    </xf>
    <xf numFmtId="0" fontId="4" fillId="0" borderId="117" applyNumberFormat="0" applyAlignment="0" applyProtection="0">
      <alignment horizontal="left" vertical="center"/>
    </xf>
    <xf numFmtId="0" fontId="4" fillId="0" borderId="132">
      <alignment horizontal="left" vertical="center"/>
    </xf>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3" fillId="73" borderId="106">
      <alignment horizontal="left" vertical="center" wrapText="1"/>
    </xf>
    <xf numFmtId="0" fontId="175" fillId="0" borderId="44" applyNumberFormat="0" applyFont="0" applyFill="0" applyAlignment="0" applyProtection="0"/>
    <xf numFmtId="0" fontId="175" fillId="0" borderId="44" applyNumberFormat="0" applyFont="0" applyFill="0" applyAlignment="0" applyProtection="0"/>
    <xf numFmtId="236" fontId="2" fillId="0" borderId="0" applyFont="0" applyFill="0" applyBorder="0" applyAlignment="0" applyProtection="0"/>
    <xf numFmtId="17" fontId="90" fillId="0" borderId="44" applyFont="0" applyFill="0" applyBorder="0" applyAlignment="0" applyProtection="0"/>
    <xf numFmtId="0" fontId="175" fillId="0" borderId="44" applyNumberFormat="0" applyFont="0" applyFill="0" applyAlignment="0" applyProtection="0"/>
    <xf numFmtId="9" fontId="175" fillId="0" borderId="0" applyFont="0" applyFill="0" applyBorder="0" applyAlignment="0" applyProtection="0"/>
    <xf numFmtId="5" fontId="175" fillId="0" borderId="0" applyFont="0" applyFill="0" applyBorder="0" applyAlignment="0" applyProtection="0"/>
    <xf numFmtId="0" fontId="174" fillId="0" borderId="136"/>
    <xf numFmtId="43" fontId="172" fillId="0" borderId="0" applyFont="0" applyFill="0" applyBorder="0" applyAlignment="0" applyProtection="0"/>
    <xf numFmtId="9" fontId="172" fillId="0" borderId="0" applyFont="0" applyFill="0" applyBorder="0" applyAlignment="0" applyProtection="0"/>
    <xf numFmtId="44" fontId="172" fillId="0" borderId="0" applyFont="0" applyFill="0" applyBorder="0" applyAlignment="0" applyProtection="0"/>
    <xf numFmtId="0" fontId="172" fillId="0" borderId="0"/>
    <xf numFmtId="181" fontId="44" fillId="0" borderId="110" applyFill="0" applyBorder="0" applyProtection="0">
      <alignment horizontal="center"/>
      <protection locked="0"/>
    </xf>
    <xf numFmtId="182" fontId="44" fillId="0" borderId="110" applyFill="0" applyBorder="0" applyProtection="0">
      <alignment horizontal="center"/>
      <protection locked="0"/>
    </xf>
    <xf numFmtId="187" fontId="44" fillId="0" borderId="110" applyFill="0" applyBorder="0" applyProtection="0">
      <alignment horizontal="center"/>
      <protection locked="0"/>
    </xf>
    <xf numFmtId="44" fontId="1" fillId="0" borderId="0" applyFont="0" applyFill="0" applyBorder="0" applyAlignment="0" applyProtection="0"/>
    <xf numFmtId="0" fontId="2" fillId="0" borderId="0"/>
    <xf numFmtId="0" fontId="216" fillId="0" borderId="0" applyNumberFormat="0" applyBorder="0" applyAlignment="0"/>
    <xf numFmtId="0" fontId="2" fillId="0" borderId="0"/>
    <xf numFmtId="188" fontId="44" fillId="0" borderId="110" applyFill="0" applyBorder="0" applyProtection="0">
      <alignment horizontal="center"/>
      <protection locked="0"/>
    </xf>
    <xf numFmtId="0" fontId="217" fillId="0" borderId="93" applyNumberFormat="0" applyFill="0" applyAlignment="0" applyProtection="0"/>
    <xf numFmtId="0" fontId="218" fillId="0" borderId="94" applyNumberFormat="0" applyFill="0" applyAlignment="0" applyProtection="0"/>
    <xf numFmtId="0" fontId="219" fillId="0" borderId="95" applyNumberFormat="0" applyFill="0" applyAlignment="0" applyProtection="0"/>
    <xf numFmtId="0" fontId="219"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217" fillId="0" borderId="93" applyNumberFormat="0" applyFill="0" applyAlignment="0" applyProtection="0"/>
    <xf numFmtId="0" fontId="218" fillId="0" borderId="94" applyNumberFormat="0" applyFill="0" applyAlignment="0" applyProtection="0"/>
    <xf numFmtId="0" fontId="219" fillId="0" borderId="95" applyNumberFormat="0" applyFill="0" applyAlignment="0" applyProtection="0"/>
    <xf numFmtId="0" fontId="219"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5" fontId="175" fillId="0" borderId="0" applyFont="0" applyFill="0" applyBorder="0" applyAlignment="0" applyProtection="0"/>
    <xf numFmtId="8" fontId="175" fillId="0" borderId="0" applyFont="0" applyFill="0" applyBorder="0" applyAlignment="0" applyProtection="0"/>
    <xf numFmtId="9" fontId="175" fillId="0" borderId="0" applyFont="0" applyFill="0" applyBorder="0" applyAlignment="0" applyProtection="0"/>
    <xf numFmtId="10" fontId="175" fillId="0" borderId="0" applyFont="0" applyFill="0" applyBorder="0" applyAlignment="0" applyProtection="0"/>
    <xf numFmtId="0" fontId="175" fillId="0" borderId="130" applyNumberFormat="0" applyFont="0" applyFill="0" applyAlignment="0" applyProtection="0"/>
    <xf numFmtId="0" fontId="175" fillId="0" borderId="3" applyNumberFormat="0" applyFont="0" applyFill="0" applyAlignment="0" applyProtection="0"/>
    <xf numFmtId="0" fontId="175" fillId="0" borderId="4" applyNumberFormat="0" applyFont="0" applyFill="0" applyAlignment="0" applyProtection="0"/>
    <xf numFmtId="0" fontId="175" fillId="0" borderId="44" applyNumberFormat="0" applyFont="0" applyFill="0" applyAlignment="0" applyProtection="0"/>
    <xf numFmtId="14" fontId="175" fillId="0" borderId="0" applyFont="0" applyFill="0" applyBorder="0" applyAlignment="0" applyProtection="0"/>
    <xf numFmtId="0" fontId="1" fillId="0" borderId="0"/>
    <xf numFmtId="5" fontId="175" fillId="0" borderId="0" applyFon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175" fillId="0" borderId="0" applyNumberFormat="0" applyFont="0" applyFill="0" applyBorder="0" applyProtection="0">
      <alignment horizontal="left" vertical="top" wrapText="1"/>
    </xf>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26" fillId="0" borderId="98" applyNumberFormat="0" applyFill="0" applyAlignment="0" applyProtection="0"/>
    <xf numFmtId="0" fontId="217" fillId="0" borderId="93" applyNumberFormat="0" applyFill="0" applyAlignment="0" applyProtection="0"/>
    <xf numFmtId="0" fontId="218" fillId="0" borderId="94" applyNumberFormat="0" applyFill="0" applyAlignment="0" applyProtection="0"/>
    <xf numFmtId="0" fontId="219" fillId="0" borderId="95" applyNumberFormat="0" applyFill="0" applyAlignment="0" applyProtection="0"/>
    <xf numFmtId="0" fontId="219"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224" fillId="59" borderId="97" applyNumberFormat="0" applyAlignment="0" applyProtection="0"/>
    <xf numFmtId="5" fontId="175" fillId="0" borderId="0" applyFont="0" applyFill="0" applyBorder="0" applyAlignment="0" applyProtection="0"/>
    <xf numFmtId="5" fontId="175" fillId="0" borderId="0" applyFont="0" applyFill="0" applyBorder="0" applyAlignment="0" applyProtection="0"/>
    <xf numFmtId="5" fontId="175" fillId="0" borderId="0" applyFont="0" applyFill="0" applyBorder="0" applyAlignment="0" applyProtection="0"/>
    <xf numFmtId="5" fontId="175" fillId="0" borderId="0" applyFon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5" fillId="59" borderId="96" applyNumberFormat="0" applyAlignment="0" applyProtection="0"/>
    <xf numFmtId="0" fontId="223" fillId="58" borderId="96" applyNumberFormat="0" applyAlignment="0" applyProtection="0"/>
    <xf numFmtId="5" fontId="175" fillId="0" borderId="0" applyFont="0" applyFill="0" applyBorder="0" applyAlignment="0" applyProtection="0"/>
    <xf numFmtId="0" fontId="222" fillId="57" borderId="0" applyNumberFormat="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17" fillId="0" borderId="93" applyNumberFormat="0" applyFill="0" applyAlignment="0" applyProtection="0"/>
    <xf numFmtId="0" fontId="218" fillId="0" borderId="94" applyNumberFormat="0" applyFill="0" applyAlignment="0" applyProtection="0"/>
    <xf numFmtId="0" fontId="219" fillId="0" borderId="95" applyNumberFormat="0" applyFill="0" applyAlignment="0" applyProtection="0"/>
    <xf numFmtId="0" fontId="219"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5" fontId="175" fillId="0" borderId="0" applyFont="0" applyFill="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28" fillId="0" borderId="0" applyNumberFormat="0" applyFill="0" applyBorder="0" applyAlignment="0" applyProtection="0"/>
    <xf numFmtId="0" fontId="1" fillId="8" borderId="0" applyNumberFormat="0" applyBorder="0" applyAlignment="0" applyProtection="0"/>
    <xf numFmtId="0" fontId="217" fillId="0" borderId="93" applyNumberFormat="0" applyFill="0" applyAlignment="0" applyProtection="0"/>
    <xf numFmtId="0" fontId="218" fillId="0" borderId="94" applyNumberFormat="0" applyFill="0" applyAlignment="0" applyProtection="0"/>
    <xf numFmtId="0" fontId="219" fillId="0" borderId="95" applyNumberFormat="0" applyFill="0" applyAlignment="0" applyProtection="0"/>
    <xf numFmtId="0" fontId="219"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228" fillId="0" borderId="0" applyNumberFormat="0" applyFill="0" applyBorder="0" applyAlignment="0" applyProtection="0"/>
    <xf numFmtId="0" fontId="217" fillId="0" borderId="93" applyNumberFormat="0" applyFill="0" applyAlignment="0" applyProtection="0"/>
    <xf numFmtId="5" fontId="175" fillId="0" borderId="0" applyFont="0" applyFill="0" applyBorder="0" applyAlignment="0" applyProtection="0"/>
    <xf numFmtId="8" fontId="175" fillId="0" borderId="0" applyFont="0" applyFill="0" applyBorder="0" applyAlignment="0" applyProtection="0"/>
    <xf numFmtId="9" fontId="175" fillId="0" borderId="0" applyFont="0" applyFill="0" applyBorder="0" applyAlignment="0" applyProtection="0"/>
    <xf numFmtId="10" fontId="175" fillId="0" borderId="0" applyFont="0" applyFill="0" applyBorder="0" applyAlignment="0" applyProtection="0"/>
    <xf numFmtId="0" fontId="218" fillId="0" borderId="94" applyNumberFormat="0" applyFill="0" applyAlignment="0" applyProtection="0"/>
    <xf numFmtId="0" fontId="219" fillId="0" borderId="0" applyNumberFormat="0" applyFill="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30" fillId="0" borderId="100" applyNumberFormat="0" applyFill="0" applyAlignment="0" applyProtection="0"/>
    <xf numFmtId="0" fontId="1" fillId="6" borderId="0" applyNumberFormat="0" applyBorder="0" applyAlignment="0" applyProtection="0"/>
    <xf numFmtId="0" fontId="229" fillId="0" borderId="0" applyNumberFormat="0" applyFill="0" applyBorder="0" applyAlignment="0" applyProtection="0"/>
    <xf numFmtId="0" fontId="228" fillId="0" borderId="0" applyNumberFormat="0" applyFill="0" applyBorder="0" applyAlignment="0" applyProtection="0"/>
    <xf numFmtId="5" fontId="175" fillId="0" borderId="0" applyFon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1" fillId="8" borderId="0" applyNumberFormat="0" applyBorder="0" applyAlignment="0" applyProtection="0"/>
    <xf numFmtId="0" fontId="229" fillId="0" borderId="0" applyNumberFormat="0" applyFill="0" applyBorder="0" applyAlignment="0" applyProtection="0"/>
    <xf numFmtId="0" fontId="1" fillId="0" borderId="0"/>
    <xf numFmtId="0" fontId="228" fillId="0" borderId="0" applyNumberFormat="0" applyFill="0" applyBorder="0" applyAlignment="0" applyProtection="0"/>
    <xf numFmtId="5" fontId="175" fillId="0" borderId="0" applyFon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1" fillId="8" borderId="0" applyNumberFormat="0" applyBorder="0" applyAlignment="0" applyProtection="0"/>
    <xf numFmtId="0" fontId="229" fillId="0" borderId="0" applyNumberFormat="0" applyFill="0" applyBorder="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28"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175" fillId="0" borderId="130" applyNumberFormat="0" applyFont="0" applyFill="0" applyAlignment="0" applyProtection="0"/>
    <xf numFmtId="0" fontId="175" fillId="0" borderId="3" applyNumberFormat="0" applyFont="0" applyFill="0" applyAlignment="0" applyProtection="0"/>
    <xf numFmtId="0" fontId="175" fillId="0" borderId="4" applyNumberFormat="0" applyFont="0" applyFill="0" applyAlignment="0" applyProtection="0"/>
    <xf numFmtId="0" fontId="175" fillId="0" borderId="44" applyNumberFormat="0" applyFont="0" applyFill="0" applyAlignment="0" applyProtection="0"/>
    <xf numFmtId="0" fontId="1" fillId="4" borderId="21"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14" fontId="175"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0" borderId="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172" fillId="4" borderId="21" applyNumberFormat="0" applyFont="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5" fontId="175" fillId="0" borderId="0" applyFont="0" applyFill="0" applyBorder="0" applyAlignment="0" applyProtection="0"/>
    <xf numFmtId="0" fontId="172" fillId="4" borderId="21" applyNumberFormat="0" applyFont="0" applyAlignment="0" applyProtection="0"/>
    <xf numFmtId="0" fontId="219" fillId="0" borderId="95" applyNumberFormat="0" applyFill="0" applyAlignment="0" applyProtection="0"/>
    <xf numFmtId="0" fontId="228" fillId="0" borderId="0" applyNumberFormat="0" applyFill="0" applyBorder="0" applyAlignment="0" applyProtection="0"/>
    <xf numFmtId="0" fontId="229" fillId="0" borderId="0" applyNumberForma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175" fillId="0" borderId="0" applyNumberFormat="0" applyFont="0" applyFill="0" applyBorder="0" applyProtection="0">
      <alignment horizontal="left" vertical="top" wrapText="1"/>
    </xf>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72" fillId="4" borderId="21" applyNumberFormat="0" applyFont="0" applyAlignment="0" applyProtection="0"/>
    <xf numFmtId="0" fontId="220" fillId="55" borderId="0" applyNumberFormat="0" applyBorder="0" applyAlignment="0" applyProtection="0"/>
    <xf numFmtId="0" fontId="1" fillId="8" borderId="0" applyNumberFormat="0" applyBorder="0" applyAlignment="0" applyProtection="0"/>
    <xf numFmtId="0" fontId="230" fillId="0" borderId="100" applyNumberFormat="0" applyFill="0" applyAlignment="0" applyProtection="0"/>
    <xf numFmtId="5" fontId="175" fillId="0" borderId="0" applyFont="0" applyFill="0" applyBorder="0" applyAlignment="0" applyProtection="0"/>
    <xf numFmtId="0" fontId="1" fillId="14" borderId="0" applyNumberFormat="0" applyBorder="0" applyAlignment="0" applyProtection="0"/>
    <xf numFmtId="0" fontId="229" fillId="0" borderId="0" applyNumberFormat="0" applyFill="0" applyBorder="0" applyAlignment="0" applyProtection="0"/>
    <xf numFmtId="0" fontId="228" fillId="0" borderId="0" applyNumberFormat="0" applyFill="0" applyBorder="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9" fillId="0" borderId="0" applyNumberForma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9" fillId="0" borderId="0" applyNumberFormat="0" applyFill="0" applyBorder="0" applyAlignment="0" applyProtection="0"/>
    <xf numFmtId="43" fontId="1" fillId="0" borderId="0" applyFon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5" fontId="175" fillId="0" borderId="0" applyFont="0" applyFill="0" applyBorder="0" applyAlignment="0" applyProtection="0"/>
    <xf numFmtId="0" fontId="228" fillId="0" borderId="0" applyNumberFormat="0" applyFill="0" applyBorder="0" applyAlignment="0" applyProtection="0"/>
    <xf numFmtId="0" fontId="229" fillId="0" borderId="0" applyNumberForma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2" borderId="0" applyNumberFormat="0" applyBorder="0" applyAlignment="0" applyProtection="0"/>
    <xf numFmtId="0" fontId="230" fillId="0" borderId="100" applyNumberFormat="0" applyFill="0" applyAlignment="0" applyProtection="0"/>
    <xf numFmtId="5" fontId="175" fillId="0" borderId="0" applyFont="0" applyFill="0" applyBorder="0" applyAlignment="0" applyProtection="0"/>
    <xf numFmtId="0" fontId="1" fillId="16" borderId="0" applyNumberFormat="0" applyBorder="0" applyAlignment="0" applyProtection="0"/>
    <xf numFmtId="0" fontId="229"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5" fontId="175" fillId="0" borderId="0" applyFont="0" applyFill="0" applyBorder="0" applyAlignment="0" applyProtection="0"/>
    <xf numFmtId="0" fontId="229"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2" borderId="0" applyNumberFormat="0" applyBorder="0" applyAlignment="0" applyProtection="0"/>
    <xf numFmtId="0" fontId="230" fillId="0" borderId="100" applyNumberFormat="0" applyFill="0" applyAlignment="0" applyProtection="0"/>
    <xf numFmtId="5" fontId="175" fillId="0" borderId="0" applyFont="0" applyFill="0" applyBorder="0" applyAlignment="0" applyProtection="0"/>
    <xf numFmtId="0" fontId="1" fillId="16" borderId="0" applyNumberFormat="0" applyBorder="0" applyAlignment="0" applyProtection="0"/>
    <xf numFmtId="0" fontId="229"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43" fontId="1" fillId="0" borderId="0" applyFont="0" applyFill="0" applyBorder="0" applyAlignment="0" applyProtection="0"/>
    <xf numFmtId="0" fontId="230" fillId="0" borderId="100" applyNumberFormat="0" applyFill="0" applyAlignment="0" applyProtection="0"/>
    <xf numFmtId="5" fontId="175" fillId="0" borderId="0" applyFont="0" applyFill="0" applyBorder="0" applyAlignment="0" applyProtection="0"/>
    <xf numFmtId="0" fontId="1" fillId="14"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2" borderId="0" applyNumberFormat="0" applyBorder="0" applyAlignment="0" applyProtection="0"/>
    <xf numFmtId="0" fontId="230" fillId="0" borderId="100" applyNumberFormat="0" applyFill="0" applyAlignment="0" applyProtection="0"/>
    <xf numFmtId="5" fontId="175" fillId="0" borderId="0" applyFont="0" applyFill="0" applyBorder="0" applyAlignment="0" applyProtection="0"/>
    <xf numFmtId="0" fontId="1" fillId="6"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43" fontId="1" fillId="0" borderId="0" applyFont="0" applyFill="0" applyBorder="0" applyAlignment="0" applyProtection="0"/>
    <xf numFmtId="0" fontId="230" fillId="0" borderId="100" applyNumberFormat="0" applyFill="0" applyAlignment="0" applyProtection="0"/>
    <xf numFmtId="5" fontId="175" fillId="0" borderId="0" applyFont="0" applyFill="0" applyBorder="0" applyAlignment="0" applyProtection="0"/>
    <xf numFmtId="0" fontId="1" fillId="14"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5" fontId="175"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5" fontId="175" fillId="0" borderId="0" applyFont="0" applyFill="0" applyBorder="0" applyAlignment="0" applyProtection="0"/>
    <xf numFmtId="0" fontId="1" fillId="14"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0" fontId="230" fillId="0" borderId="100" applyNumberFormat="0" applyFill="0" applyAlignment="0" applyProtection="0"/>
    <xf numFmtId="5" fontId="175"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5" fontId="175" fillId="0" borderId="0" applyFont="0" applyFill="0" applyBorder="0" applyAlignment="0" applyProtection="0"/>
    <xf numFmtId="0" fontId="1" fillId="14"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0" fontId="230" fillId="0" borderId="100" applyNumberFormat="0" applyFill="0" applyAlignment="0" applyProtection="0"/>
    <xf numFmtId="5" fontId="175" fillId="0" borderId="0" applyFont="0" applyFill="0" applyBorder="0" applyAlignment="0" applyProtection="0"/>
    <xf numFmtId="0" fontId="1" fillId="16"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5" fontId="175" fillId="0" borderId="0" applyFon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6" borderId="0" applyNumberFormat="0" applyBorder="0" applyAlignment="0" applyProtection="0"/>
    <xf numFmtId="5" fontId="175" fillId="0" borderId="0" applyFont="0" applyFill="0" applyBorder="0" applyAlignment="0" applyProtection="0"/>
    <xf numFmtId="0" fontId="1" fillId="8"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8" borderId="0" applyNumberFormat="0" applyBorder="0" applyAlignment="0" applyProtection="0"/>
    <xf numFmtId="5" fontId="175" fillId="0" borderId="0" applyFont="0" applyFill="0" applyBorder="0" applyAlignment="0" applyProtection="0"/>
    <xf numFmtId="0" fontId="1" fillId="16"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9" fontId="1" fillId="0" borderId="0" applyFont="0" applyFill="0" applyBorder="0" applyAlignment="0" applyProtection="0"/>
    <xf numFmtId="0" fontId="1" fillId="16"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0" fontId="1" fillId="1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4" fillId="0" borderId="132">
      <alignment horizontal="lef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4" borderId="21" applyNumberFormat="0" applyFont="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2" fillId="0" borderId="0"/>
    <xf numFmtId="44" fontId="172" fillId="0" borderId="0" applyFont="0" applyFill="0" applyBorder="0" applyAlignment="0" applyProtection="0"/>
    <xf numFmtId="9" fontId="172" fillId="0" borderId="0" applyFont="0" applyFill="0" applyBorder="0" applyAlignment="0" applyProtection="0"/>
    <xf numFmtId="43" fontId="172" fillId="0" borderId="0" applyFont="0" applyFill="0" applyBorder="0" applyAlignment="0" applyProtection="0"/>
    <xf numFmtId="0" fontId="217" fillId="0" borderId="93" applyNumberFormat="0" applyFill="0" applyAlignment="0" applyProtection="0"/>
    <xf numFmtId="0" fontId="218" fillId="0" borderId="94" applyNumberFormat="0" applyFill="0" applyAlignment="0" applyProtection="0"/>
    <xf numFmtId="0" fontId="219" fillId="0" borderId="95" applyNumberFormat="0" applyFill="0" applyAlignment="0" applyProtection="0"/>
    <xf numFmtId="0" fontId="219"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1" fillId="0" borderId="0"/>
    <xf numFmtId="0" fontId="217" fillId="0" borderId="93" applyNumberFormat="0" applyFill="0" applyAlignment="0" applyProtection="0"/>
    <xf numFmtId="0" fontId="218" fillId="0" borderId="94" applyNumberFormat="0" applyFill="0" applyAlignment="0" applyProtection="0"/>
    <xf numFmtId="0" fontId="219" fillId="0" borderId="95" applyNumberFormat="0" applyFill="0" applyAlignment="0" applyProtection="0"/>
    <xf numFmtId="0" fontId="219"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26" fillId="0" borderId="98" applyNumberFormat="0" applyFill="0" applyAlignment="0" applyProtection="0"/>
    <xf numFmtId="0" fontId="217" fillId="0" borderId="93" applyNumberFormat="0" applyFill="0" applyAlignment="0" applyProtection="0"/>
    <xf numFmtId="0" fontId="218" fillId="0" borderId="94" applyNumberFormat="0" applyFill="0" applyAlignment="0" applyProtection="0"/>
    <xf numFmtId="0" fontId="219" fillId="0" borderId="95" applyNumberFormat="0" applyFill="0" applyAlignment="0" applyProtection="0"/>
    <xf numFmtId="0" fontId="219"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224" fillId="59" borderId="97" applyNumberFormat="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5" fillId="59" borderId="96" applyNumberFormat="0" applyAlignment="0" applyProtection="0"/>
    <xf numFmtId="0" fontId="223" fillId="58" borderId="96" applyNumberFormat="0" applyAlignment="0" applyProtection="0"/>
    <xf numFmtId="0" fontId="222" fillId="57" borderId="0" applyNumberFormat="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17" fillId="0" borderId="93" applyNumberFormat="0" applyFill="0" applyAlignment="0" applyProtection="0"/>
    <xf numFmtId="0" fontId="218" fillId="0" borderId="94" applyNumberFormat="0" applyFill="0" applyAlignment="0" applyProtection="0"/>
    <xf numFmtId="0" fontId="219" fillId="0" borderId="95" applyNumberFormat="0" applyFill="0" applyAlignment="0" applyProtection="0"/>
    <xf numFmtId="0" fontId="219"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1" fillId="8" borderId="0" applyNumberFormat="0" applyBorder="0" applyAlignment="0" applyProtection="0"/>
    <xf numFmtId="0" fontId="228" fillId="0" borderId="0" applyNumberFormat="0" applyFill="0" applyBorder="0" applyAlignment="0" applyProtection="0"/>
    <xf numFmtId="0" fontId="1" fillId="8" borderId="0" applyNumberFormat="0" applyBorder="0" applyAlignment="0" applyProtection="0"/>
    <xf numFmtId="0" fontId="217" fillId="0" borderId="93" applyNumberFormat="0" applyFill="0" applyAlignment="0" applyProtection="0"/>
    <xf numFmtId="0" fontId="218" fillId="0" borderId="94" applyNumberFormat="0" applyFill="0" applyAlignment="0" applyProtection="0"/>
    <xf numFmtId="0" fontId="219" fillId="0" borderId="95" applyNumberFormat="0" applyFill="0" applyAlignment="0" applyProtection="0"/>
    <xf numFmtId="0" fontId="219"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228" fillId="0" borderId="0" applyNumberFormat="0" applyFill="0" applyBorder="0" applyAlignment="0" applyProtection="0"/>
    <xf numFmtId="0" fontId="217" fillId="0" borderId="93" applyNumberFormat="0" applyFill="0" applyAlignment="0" applyProtection="0"/>
    <xf numFmtId="0" fontId="218" fillId="0" borderId="94" applyNumberFormat="0" applyFill="0" applyAlignment="0" applyProtection="0"/>
    <xf numFmtId="0" fontId="219" fillId="0" borderId="0" applyNumberFormat="0" applyFill="0" applyBorder="0" applyAlignment="0" applyProtection="0"/>
    <xf numFmtId="0" fontId="221" fillId="56" borderId="0" applyNumberFormat="0" applyBorder="0" applyAlignment="0" applyProtection="0"/>
    <xf numFmtId="0" fontId="222" fillId="57" borderId="0" applyNumberFormat="0" applyBorder="0" applyAlignment="0" applyProtection="0"/>
    <xf numFmtId="0" fontId="223" fillId="58" borderId="96" applyNumberFormat="0" applyAlignment="0" applyProtection="0"/>
    <xf numFmtId="0" fontId="224" fillId="59" borderId="97" applyNumberFormat="0" applyAlignment="0" applyProtection="0"/>
    <xf numFmtId="0" fontId="225" fillId="59" borderId="96" applyNumberFormat="0" applyAlignment="0" applyProtection="0"/>
    <xf numFmtId="0" fontId="226" fillId="0" borderId="98" applyNumberFormat="0" applyFill="0" applyAlignment="0" applyProtection="0"/>
    <xf numFmtId="0" fontId="227" fillId="60" borderId="99" applyNumberFormat="0" applyAlignment="0" applyProtection="0"/>
    <xf numFmtId="0" fontId="230" fillId="0" borderId="100" applyNumberFormat="0" applyFill="0" applyAlignment="0" applyProtection="0"/>
    <xf numFmtId="0" fontId="1" fillId="6" borderId="0" applyNumberFormat="0" applyBorder="0" applyAlignment="0" applyProtection="0"/>
    <xf numFmtId="0" fontId="229" fillId="0" borderId="0" applyNumberFormat="0" applyFill="0" applyBorder="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1" fillId="8" borderId="0" applyNumberFormat="0" applyBorder="0" applyAlignment="0" applyProtection="0"/>
    <xf numFmtId="0" fontId="229" fillId="0" borderId="0" applyNumberFormat="0" applyFill="0" applyBorder="0" applyAlignment="0" applyProtection="0"/>
    <xf numFmtId="0" fontId="1" fillId="0" borderId="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1" fillId="8" borderId="0" applyNumberFormat="0" applyBorder="0" applyAlignment="0" applyProtection="0"/>
    <xf numFmtId="0" fontId="229" fillId="0" borderId="0" applyNumberFormat="0" applyFill="0" applyBorder="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228" fillId="0" borderId="0" applyNumberFormat="0" applyFill="0" applyBorder="0" applyAlignment="0" applyProtection="0"/>
    <xf numFmtId="0" fontId="172" fillId="4" borderId="21" applyNumberFormat="0" applyFont="0" applyAlignment="0" applyProtection="0"/>
    <xf numFmtId="0" fontId="229" fillId="0" borderId="0" applyNumberFormat="0" applyFill="0" applyBorder="0" applyAlignment="0" applyProtection="0"/>
    <xf numFmtId="0" fontId="228"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172" fillId="4" borderId="21" applyNumberFormat="0" applyFont="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172" fillId="4" borderId="21" applyNumberFormat="0" applyFont="0" applyAlignment="0" applyProtection="0"/>
    <xf numFmtId="0" fontId="219" fillId="0" borderId="95" applyNumberFormat="0" applyFill="0" applyAlignment="0" applyProtection="0"/>
    <xf numFmtId="0" fontId="228" fillId="0" borderId="0" applyNumberFormat="0" applyFill="0" applyBorder="0" applyAlignment="0" applyProtection="0"/>
    <xf numFmtId="0" fontId="229" fillId="0" borderId="0" applyNumberForma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72" fillId="4" borderId="21" applyNumberFormat="0" applyFont="0" applyAlignment="0" applyProtection="0"/>
    <xf numFmtId="0" fontId="220" fillId="55" borderId="0" applyNumberFormat="0" applyBorder="0" applyAlignment="0" applyProtection="0"/>
    <xf numFmtId="0" fontId="1" fillId="8" borderId="0" applyNumberFormat="0" applyBorder="0" applyAlignment="0" applyProtection="0"/>
    <xf numFmtId="0" fontId="230" fillId="0" borderId="100" applyNumberFormat="0" applyFill="0" applyAlignment="0" applyProtection="0"/>
    <xf numFmtId="0" fontId="1" fillId="14" borderId="0" applyNumberFormat="0" applyBorder="0" applyAlignment="0" applyProtection="0"/>
    <xf numFmtId="0" fontId="229" fillId="0" borderId="0" applyNumberFormat="0" applyFill="0" applyBorder="0" applyAlignment="0" applyProtection="0"/>
    <xf numFmtId="0" fontId="228" fillId="0" borderId="0" applyNumberFormat="0" applyFill="0" applyBorder="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9" fillId="0" borderId="0" applyNumberForma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9" fillId="0" borderId="0" applyNumberFormat="0" applyFill="0" applyBorder="0" applyAlignment="0" applyProtection="0"/>
    <xf numFmtId="43" fontId="1" fillId="0" borderId="0" applyFon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9" fillId="0" borderId="0" applyNumberFormat="0" applyFill="0" applyBorder="0" applyAlignment="0" applyProtection="0"/>
    <xf numFmtId="0" fontId="230" fillId="0" borderId="100" applyNumberFormat="0" applyFill="0" applyAlignment="0" applyProtection="0"/>
    <xf numFmtId="0" fontId="229" fillId="0" borderId="0" applyNumberFormat="0" applyFill="0" applyBorder="0" applyAlignment="0" applyProtection="0"/>
    <xf numFmtId="0" fontId="172" fillId="4" borderId="21" applyNumberFormat="0" applyFont="0" applyAlignment="0" applyProtection="0"/>
    <xf numFmtId="0" fontId="228"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2" borderId="0" applyNumberFormat="0" applyBorder="0" applyAlignment="0" applyProtection="0"/>
    <xf numFmtId="0" fontId="230" fillId="0" borderId="100" applyNumberFormat="0" applyFill="0" applyAlignment="0" applyProtection="0"/>
    <xf numFmtId="0" fontId="1" fillId="16" borderId="0" applyNumberFormat="0" applyBorder="0" applyAlignment="0" applyProtection="0"/>
    <xf numFmtId="0" fontId="229"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0" fontId="1" fillId="14" borderId="0" applyNumberFormat="0" applyBorder="0" applyAlignment="0" applyProtection="0"/>
    <xf numFmtId="0" fontId="229"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2" borderId="0" applyNumberFormat="0" applyBorder="0" applyAlignment="0" applyProtection="0"/>
    <xf numFmtId="0" fontId="230" fillId="0" borderId="100" applyNumberFormat="0" applyFill="0" applyAlignment="0" applyProtection="0"/>
    <xf numFmtId="0" fontId="1" fillId="16" borderId="0" applyNumberFormat="0" applyBorder="0" applyAlignment="0" applyProtection="0"/>
    <xf numFmtId="0" fontId="229" fillId="0" borderId="0" applyNumberForma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43" fontId="1" fillId="0" borderId="0" applyFont="0" applyFill="0" applyBorder="0" applyAlignment="0" applyProtection="0"/>
    <xf numFmtId="0" fontId="230" fillId="0" borderId="100" applyNumberFormat="0" applyFill="0" applyAlignment="0" applyProtection="0"/>
    <xf numFmtId="0" fontId="1" fillId="14"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2" borderId="0" applyNumberFormat="0" applyBorder="0" applyAlignment="0" applyProtection="0"/>
    <xf numFmtId="0" fontId="230" fillId="0" borderId="100" applyNumberFormat="0" applyFill="0" applyAlignment="0" applyProtection="0"/>
    <xf numFmtId="0" fontId="1" fillId="16" borderId="0" applyNumberFormat="0" applyBorder="0" applyAlignment="0" applyProtection="0"/>
    <xf numFmtId="0" fontId="1" fillId="6"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43" fontId="1" fillId="0" borderId="0" applyFont="0" applyFill="0" applyBorder="0" applyAlignment="0" applyProtection="0"/>
    <xf numFmtId="0" fontId="230" fillId="0" borderId="100" applyNumberFormat="0" applyFill="0" applyAlignment="0" applyProtection="0"/>
    <xf numFmtId="0" fontId="1" fillId="14"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0" fontId="1" fillId="16" borderId="0" applyNumberFormat="0" applyBorder="0" applyAlignment="0" applyProtection="0"/>
    <xf numFmtId="0" fontId="1" fillId="8"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0" fontId="1" fillId="14"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0" fontId="230" fillId="0" borderId="100" applyNumberFormat="0" applyFill="0" applyAlignment="0" applyProtection="0"/>
    <xf numFmtId="0" fontId="1" fillId="16" borderId="0" applyNumberFormat="0" applyBorder="0" applyAlignment="0" applyProtection="0"/>
    <xf numFmtId="0" fontId="1" fillId="8"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0" fontId="1" fillId="14"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0" fontId="230" fillId="0" borderId="100" applyNumberFormat="0" applyFill="0" applyAlignment="0" applyProtection="0"/>
    <xf numFmtId="0" fontId="1" fillId="16"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230" fillId="0" borderId="100" applyNumberFormat="0" applyFill="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0" fontId="1" fillId="16"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6"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0" fontId="1" fillId="16" borderId="0" applyNumberFormat="0" applyBorder="0" applyAlignment="0" applyProtection="0"/>
    <xf numFmtId="9" fontId="1" fillId="0" borderId="0" applyFont="0" applyFill="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43" fontId="1" fillId="0" borderId="0" applyFont="0" applyFill="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9" fontId="1" fillId="0" borderId="0" applyFont="0" applyFill="0" applyBorder="0" applyAlignment="0" applyProtection="0"/>
    <xf numFmtId="0" fontId="1" fillId="16"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27" fillId="60" borderId="99" applyNumberFormat="0" applyAlignment="0" applyProtection="0"/>
    <xf numFmtId="0" fontId="226" fillId="0" borderId="98" applyNumberFormat="0" applyFill="0" applyAlignment="0" applyProtection="0"/>
    <xf numFmtId="0" fontId="225" fillId="59" borderId="96" applyNumberFormat="0" applyAlignment="0" applyProtection="0"/>
    <xf numFmtId="0" fontId="224" fillId="59" borderId="97" applyNumberFormat="0" applyAlignment="0" applyProtection="0"/>
    <xf numFmtId="0" fontId="223" fillId="58" borderId="96" applyNumberFormat="0" applyAlignment="0" applyProtection="0"/>
    <xf numFmtId="0" fontId="222" fillId="57" borderId="0" applyNumberFormat="0" applyBorder="0" applyAlignment="0" applyProtection="0"/>
    <xf numFmtId="0" fontId="221" fillId="56" borderId="0" applyNumberFormat="0" applyBorder="0" applyAlignment="0" applyProtection="0"/>
    <xf numFmtId="0" fontId="220" fillId="55" borderId="0" applyNumberFormat="0" applyBorder="0" applyAlignment="0" applyProtection="0"/>
    <xf numFmtId="0" fontId="219" fillId="0" borderId="0" applyNumberFormat="0" applyFill="0" applyBorder="0" applyAlignment="0" applyProtection="0"/>
    <xf numFmtId="0" fontId="219" fillId="0" borderId="95" applyNumberFormat="0" applyFill="0" applyAlignment="0" applyProtection="0"/>
    <xf numFmtId="0" fontId="218" fillId="0" borderId="94" applyNumberFormat="0" applyFill="0" applyAlignment="0" applyProtection="0"/>
    <xf numFmtId="0" fontId="217" fillId="0" borderId="93" applyNumberFormat="0" applyFill="0" applyAlignment="0" applyProtection="0"/>
    <xf numFmtId="0" fontId="1" fillId="14" borderId="0" applyNumberFormat="0" applyBorder="0" applyAlignment="0" applyProtection="0"/>
    <xf numFmtId="0" fontId="1" fillId="1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4"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0" borderId="0"/>
    <xf numFmtId="0" fontId="1" fillId="8" borderId="0" applyNumberFormat="0" applyBorder="0" applyAlignment="0" applyProtection="0"/>
    <xf numFmtId="44" fontId="1" fillId="0" borderId="0" applyFont="0" applyFill="0" applyBorder="0" applyAlignment="0" applyProtection="0"/>
    <xf numFmtId="0" fontId="1" fillId="4" borderId="21"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0" borderId="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43" fontId="1" fillId="0" borderId="0" applyFont="0" applyFill="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6" borderId="0" applyNumberFormat="0" applyBorder="0" applyAlignment="0" applyProtection="0"/>
    <xf numFmtId="43" fontId="1" fillId="0" borderId="0" applyFont="0" applyFill="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6"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9" fontId="1" fillId="0" borderId="0" applyFont="0" applyFill="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0" fontId="1" fillId="4" borderId="2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198" fontId="15" fillId="0" borderId="131" applyFont="0" applyFill="0" applyBorder="0" applyAlignment="0" applyProtection="0"/>
    <xf numFmtId="9" fontId="2" fillId="0" borderId="0" applyFont="0" applyFill="0" applyBorder="0" applyAlignment="0" applyProtection="0"/>
    <xf numFmtId="0" fontId="131" fillId="0" borderId="134" applyFill="0" applyProtection="0">
      <alignment horizontal="right"/>
    </xf>
    <xf numFmtId="0" fontId="106" fillId="35" borderId="113" applyNumberFormat="0" applyAlignment="0" applyProtection="0"/>
    <xf numFmtId="0" fontId="113" fillId="22" borderId="113" applyNumberFormat="0" applyAlignment="0" applyProtection="0"/>
    <xf numFmtId="0" fontId="2" fillId="38" borderId="114" applyNumberFormat="0" applyFont="0" applyAlignment="0" applyProtection="0"/>
    <xf numFmtId="0" fontId="2" fillId="38" borderId="114" applyNumberFormat="0" applyFont="0" applyAlignment="0" applyProtection="0"/>
    <xf numFmtId="0" fontId="2" fillId="38" borderId="114" applyNumberFormat="0" applyFont="0" applyAlignment="0" applyProtection="0"/>
    <xf numFmtId="0" fontId="116" fillId="35" borderId="115" applyNumberFormat="0" applyAlignment="0" applyProtection="0"/>
    <xf numFmtId="0" fontId="118" fillId="0" borderId="121" applyNumberFormat="0" applyFill="0" applyAlignment="0" applyProtection="0"/>
    <xf numFmtId="0" fontId="30" fillId="35" borderId="138" applyNumberFormat="0" applyAlignment="0" applyProtection="0"/>
    <xf numFmtId="0" fontId="37" fillId="22" borderId="138" applyNumberFormat="0" applyAlignment="0" applyProtection="0"/>
    <xf numFmtId="0" fontId="2" fillId="38" borderId="139" applyNumberFormat="0" applyFont="0" applyAlignment="0" applyProtection="0"/>
    <xf numFmtId="0" fontId="40" fillId="35" borderId="140" applyNumberFormat="0" applyAlignment="0" applyProtection="0"/>
    <xf numFmtId="0" fontId="42" fillId="0" borderId="141" applyNumberFormat="0" applyFill="0" applyAlignment="0" applyProtection="0"/>
    <xf numFmtId="0" fontId="47" fillId="41" borderId="138" applyNumberFormat="0" applyAlignment="0" applyProtection="0"/>
    <xf numFmtId="0" fontId="4" fillId="0" borderId="137">
      <alignment horizontal="left" vertical="center"/>
    </xf>
    <xf numFmtId="0" fontId="52" fillId="37" borderId="138" applyNumberFormat="0" applyAlignment="0" applyProtection="0"/>
    <xf numFmtId="0" fontId="2" fillId="38" borderId="139" applyNumberFormat="0" applyFont="0" applyAlignment="0" applyProtection="0"/>
    <xf numFmtId="0" fontId="55" fillId="41" borderId="142" applyNumberFormat="0" applyAlignment="0" applyProtection="0"/>
    <xf numFmtId="1" fontId="45" fillId="0" borderId="143" applyNumberFormat="0" applyFont="0" applyFill="0" applyAlignment="0" applyProtection="0">
      <alignment horizontal="center"/>
    </xf>
    <xf numFmtId="0" fontId="42" fillId="0" borderId="144" applyNumberFormat="0" applyFill="0" applyAlignment="0" applyProtection="0"/>
    <xf numFmtId="0" fontId="47" fillId="41" borderId="145" applyNumberFormat="0" applyAlignment="0" applyProtection="0"/>
    <xf numFmtId="1" fontId="45" fillId="0" borderId="171" applyNumberFormat="0" applyFont="0" applyFill="0" applyAlignment="0" applyProtection="0">
      <alignment horizontal="center"/>
    </xf>
    <xf numFmtId="0" fontId="37" fillId="22" borderId="159" applyNumberFormat="0" applyAlignment="0" applyProtection="0"/>
    <xf numFmtId="0" fontId="55" fillId="41" borderId="163" applyNumberFormat="0" applyAlignment="0" applyProtection="0"/>
    <xf numFmtId="0" fontId="2" fillId="38" borderId="256" applyNumberFormat="0" applyFont="0" applyAlignment="0" applyProtection="0"/>
    <xf numFmtId="0" fontId="42" fillId="0" borderId="254" applyNumberFormat="0" applyFill="0" applyAlignment="0" applyProtection="0"/>
    <xf numFmtId="0" fontId="42" fillId="0" borderId="169" applyNumberFormat="0" applyFill="0" applyAlignment="0" applyProtection="0"/>
    <xf numFmtId="0" fontId="2" fillId="38" borderId="249" applyNumberFormat="0" applyFont="0" applyAlignment="0" applyProtection="0"/>
    <xf numFmtId="0" fontId="40" fillId="35" borderId="200" applyNumberFormat="0" applyAlignment="0" applyProtection="0"/>
    <xf numFmtId="0" fontId="52" fillId="37" borderId="198" applyNumberFormat="0" applyAlignment="0" applyProtection="0"/>
    <xf numFmtId="0" fontId="47" fillId="41" borderId="234" applyNumberFormat="0" applyAlignment="0" applyProtection="0"/>
    <xf numFmtId="0" fontId="2" fillId="38" borderId="146" applyNumberFormat="0" applyFont="0" applyAlignment="0" applyProtection="0"/>
    <xf numFmtId="0" fontId="30" fillId="35" borderId="190" applyNumberFormat="0" applyAlignment="0" applyProtection="0"/>
    <xf numFmtId="0" fontId="42" fillId="0" borderId="247" applyNumberFormat="0" applyFill="0" applyAlignment="0" applyProtection="0"/>
    <xf numFmtId="0" fontId="47" fillId="41" borderId="159" applyNumberFormat="0" applyAlignment="0" applyProtection="0"/>
    <xf numFmtId="0" fontId="40" fillId="35" borderId="154" applyNumberFormat="0" applyAlignment="0" applyProtection="0"/>
    <xf numFmtId="0" fontId="40" fillId="35" borderId="168" applyNumberFormat="0" applyAlignment="0" applyProtection="0"/>
    <xf numFmtId="0" fontId="37" fillId="22" borderId="181" applyNumberFormat="0" applyAlignment="0" applyProtection="0"/>
    <xf numFmtId="0" fontId="2" fillId="38" borderId="160" applyNumberFormat="0" applyFont="0" applyAlignment="0" applyProtection="0"/>
    <xf numFmtId="0" fontId="30" fillId="35" borderId="145" applyNumberFormat="0" applyAlignment="0" applyProtection="0"/>
    <xf numFmtId="0" fontId="55" fillId="41" borderId="224" applyNumberFormat="0" applyAlignment="0" applyProtection="0"/>
    <xf numFmtId="0" fontId="42" fillId="0" borderId="162" applyNumberFormat="0" applyFill="0" applyAlignment="0" applyProtection="0"/>
    <xf numFmtId="0" fontId="37" fillId="22" borderId="227" applyNumberFormat="0" applyAlignment="0" applyProtection="0"/>
    <xf numFmtId="0" fontId="2" fillId="38" borderId="249" applyNumberFormat="0" applyFont="0" applyAlignment="0" applyProtection="0"/>
    <xf numFmtId="0" fontId="42" fillId="0" borderId="216" applyNumberFormat="0" applyFill="0" applyAlignment="0" applyProtection="0"/>
    <xf numFmtId="1" fontId="45" fillId="0" borderId="178" applyNumberFormat="0" applyFont="0" applyFill="0" applyAlignment="0" applyProtection="0">
      <alignment horizontal="center"/>
    </xf>
    <xf numFmtId="0" fontId="55" fillId="41" borderId="156" applyNumberFormat="0" applyAlignment="0" applyProtection="0"/>
    <xf numFmtId="0" fontId="37" fillId="22" borderId="173" applyNumberFormat="0" applyAlignment="0" applyProtection="0"/>
    <xf numFmtId="0" fontId="37" fillId="22" borderId="166" applyNumberFormat="0" applyAlignment="0" applyProtection="0"/>
    <xf numFmtId="0" fontId="52" fillId="37" borderId="205" applyNumberFormat="0" applyAlignment="0" applyProtection="0"/>
    <xf numFmtId="0" fontId="2" fillId="38" borderId="206" applyNumberFormat="0" applyFont="0" applyAlignment="0" applyProtection="0"/>
    <xf numFmtId="0" fontId="55" fillId="41" borderId="217" applyNumberFormat="0" applyAlignment="0" applyProtection="0"/>
    <xf numFmtId="0" fontId="40" fillId="35" borderId="264" applyNumberFormat="0" applyAlignment="0" applyProtection="0"/>
    <xf numFmtId="0" fontId="42" fillId="0" borderId="193" applyNumberFormat="0" applyFill="0" applyAlignment="0" applyProtection="0"/>
    <xf numFmtId="0" fontId="52" fillId="37" borderId="181" applyNumberFormat="0" applyAlignment="0" applyProtection="0"/>
    <xf numFmtId="0" fontId="42" fillId="0" borderId="265" applyNumberFormat="0" applyFill="0" applyAlignment="0" applyProtection="0"/>
    <xf numFmtId="0" fontId="2" fillId="38" borderId="182" applyNumberFormat="0" applyFont="0" applyAlignment="0" applyProtection="0"/>
    <xf numFmtId="0" fontId="2" fillId="38" borderId="191" applyNumberFormat="0" applyFont="0" applyAlignment="0" applyProtection="0"/>
    <xf numFmtId="0" fontId="2" fillId="38" borderId="160" applyNumberFormat="0" applyFont="0" applyAlignment="0" applyProtection="0"/>
    <xf numFmtId="0" fontId="2" fillId="38" borderId="228" applyNumberFormat="0" applyFont="0" applyAlignment="0" applyProtection="0"/>
    <xf numFmtId="0" fontId="47" fillId="41" borderId="152" applyNumberFormat="0" applyAlignment="0" applyProtection="0"/>
    <xf numFmtId="0" fontId="55" fillId="41" borderId="231" applyNumberFormat="0" applyAlignment="0" applyProtection="0"/>
    <xf numFmtId="0" fontId="30" fillId="35" borderId="159" applyNumberFormat="0" applyAlignment="0" applyProtection="0"/>
    <xf numFmtId="0" fontId="2" fillId="38" borderId="167" applyNumberFormat="0" applyFont="0" applyAlignment="0" applyProtection="0"/>
    <xf numFmtId="1" fontId="45" fillId="0" borderId="232" applyNumberFormat="0" applyFont="0" applyFill="0" applyAlignment="0" applyProtection="0">
      <alignment horizontal="center"/>
    </xf>
    <xf numFmtId="0" fontId="42" fillId="0" borderId="261" applyNumberFormat="0" applyFill="0" applyAlignment="0" applyProtection="0"/>
    <xf numFmtId="0" fontId="42" fillId="0" borderId="233" applyNumberFormat="0" applyFill="0" applyAlignment="0" applyProtection="0"/>
    <xf numFmtId="0" fontId="42" fillId="0" borderId="240" applyNumberFormat="0" applyFill="0" applyAlignment="0" applyProtection="0"/>
    <xf numFmtId="0" fontId="2" fillId="38" borderId="153" applyNumberFormat="0" applyFont="0" applyAlignment="0" applyProtection="0"/>
    <xf numFmtId="0" fontId="4" fillId="0" borderId="180">
      <alignment horizontal="left" vertical="center"/>
    </xf>
    <xf numFmtId="0" fontId="37" fillId="22" borderId="145" applyNumberFormat="0" applyAlignment="0" applyProtection="0"/>
    <xf numFmtId="0" fontId="40" fillId="35" borderId="147" applyNumberFormat="0" applyAlignment="0" applyProtection="0"/>
    <xf numFmtId="0" fontId="42" fillId="0" borderId="148" applyNumberFormat="0" applyFill="0" applyAlignment="0" applyProtection="0"/>
    <xf numFmtId="0" fontId="4" fillId="0" borderId="197">
      <alignment horizontal="left" vertical="center"/>
    </xf>
    <xf numFmtId="0" fontId="30" fillId="35" borderId="213" applyNumberFormat="0" applyAlignment="0" applyProtection="0"/>
    <xf numFmtId="0" fontId="42" fillId="0" borderId="251" applyNumberFormat="0" applyFill="0" applyAlignment="0" applyProtection="0"/>
    <xf numFmtId="1" fontId="45" fillId="0" borderId="195" applyNumberFormat="0" applyFont="0" applyFill="0" applyAlignment="0" applyProtection="0">
      <alignment horizontal="center"/>
    </xf>
    <xf numFmtId="0" fontId="42" fillId="0" borderId="223" applyNumberFormat="0" applyFill="0" applyAlignment="0" applyProtection="0"/>
    <xf numFmtId="0" fontId="2" fillId="38" borderId="199" applyNumberFormat="0" applyFont="0" applyAlignment="0" applyProtection="0"/>
    <xf numFmtId="0" fontId="47" fillId="41" borderId="248" applyNumberFormat="0" applyAlignment="0" applyProtection="0"/>
    <xf numFmtId="0" fontId="40" fillId="35" borderId="257" applyNumberFormat="0" applyAlignment="0" applyProtection="0"/>
    <xf numFmtId="0" fontId="30" fillId="35" borderId="173" applyNumberFormat="0" applyAlignment="0" applyProtection="0"/>
    <xf numFmtId="0" fontId="2" fillId="38" borderId="174" applyNumberFormat="0" applyFont="0" applyAlignment="0" applyProtection="0"/>
    <xf numFmtId="0" fontId="42" fillId="0" borderId="201" applyNumberFormat="0" applyFill="0" applyAlignment="0" applyProtection="0"/>
    <xf numFmtId="0" fontId="42" fillId="0" borderId="230" applyNumberFormat="0" applyFill="0" applyAlignment="0" applyProtection="0"/>
    <xf numFmtId="0" fontId="47" fillId="41" borderId="220" applyNumberFormat="0" applyAlignment="0" applyProtection="0"/>
    <xf numFmtId="0" fontId="55" fillId="41" borderId="170" applyNumberFormat="0" applyAlignment="0" applyProtection="0"/>
    <xf numFmtId="0" fontId="42" fillId="0" borderId="219" applyNumberFormat="0" applyFill="0" applyAlignment="0" applyProtection="0"/>
    <xf numFmtId="1" fontId="45" fillId="0" borderId="186" applyNumberFormat="0" applyFont="0" applyFill="0" applyAlignment="0" applyProtection="0">
      <alignment horizontal="center"/>
    </xf>
    <xf numFmtId="0" fontId="42" fillId="0" borderId="176" applyNumberFormat="0" applyFill="0" applyAlignment="0" applyProtection="0"/>
    <xf numFmtId="0" fontId="40" fillId="35" borderId="215" applyNumberFormat="0" applyAlignment="0" applyProtection="0"/>
    <xf numFmtId="0" fontId="55" fillId="41" borderId="202" applyNumberFormat="0" applyAlignment="0" applyProtection="0"/>
    <xf numFmtId="0" fontId="40" fillId="35" borderId="243" applyNumberFormat="0" applyAlignment="0" applyProtection="0"/>
    <xf numFmtId="0" fontId="30" fillId="35" borderId="220" applyNumberFormat="0" applyAlignment="0" applyProtection="0"/>
    <xf numFmtId="1" fontId="45" fillId="0" borderId="218" applyNumberFormat="0" applyFont="0" applyFill="0" applyAlignment="0" applyProtection="0">
      <alignment horizontal="center"/>
    </xf>
    <xf numFmtId="0" fontId="40" fillId="35" borderId="222" applyNumberFormat="0" applyAlignment="0" applyProtection="0"/>
    <xf numFmtId="0" fontId="52" fillId="37" borderId="262" applyNumberFormat="0" applyAlignment="0" applyProtection="0"/>
    <xf numFmtId="0" fontId="40" fillId="35" borderId="207" applyNumberFormat="0" applyAlignment="0" applyProtection="0"/>
    <xf numFmtId="0" fontId="42" fillId="0" borderId="196" applyNumberFormat="0" applyFill="0" applyAlignment="0" applyProtection="0"/>
    <xf numFmtId="0" fontId="4" fillId="0" borderId="212">
      <alignment horizontal="left" vertical="center"/>
    </xf>
    <xf numFmtId="0" fontId="2" fillId="38" borderId="263" applyNumberFormat="0" applyFont="0" applyAlignment="0" applyProtection="0"/>
    <xf numFmtId="0" fontId="42" fillId="0" borderId="155" applyNumberFormat="0" applyFill="0" applyAlignment="0" applyProtection="0"/>
    <xf numFmtId="0" fontId="37" fillId="22" borderId="152" applyNumberFormat="0" applyAlignment="0" applyProtection="0"/>
    <xf numFmtId="0" fontId="30" fillId="35" borderId="152" applyNumberFormat="0" applyAlignment="0" applyProtection="0"/>
    <xf numFmtId="0" fontId="52" fillId="37" borderId="166" applyNumberFormat="0" applyAlignment="0" applyProtection="0"/>
    <xf numFmtId="0" fontId="2" fillId="38" borderId="214" applyNumberFormat="0" applyFont="0" applyAlignment="0" applyProtection="0"/>
    <xf numFmtId="0" fontId="2" fillId="38" borderId="242" applyNumberFormat="0" applyFont="0" applyAlignment="0" applyProtection="0"/>
    <xf numFmtId="0" fontId="30" fillId="35" borderId="241" applyNumberFormat="0" applyAlignment="0" applyProtection="0"/>
    <xf numFmtId="0" fontId="2" fillId="38" borderId="167" applyNumberFormat="0" applyFont="0" applyAlignment="0" applyProtection="0"/>
    <xf numFmtId="0" fontId="2" fillId="38" borderId="174" applyNumberFormat="0" applyFont="0" applyAlignment="0" applyProtection="0"/>
    <xf numFmtId="1" fontId="45" fillId="0" borderId="210" applyNumberFormat="0" applyFont="0" applyFill="0" applyAlignment="0" applyProtection="0">
      <alignment horizontal="center"/>
    </xf>
    <xf numFmtId="0" fontId="55" fillId="41" borderId="252" applyNumberFormat="0" applyAlignment="0" applyProtection="0"/>
    <xf numFmtId="0" fontId="42" fillId="0" borderId="187" applyNumberFormat="0" applyFill="0" applyAlignment="0" applyProtection="0"/>
    <xf numFmtId="0" fontId="47" fillId="41" borderId="190" applyNumberFormat="0" applyAlignment="0" applyProtection="0"/>
    <xf numFmtId="0" fontId="47" fillId="41" borderId="198" applyNumberFormat="0" applyAlignment="0" applyProtection="0"/>
    <xf numFmtId="0" fontId="2" fillId="38" borderId="146" applyNumberFormat="0" applyFont="0" applyAlignment="0" applyProtection="0"/>
    <xf numFmtId="0" fontId="37" fillId="22" borderId="205" applyNumberFormat="0" applyAlignment="0" applyProtection="0"/>
    <xf numFmtId="0" fontId="52" fillId="37" borderId="248" applyNumberFormat="0" applyAlignment="0" applyProtection="0"/>
    <xf numFmtId="0" fontId="2" fillId="38" borderId="153" applyNumberFormat="0" applyFont="0" applyAlignment="0" applyProtection="0"/>
    <xf numFmtId="0" fontId="30" fillId="35" borderId="227" applyNumberFormat="0" applyAlignment="0" applyProtection="0"/>
    <xf numFmtId="0" fontId="2" fillId="38" borderId="221" applyNumberFormat="0" applyFont="0" applyAlignment="0" applyProtection="0"/>
    <xf numFmtId="0" fontId="47" fillId="41" borderId="213" applyNumberFormat="0" applyAlignment="0" applyProtection="0"/>
    <xf numFmtId="1" fontId="45" fillId="0" borderId="150" applyNumberFormat="0" applyFont="0" applyFill="0" applyAlignment="0" applyProtection="0">
      <alignment horizontal="center"/>
    </xf>
    <xf numFmtId="0" fontId="2" fillId="38" borderId="199" applyNumberFormat="0" applyFont="0" applyAlignment="0" applyProtection="0"/>
    <xf numFmtId="0" fontId="47" fillId="41" borderId="173" applyNumberFormat="0" applyAlignment="0" applyProtection="0"/>
    <xf numFmtId="1" fontId="45" fillId="0" borderId="203" applyNumberFormat="0" applyFont="0" applyFill="0" applyAlignment="0" applyProtection="0">
      <alignment horizontal="center"/>
    </xf>
    <xf numFmtId="0" fontId="55" fillId="41" borderId="185" applyNumberFormat="0" applyAlignment="0" applyProtection="0"/>
    <xf numFmtId="0" fontId="30" fillId="35" borderId="198" applyNumberFormat="0" applyAlignment="0" applyProtection="0"/>
    <xf numFmtId="0" fontId="37" fillId="22" borderId="234" applyNumberFormat="0" applyAlignment="0" applyProtection="0"/>
    <xf numFmtId="1" fontId="45" fillId="0" borderId="239" applyNumberFormat="0" applyFont="0" applyFill="0" applyAlignment="0" applyProtection="0">
      <alignment horizontal="center"/>
    </xf>
    <xf numFmtId="0" fontId="42" fillId="0" borderId="151" applyNumberFormat="0" applyFill="0" applyAlignment="0" applyProtection="0"/>
    <xf numFmtId="0" fontId="37" fillId="22" borderId="198" applyNumberFormat="0" applyAlignment="0" applyProtection="0"/>
    <xf numFmtId="0" fontId="2" fillId="38" borderId="263" applyNumberFormat="0" applyFont="0" applyAlignment="0" applyProtection="0"/>
    <xf numFmtId="0" fontId="2" fillId="38" borderId="206" applyNumberFormat="0" applyFont="0" applyAlignment="0" applyProtection="0"/>
    <xf numFmtId="0" fontId="30" fillId="35" borderId="181" applyNumberFormat="0" applyAlignment="0" applyProtection="0"/>
    <xf numFmtId="0" fontId="42" fillId="0" borderId="158" applyNumberFormat="0" applyFill="0" applyAlignment="0" applyProtection="0"/>
    <xf numFmtId="0" fontId="40" fillId="35" borderId="192" applyNumberFormat="0" applyAlignment="0" applyProtection="0"/>
    <xf numFmtId="1" fontId="45" fillId="0" borderId="246" applyNumberFormat="0" applyFont="0" applyFill="0" applyAlignment="0" applyProtection="0">
      <alignment horizontal="center"/>
    </xf>
    <xf numFmtId="0" fontId="2" fillId="38" borderId="235" applyNumberFormat="0" applyFont="0" applyAlignment="0" applyProtection="0"/>
    <xf numFmtId="1" fontId="45" fillId="0" borderId="164" applyNumberFormat="0" applyFont="0" applyFill="0" applyAlignment="0" applyProtection="0">
      <alignment horizontal="center"/>
    </xf>
    <xf numFmtId="0" fontId="30" fillId="35" borderId="205" applyNumberFormat="0" applyAlignment="0" applyProtection="0"/>
    <xf numFmtId="0" fontId="37" fillId="22" borderId="248" applyNumberFormat="0" applyAlignment="0" applyProtection="0"/>
    <xf numFmtId="0" fontId="37" fillId="22" borderId="190" applyNumberFormat="0" applyAlignment="0" applyProtection="0"/>
    <xf numFmtId="0" fontId="40" fillId="35" borderId="161" applyNumberFormat="0" applyAlignment="0" applyProtection="0"/>
    <xf numFmtId="0" fontId="47" fillId="41" borderId="205" applyNumberFormat="0" applyAlignment="0" applyProtection="0"/>
    <xf numFmtId="0" fontId="2" fillId="38" borderId="182" applyNumberFormat="0" applyFont="0" applyAlignment="0" applyProtection="0"/>
    <xf numFmtId="0" fontId="40" fillId="35" borderId="175" applyNumberFormat="0" applyAlignment="0" applyProtection="0"/>
    <xf numFmtId="0" fontId="52" fillId="37" borderId="173" applyNumberFormat="0" applyAlignment="0" applyProtection="0"/>
    <xf numFmtId="0" fontId="42" fillId="0" borderId="184" applyNumberFormat="0" applyFill="0" applyAlignment="0" applyProtection="0"/>
    <xf numFmtId="0" fontId="47" fillId="41" borderId="166" applyNumberFormat="0" applyAlignment="0" applyProtection="0"/>
    <xf numFmtId="0" fontId="2" fillId="38" borderId="214" applyNumberFormat="0" applyFont="0" applyAlignment="0" applyProtection="0"/>
    <xf numFmtId="0" fontId="55" fillId="41" borderId="149" applyNumberFormat="0" applyAlignment="0" applyProtection="0"/>
    <xf numFmtId="0" fontId="42" fillId="0" borderId="208" applyNumberFormat="0" applyFill="0" applyAlignment="0" applyProtection="0"/>
    <xf numFmtId="0" fontId="42" fillId="0" borderId="172" applyNumberFormat="0" applyFill="0" applyAlignment="0" applyProtection="0"/>
    <xf numFmtId="0" fontId="40" fillId="35" borderId="236" applyNumberFormat="0" applyAlignment="0" applyProtection="0"/>
    <xf numFmtId="1" fontId="45" fillId="0" borderId="157" applyNumberFormat="0" applyFont="0" applyFill="0" applyAlignment="0" applyProtection="0">
      <alignment horizontal="center"/>
    </xf>
    <xf numFmtId="1" fontId="45" fillId="0" borderId="225" applyNumberFormat="0" applyFont="0" applyFill="0" applyAlignment="0" applyProtection="0">
      <alignment horizontal="center"/>
    </xf>
    <xf numFmtId="0" fontId="47" fillId="41" borderId="255" applyNumberFormat="0" applyAlignment="0" applyProtection="0"/>
    <xf numFmtId="0" fontId="37" fillId="22" borderId="241" applyNumberFormat="0" applyAlignment="0" applyProtection="0"/>
    <xf numFmtId="0" fontId="42" fillId="0" borderId="165" applyNumberFormat="0" applyFill="0" applyAlignment="0" applyProtection="0"/>
    <xf numFmtId="0" fontId="42" fillId="0" borderId="244" applyNumberFormat="0" applyFill="0" applyAlignment="0" applyProtection="0"/>
    <xf numFmtId="0" fontId="52" fillId="37" borderId="145" applyNumberFormat="0" applyAlignment="0" applyProtection="0"/>
    <xf numFmtId="0" fontId="40" fillId="35" borderId="183" applyNumberFormat="0" applyAlignment="0" applyProtection="0"/>
    <xf numFmtId="0" fontId="30" fillId="35" borderId="166" applyNumberFormat="0" applyAlignment="0" applyProtection="0"/>
    <xf numFmtId="1" fontId="45" fillId="0" borderId="260" applyNumberFormat="0" applyFont="0" applyFill="0" applyAlignment="0" applyProtection="0">
      <alignment horizontal="center"/>
    </xf>
    <xf numFmtId="0" fontId="2" fillId="38" borderId="191" applyNumberFormat="0" applyFont="0" applyAlignment="0" applyProtection="0"/>
    <xf numFmtId="0" fontId="40" fillId="35" borderId="250" applyNumberFormat="0" applyAlignment="0" applyProtection="0"/>
    <xf numFmtId="0" fontId="52" fillId="37" borderId="152" applyNumberFormat="0" applyAlignment="0" applyProtection="0"/>
    <xf numFmtId="0" fontId="42" fillId="0" borderId="179" applyNumberFormat="0" applyFill="0" applyAlignment="0" applyProtection="0"/>
    <xf numFmtId="0" fontId="47" fillId="41" borderId="227" applyNumberFormat="0" applyAlignment="0" applyProtection="0"/>
    <xf numFmtId="0" fontId="52" fillId="37" borderId="234" applyNumberFormat="0" applyAlignment="0" applyProtection="0"/>
    <xf numFmtId="0" fontId="42" fillId="0" borderId="258" applyNumberFormat="0" applyFill="0" applyAlignment="0" applyProtection="0"/>
    <xf numFmtId="0" fontId="52" fillId="37" borderId="159" applyNumberFormat="0" applyAlignment="0" applyProtection="0"/>
    <xf numFmtId="0" fontId="55" fillId="41" borderId="266" applyNumberFormat="0" applyAlignment="0" applyProtection="0"/>
    <xf numFmtId="0" fontId="42" fillId="0" borderId="226" applyNumberFormat="0" applyFill="0" applyAlignment="0" applyProtection="0"/>
    <xf numFmtId="0" fontId="55" fillId="41" borderId="177" applyNumberFormat="0" applyAlignment="0" applyProtection="0"/>
    <xf numFmtId="0" fontId="47" fillId="41" borderId="262" applyNumberFormat="0" applyAlignment="0" applyProtection="0"/>
    <xf numFmtId="0" fontId="47" fillId="41" borderId="181" applyNumberFormat="0" applyAlignment="0" applyProtection="0"/>
    <xf numFmtId="0" fontId="2" fillId="38" borderId="235" applyNumberFormat="0" applyFont="0" applyAlignment="0" applyProtection="0"/>
    <xf numFmtId="1" fontId="45" fillId="0" borderId="267" applyNumberFormat="0" applyFont="0" applyFill="0" applyAlignment="0" applyProtection="0">
      <alignment horizontal="center"/>
    </xf>
    <xf numFmtId="0" fontId="40" fillId="35" borderId="229" applyNumberFormat="0" applyAlignment="0" applyProtection="0"/>
    <xf numFmtId="0" fontId="30" fillId="35" borderId="255" applyNumberFormat="0" applyAlignment="0" applyProtection="0"/>
    <xf numFmtId="0" fontId="42" fillId="0" borderId="204" applyNumberFormat="0" applyFill="0" applyAlignment="0" applyProtection="0"/>
    <xf numFmtId="0" fontId="2" fillId="38" borderId="256" applyNumberFormat="0" applyFont="0" applyAlignment="0" applyProtection="0"/>
    <xf numFmtId="0" fontId="55" fillId="41" borderId="259" applyNumberFormat="0" applyAlignment="0" applyProtection="0"/>
    <xf numFmtId="0" fontId="55" fillId="41" borderId="194" applyNumberFormat="0" applyAlignment="0" applyProtection="0"/>
    <xf numFmtId="0" fontId="55" fillId="41" borderId="209" applyNumberFormat="0" applyAlignment="0" applyProtection="0"/>
    <xf numFmtId="0" fontId="37" fillId="22" borderId="255" applyNumberFormat="0" applyAlignment="0" applyProtection="0"/>
    <xf numFmtId="0" fontId="2" fillId="38" borderId="228" applyNumberFormat="0" applyFont="0" applyAlignment="0" applyProtection="0"/>
    <xf numFmtId="0" fontId="37" fillId="22" borderId="213" applyNumberFormat="0" applyAlignment="0" applyProtection="0"/>
    <xf numFmtId="0" fontId="30" fillId="35" borderId="234" applyNumberFormat="0" applyAlignment="0" applyProtection="0"/>
    <xf numFmtId="0" fontId="52" fillId="37" borderId="190" applyNumberFormat="0" applyAlignment="0" applyProtection="0"/>
    <xf numFmtId="0" fontId="42" fillId="0" borderId="237" applyNumberFormat="0" applyFill="0" applyAlignment="0" applyProtection="0"/>
    <xf numFmtId="0" fontId="37" fillId="22" borderId="220" applyNumberFormat="0" applyAlignment="0" applyProtection="0"/>
    <xf numFmtId="0" fontId="55" fillId="41" borderId="245" applyNumberFormat="0" applyAlignment="0" applyProtection="0"/>
    <xf numFmtId="0" fontId="2" fillId="38" borderId="242" applyNumberFormat="0" applyFont="0" applyAlignment="0" applyProtection="0"/>
    <xf numFmtId="0" fontId="55" fillId="41" borderId="238" applyNumberFormat="0" applyAlignment="0" applyProtection="0"/>
    <xf numFmtId="0" fontId="42" fillId="0" borderId="211" applyNumberFormat="0" applyFill="0" applyAlignment="0" applyProtection="0"/>
    <xf numFmtId="0" fontId="2" fillId="38" borderId="221" applyNumberFormat="0" applyFont="0" applyAlignment="0" applyProtection="0"/>
    <xf numFmtId="0" fontId="52" fillId="37" borderId="213" applyNumberFormat="0" applyAlignment="0" applyProtection="0"/>
    <xf numFmtId="0" fontId="37" fillId="22" borderId="262" applyNumberFormat="0" applyAlignment="0" applyProtection="0"/>
    <xf numFmtId="1" fontId="45" fillId="0" borderId="253" applyNumberFormat="0" applyFont="0" applyFill="0" applyAlignment="0" applyProtection="0">
      <alignment horizontal="center"/>
    </xf>
    <xf numFmtId="0" fontId="52" fillId="37" borderId="220" applyNumberFormat="0" applyAlignment="0" applyProtection="0"/>
    <xf numFmtId="0" fontId="52" fillId="37" borderId="255" applyNumberFormat="0" applyAlignment="0" applyProtection="0"/>
    <xf numFmtId="0" fontId="52" fillId="37" borderId="227" applyNumberFormat="0" applyAlignment="0" applyProtection="0"/>
    <xf numFmtId="0" fontId="30" fillId="35" borderId="248" applyNumberFormat="0" applyAlignment="0" applyProtection="0"/>
    <xf numFmtId="0" fontId="47" fillId="41" borderId="241" applyNumberFormat="0" applyAlignment="0" applyProtection="0"/>
    <xf numFmtId="0" fontId="52" fillId="37" borderId="241" applyNumberFormat="0" applyAlignment="0" applyProtection="0"/>
    <xf numFmtId="0" fontId="42" fillId="0" borderId="268" applyNumberFormat="0" applyFill="0" applyAlignment="0" applyProtection="0"/>
    <xf numFmtId="0" fontId="30" fillId="35" borderId="262" applyNumberFormat="0" applyAlignment="0" applyProtection="0"/>
    <xf numFmtId="0" fontId="40" fillId="35" borderId="302" applyNumberFormat="0" applyAlignment="0" applyProtection="0"/>
    <xf numFmtId="0" fontId="4" fillId="0" borderId="293">
      <alignment horizontal="left" vertical="center"/>
    </xf>
    <xf numFmtId="0" fontId="131" fillId="0" borderId="288" applyFill="0" applyProtection="0">
      <alignment horizontal="right"/>
    </xf>
    <xf numFmtId="0" fontId="116" fillId="35" borderId="291" applyNumberFormat="0" applyAlignment="0" applyProtection="0"/>
    <xf numFmtId="0" fontId="47" fillId="41" borderId="289" applyNumberFormat="0" applyAlignment="0" applyProtection="0"/>
    <xf numFmtId="0" fontId="42" fillId="0" borderId="307" applyNumberFormat="0" applyFill="0" applyAlignment="0" applyProtection="0"/>
    <xf numFmtId="0" fontId="4" fillId="0" borderId="304">
      <alignment horizontal="left" vertical="center"/>
    </xf>
    <xf numFmtId="0" fontId="30" fillId="35" borderId="270" applyNumberFormat="0" applyAlignment="0" applyProtection="0"/>
    <xf numFmtId="0" fontId="106" fillId="35" borderId="300" applyNumberFormat="0" applyAlignment="0" applyProtection="0"/>
    <xf numFmtId="0" fontId="37" fillId="22" borderId="270" applyNumberFormat="0" applyAlignment="0" applyProtection="0"/>
    <xf numFmtId="0" fontId="2" fillId="38" borderId="271" applyNumberFormat="0" applyFont="0" applyAlignment="0" applyProtection="0"/>
    <xf numFmtId="0" fontId="40" fillId="35" borderId="272" applyNumberFormat="0" applyAlignment="0" applyProtection="0"/>
    <xf numFmtId="0" fontId="42" fillId="0" borderId="273" applyNumberFormat="0" applyFill="0" applyAlignment="0" applyProtection="0"/>
    <xf numFmtId="0" fontId="131" fillId="0" borderId="288" applyFill="0" applyProtection="0">
      <alignment horizontal="right"/>
    </xf>
    <xf numFmtId="0" fontId="42" fillId="0" borderId="292" applyNumberFormat="0" applyFill="0" applyAlignment="0" applyProtection="0"/>
    <xf numFmtId="0" fontId="2" fillId="38" borderId="290" applyNumberFormat="0" applyFont="0" applyAlignment="0" applyProtection="0"/>
    <xf numFmtId="0" fontId="118" fillId="0" borderId="292" applyNumberFormat="0" applyFill="0" applyAlignment="0" applyProtection="0"/>
    <xf numFmtId="0" fontId="2" fillId="38" borderId="290" applyNumberFormat="0" applyFont="0" applyAlignment="0" applyProtection="0"/>
    <xf numFmtId="0" fontId="30" fillId="35" borderId="289" applyNumberFormat="0" applyAlignment="0" applyProtection="0"/>
    <xf numFmtId="0" fontId="37" fillId="22" borderId="300" applyNumberFormat="0" applyAlignment="0" applyProtection="0"/>
    <xf numFmtId="0" fontId="2" fillId="38" borderId="290" applyNumberFormat="0" applyFont="0" applyAlignment="0" applyProtection="0"/>
    <xf numFmtId="0" fontId="116" fillId="35" borderId="291" applyNumberFormat="0" applyAlignment="0" applyProtection="0"/>
    <xf numFmtId="0" fontId="42" fillId="0" borderId="292" applyNumberFormat="0" applyFill="0" applyAlignment="0" applyProtection="0"/>
    <xf numFmtId="0" fontId="52" fillId="37" borderId="289" applyNumberFormat="0" applyAlignment="0" applyProtection="0"/>
    <xf numFmtId="0" fontId="40" fillId="35" borderId="302" applyNumberFormat="0" applyAlignment="0" applyProtection="0"/>
    <xf numFmtId="0" fontId="106" fillId="35" borderId="300" applyNumberFormat="0" applyAlignment="0" applyProtection="0"/>
    <xf numFmtId="0" fontId="2" fillId="38" borderId="301" applyNumberFormat="0" applyFont="0" applyAlignment="0" applyProtection="0"/>
    <xf numFmtId="0" fontId="42" fillId="0" borderId="303" applyNumberFormat="0" applyFill="0" applyAlignment="0" applyProtection="0"/>
    <xf numFmtId="0" fontId="47" fillId="41" borderId="270" applyNumberFormat="0" applyAlignment="0" applyProtection="0"/>
    <xf numFmtId="0" fontId="2" fillId="38" borderId="301" applyNumberFormat="0" applyFont="0" applyAlignment="0" applyProtection="0"/>
    <xf numFmtId="0" fontId="4" fillId="0" borderId="269">
      <alignment horizontal="left" vertical="center"/>
    </xf>
    <xf numFmtId="0" fontId="52" fillId="37" borderId="270" applyNumberFormat="0" applyAlignment="0" applyProtection="0"/>
    <xf numFmtId="0" fontId="2" fillId="38" borderId="271" applyNumberFormat="0" applyFont="0" applyAlignment="0" applyProtection="0"/>
    <xf numFmtId="0" fontId="106" fillId="35" borderId="289" applyNumberFormat="0" applyAlignment="0" applyProtection="0"/>
    <xf numFmtId="0" fontId="30" fillId="35" borderId="289" applyNumberFormat="0" applyAlignment="0" applyProtection="0"/>
    <xf numFmtId="0" fontId="40" fillId="35" borderId="291" applyNumberFormat="0" applyAlignment="0" applyProtection="0"/>
    <xf numFmtId="0" fontId="30" fillId="35" borderId="289" applyNumberFormat="0" applyAlignment="0" applyProtection="0"/>
    <xf numFmtId="0" fontId="55" fillId="41" borderId="274" applyNumberFormat="0" applyAlignment="0" applyProtection="0"/>
    <xf numFmtId="0" fontId="118" fillId="0" borderId="303" applyNumberFormat="0" applyFill="0" applyAlignment="0" applyProtection="0"/>
    <xf numFmtId="0" fontId="55" fillId="41" borderId="305" applyNumberFormat="0" applyAlignment="0" applyProtection="0"/>
    <xf numFmtId="1" fontId="45" fillId="0" borderId="275" applyNumberFormat="0" applyFont="0" applyFill="0" applyAlignment="0" applyProtection="0">
      <alignment horizontal="center"/>
    </xf>
    <xf numFmtId="0" fontId="2" fillId="38" borderId="301" applyNumberFormat="0" applyFont="0" applyAlignment="0" applyProtection="0"/>
    <xf numFmtId="0" fontId="42" fillId="0" borderId="276" applyNumberFormat="0" applyFill="0" applyAlignment="0" applyProtection="0"/>
    <xf numFmtId="0" fontId="4" fillId="0" borderId="304">
      <alignment horizontal="left" vertical="center"/>
    </xf>
    <xf numFmtId="0" fontId="2" fillId="38" borderId="301" applyNumberFormat="0" applyFont="0" applyAlignment="0" applyProtection="0"/>
    <xf numFmtId="0" fontId="52" fillId="37" borderId="300" applyNumberFormat="0" applyAlignment="0" applyProtection="0"/>
    <xf numFmtId="0" fontId="2" fillId="38" borderId="301" applyNumberFormat="0" applyFont="0" applyAlignment="0" applyProtection="0"/>
    <xf numFmtId="0" fontId="113" fillId="22" borderId="300" applyNumberFormat="0" applyAlignment="0" applyProtection="0"/>
    <xf numFmtId="0" fontId="116" fillId="35" borderId="302" applyNumberFormat="0" applyAlignment="0" applyProtection="0"/>
    <xf numFmtId="0" fontId="118" fillId="0" borderId="303" applyNumberFormat="0" applyFill="0" applyAlignment="0" applyProtection="0"/>
    <xf numFmtId="0" fontId="131" fillId="0" borderId="299" applyFill="0" applyProtection="0">
      <alignment horizontal="right"/>
    </xf>
    <xf numFmtId="0" fontId="52" fillId="37" borderId="300" applyNumberFormat="0" applyAlignment="0" applyProtection="0"/>
    <xf numFmtId="0" fontId="2" fillId="38" borderId="290" applyNumberFormat="0" applyFont="0" applyAlignment="0" applyProtection="0"/>
    <xf numFmtId="0" fontId="116" fillId="35" borderId="291" applyNumberFormat="0" applyAlignment="0" applyProtection="0"/>
    <xf numFmtId="198" fontId="15" fillId="0" borderId="294" applyFont="0" applyFill="0" applyBorder="0" applyAlignment="0" applyProtection="0"/>
    <xf numFmtId="0" fontId="113" fillId="22" borderId="289" applyNumberFormat="0" applyAlignment="0" applyProtection="0"/>
    <xf numFmtId="0" fontId="2" fillId="38" borderId="290" applyNumberFormat="0" applyFont="0" applyAlignment="0" applyProtection="0"/>
    <xf numFmtId="0" fontId="37" fillId="22" borderId="289" applyNumberFormat="0" applyAlignment="0" applyProtection="0"/>
    <xf numFmtId="0" fontId="2" fillId="38" borderId="290" applyNumberFormat="0" applyFont="0" applyAlignment="0" applyProtection="0"/>
    <xf numFmtId="0" fontId="42" fillId="0" borderId="292" applyNumberFormat="0" applyFill="0" applyAlignment="0" applyProtection="0"/>
    <xf numFmtId="0" fontId="52" fillId="37" borderId="289" applyNumberFormat="0" applyAlignment="0" applyProtection="0"/>
    <xf numFmtId="0" fontId="55" fillId="41" borderId="295" applyNumberFormat="0" applyAlignment="0" applyProtection="0"/>
    <xf numFmtId="0" fontId="113" fillId="22" borderId="300" applyNumberFormat="0" applyAlignment="0" applyProtection="0"/>
    <xf numFmtId="0" fontId="113" fillId="22" borderId="289" applyNumberFormat="0" applyAlignment="0" applyProtection="0"/>
    <xf numFmtId="0" fontId="106" fillId="35" borderId="289" applyNumberFormat="0" applyAlignment="0" applyProtection="0"/>
    <xf numFmtId="0" fontId="118" fillId="0" borderId="292" applyNumberFormat="0" applyFill="0" applyAlignment="0" applyProtection="0"/>
    <xf numFmtId="198" fontId="15" fillId="0" borderId="298" applyFont="0" applyFill="0" applyBorder="0" applyAlignment="0" applyProtection="0"/>
    <xf numFmtId="0" fontId="113" fillId="22" borderId="289" applyNumberFormat="0" applyAlignment="0" applyProtection="0"/>
    <xf numFmtId="0" fontId="106" fillId="35" borderId="289" applyNumberFormat="0" applyAlignment="0" applyProtection="0"/>
    <xf numFmtId="0" fontId="47" fillId="41" borderId="289" applyNumberFormat="0" applyAlignment="0" applyProtection="0"/>
    <xf numFmtId="0" fontId="131" fillId="0" borderId="288" applyFill="0" applyProtection="0">
      <alignment horizontal="right"/>
    </xf>
    <xf numFmtId="0" fontId="55" fillId="41" borderId="305" applyNumberFormat="0" applyAlignment="0" applyProtection="0"/>
    <xf numFmtId="198" fontId="15" fillId="0" borderId="298" applyFont="0" applyFill="0" applyBorder="0" applyAlignment="0" applyProtection="0"/>
    <xf numFmtId="0" fontId="131" fillId="0" borderId="278" applyFill="0" applyProtection="0">
      <alignment horizontal="right"/>
    </xf>
    <xf numFmtId="0" fontId="131" fillId="0" borderId="299" applyFill="0" applyProtection="0">
      <alignment horizontal="right"/>
    </xf>
    <xf numFmtId="0" fontId="116" fillId="35" borderId="302" applyNumberFormat="0" applyAlignment="0" applyProtection="0"/>
    <xf numFmtId="198" fontId="15" fillId="0" borderId="298" applyFont="0" applyFill="0" applyBorder="0" applyAlignment="0" applyProtection="0"/>
    <xf numFmtId="0" fontId="106" fillId="35" borderId="279" applyNumberFormat="0" applyAlignment="0" applyProtection="0"/>
    <xf numFmtId="0" fontId="52" fillId="37" borderId="300" applyNumberFormat="0" applyAlignment="0" applyProtection="0"/>
    <xf numFmtId="0" fontId="118" fillId="0" borderId="303" applyNumberFormat="0" applyFill="0" applyAlignment="0" applyProtection="0"/>
    <xf numFmtId="1" fontId="45" fillId="0" borderId="306" applyNumberFormat="0" applyFont="0" applyFill="0" applyAlignment="0" applyProtection="0">
      <alignment horizontal="center"/>
    </xf>
    <xf numFmtId="0" fontId="4" fillId="0" borderId="304">
      <alignment horizontal="left" vertical="center"/>
    </xf>
    <xf numFmtId="0" fontId="116" fillId="35" borderId="302" applyNumberFormat="0" applyAlignment="0" applyProtection="0"/>
    <xf numFmtId="0" fontId="106" fillId="35" borderId="300" applyNumberFormat="0" applyAlignment="0" applyProtection="0"/>
    <xf numFmtId="1" fontId="45" fillId="0" borderId="296" applyNumberFormat="0" applyFont="0" applyFill="0" applyAlignment="0" applyProtection="0">
      <alignment horizontal="center"/>
    </xf>
    <xf numFmtId="0" fontId="42" fillId="0" borderId="303" applyNumberFormat="0" applyFill="0" applyAlignment="0" applyProtection="0"/>
    <xf numFmtId="0" fontId="116" fillId="35" borderId="302" applyNumberFormat="0" applyAlignment="0" applyProtection="0"/>
    <xf numFmtId="0" fontId="113" fillId="22" borderId="300" applyNumberFormat="0" applyAlignment="0" applyProtection="0"/>
    <xf numFmtId="0" fontId="113" fillId="22" borderId="289" applyNumberFormat="0" applyAlignment="0" applyProtection="0"/>
    <xf numFmtId="0" fontId="113" fillId="22" borderId="279" applyNumberFormat="0" applyAlignment="0" applyProtection="0"/>
    <xf numFmtId="0" fontId="116" fillId="35" borderId="291" applyNumberFormat="0" applyAlignment="0" applyProtection="0"/>
    <xf numFmtId="198" fontId="15" fillId="0" borderId="298" applyFont="0" applyFill="0" applyBorder="0" applyAlignment="0" applyProtection="0"/>
    <xf numFmtId="0" fontId="2" fillId="38" borderId="280" applyNumberFormat="0" applyFont="0" applyAlignment="0" applyProtection="0"/>
    <xf numFmtId="0" fontId="37" fillId="22" borderId="289" applyNumberFormat="0" applyAlignment="0" applyProtection="0"/>
    <xf numFmtId="0" fontId="116" fillId="35" borderId="281" applyNumberFormat="0" applyAlignment="0" applyProtection="0"/>
    <xf numFmtId="0" fontId="2" fillId="38" borderId="290" applyNumberFormat="0" applyFont="0" applyAlignment="0" applyProtection="0"/>
    <xf numFmtId="0" fontId="40" fillId="35" borderId="291" applyNumberFormat="0" applyAlignment="0" applyProtection="0"/>
    <xf numFmtId="0" fontId="42" fillId="0" borderId="292" applyNumberFormat="0" applyFill="0" applyAlignment="0" applyProtection="0"/>
    <xf numFmtId="0" fontId="47" fillId="41" borderId="289" applyNumberFormat="0" applyAlignment="0" applyProtection="0"/>
    <xf numFmtId="0" fontId="52" fillId="37" borderId="289" applyNumberFormat="0" applyAlignment="0" applyProtection="0"/>
    <xf numFmtId="0" fontId="2" fillId="38" borderId="290" applyNumberFormat="0" applyFont="0" applyAlignment="0" applyProtection="0"/>
    <xf numFmtId="0" fontId="55" fillId="41" borderId="295" applyNumberFormat="0" applyAlignment="0" applyProtection="0"/>
    <xf numFmtId="1" fontId="45" fillId="0" borderId="296" applyNumberFormat="0" applyFont="0" applyFill="0" applyAlignment="0" applyProtection="0">
      <alignment horizontal="center"/>
    </xf>
    <xf numFmtId="0" fontId="42" fillId="0" borderId="297" applyNumberFormat="0" applyFill="0" applyAlignment="0" applyProtection="0"/>
    <xf numFmtId="0" fontId="40" fillId="35" borderId="302" applyNumberFormat="0" applyAlignment="0" applyProtection="0"/>
    <xf numFmtId="0" fontId="30" fillId="35" borderId="300" applyNumberFormat="0" applyAlignment="0" applyProtection="0"/>
    <xf numFmtId="0" fontId="2" fillId="38" borderId="301" applyNumberFormat="0" applyFont="0" applyAlignment="0" applyProtection="0"/>
    <xf numFmtId="0" fontId="30" fillId="35" borderId="300" applyNumberFormat="0" applyAlignment="0" applyProtection="0"/>
    <xf numFmtId="0" fontId="55" fillId="41" borderId="305" applyNumberFormat="0" applyAlignment="0" applyProtection="0"/>
    <xf numFmtId="0" fontId="37" fillId="22" borderId="300" applyNumberFormat="0" applyAlignment="0" applyProtection="0"/>
    <xf numFmtId="0" fontId="116" fillId="35" borderId="302" applyNumberFormat="0" applyAlignment="0" applyProtection="0"/>
    <xf numFmtId="1" fontId="45" fillId="0" borderId="306" applyNumberFormat="0" applyFont="0" applyFill="0" applyAlignment="0" applyProtection="0">
      <alignment horizontal="center"/>
    </xf>
    <xf numFmtId="0" fontId="2" fillId="38" borderId="301" applyNumberFormat="0" applyFont="0" applyAlignment="0" applyProtection="0"/>
    <xf numFmtId="0" fontId="55" fillId="41" borderId="295" applyNumberFormat="0" applyAlignment="0" applyProtection="0"/>
    <xf numFmtId="1" fontId="45" fillId="0" borderId="296" applyNumberFormat="0" applyFont="0" applyFill="0" applyAlignment="0" applyProtection="0">
      <alignment horizontal="center"/>
    </xf>
    <xf numFmtId="0" fontId="42" fillId="0" borderId="297" applyNumberFormat="0" applyFill="0" applyAlignment="0" applyProtection="0"/>
    <xf numFmtId="0" fontId="113" fillId="22" borderId="289" applyNumberFormat="0" applyAlignment="0" applyProtection="0"/>
    <xf numFmtId="0" fontId="2" fillId="38" borderId="290" applyNumberFormat="0" applyFont="0" applyAlignment="0" applyProtection="0"/>
    <xf numFmtId="0" fontId="118" fillId="0" borderId="292" applyNumberFormat="0" applyFill="0" applyAlignment="0" applyProtection="0"/>
    <xf numFmtId="0" fontId="37" fillId="22" borderId="289" applyNumberFormat="0" applyAlignment="0" applyProtection="0"/>
    <xf numFmtId="0" fontId="2" fillId="38" borderId="290" applyNumberFormat="0" applyFont="0" applyAlignment="0" applyProtection="0"/>
    <xf numFmtId="0" fontId="47" fillId="41" borderId="300" applyNumberFormat="0" applyAlignment="0" applyProtection="0"/>
    <xf numFmtId="0" fontId="113" fillId="22" borderId="300" applyNumberFormat="0" applyAlignment="0" applyProtection="0"/>
    <xf numFmtId="0" fontId="4" fillId="0" borderId="277">
      <alignment horizontal="left" vertical="center"/>
    </xf>
    <xf numFmtId="0" fontId="116" fillId="35" borderId="291" applyNumberFormat="0" applyAlignment="0" applyProtection="0"/>
    <xf numFmtId="0" fontId="47" fillId="41" borderId="289" applyNumberFormat="0" applyAlignment="0" applyProtection="0"/>
    <xf numFmtId="0" fontId="4" fillId="0" borderId="293">
      <alignment horizontal="left" vertical="center"/>
    </xf>
    <xf numFmtId="0" fontId="2" fillId="38" borderId="290" applyNumberFormat="0" applyFont="0" applyAlignment="0" applyProtection="0"/>
    <xf numFmtId="0" fontId="106" fillId="35" borderId="289" applyNumberFormat="0" applyAlignment="0" applyProtection="0"/>
    <xf numFmtId="0" fontId="113" fillId="22" borderId="300" applyNumberFormat="0" applyAlignment="0" applyProtection="0"/>
    <xf numFmtId="0" fontId="37" fillId="22" borderId="300" applyNumberFormat="0" applyAlignment="0" applyProtection="0"/>
    <xf numFmtId="0" fontId="131" fillId="0" borderId="299" applyFill="0" applyProtection="0">
      <alignment horizontal="right"/>
    </xf>
    <xf numFmtId="0" fontId="42" fillId="0" borderId="303" applyNumberFormat="0" applyFill="0" applyAlignment="0" applyProtection="0"/>
    <xf numFmtId="0" fontId="118" fillId="0" borderId="303" applyNumberFormat="0" applyFill="0" applyAlignment="0" applyProtection="0"/>
    <xf numFmtId="0" fontId="106" fillId="35" borderId="300" applyNumberFormat="0" applyAlignment="0" applyProtection="0"/>
    <xf numFmtId="0" fontId="2" fillId="38" borderId="301" applyNumberFormat="0" applyFont="0" applyAlignment="0" applyProtection="0"/>
    <xf numFmtId="0" fontId="118" fillId="0" borderId="292" applyNumberFormat="0" applyFill="0" applyAlignment="0" applyProtection="0"/>
    <xf numFmtId="0" fontId="2" fillId="38" borderId="290" applyNumberFormat="0" applyFont="0" applyAlignment="0" applyProtection="0"/>
    <xf numFmtId="0" fontId="116" fillId="35" borderId="291" applyNumberFormat="0" applyAlignment="0" applyProtection="0"/>
    <xf numFmtId="0" fontId="118" fillId="0" borderId="292" applyNumberFormat="0" applyFill="0" applyAlignment="0" applyProtection="0"/>
    <xf numFmtId="0" fontId="47" fillId="41" borderId="300" applyNumberFormat="0" applyAlignment="0" applyProtection="0"/>
    <xf numFmtId="0" fontId="47" fillId="41" borderId="300" applyNumberFormat="0" applyAlignment="0" applyProtection="0"/>
    <xf numFmtId="0" fontId="118" fillId="0" borderId="282" applyNumberFormat="0" applyFill="0" applyAlignment="0" applyProtection="0"/>
    <xf numFmtId="0" fontId="131" fillId="0" borderId="288" applyFill="0" applyProtection="0">
      <alignment horizontal="right"/>
    </xf>
    <xf numFmtId="0" fontId="42" fillId="0" borderId="297" applyNumberFormat="0" applyFill="0" applyAlignment="0" applyProtection="0"/>
    <xf numFmtId="0" fontId="113" fillId="22" borderId="289" applyNumberFormat="0" applyAlignment="0" applyProtection="0"/>
    <xf numFmtId="0" fontId="131" fillId="0" borderId="299" applyFill="0" applyProtection="0">
      <alignment horizontal="right"/>
    </xf>
    <xf numFmtId="0" fontId="131" fillId="0" borderId="288" applyFill="0" applyProtection="0">
      <alignment horizontal="right"/>
    </xf>
    <xf numFmtId="0" fontId="113" fillId="22" borderId="300" applyNumberFormat="0" applyAlignment="0" applyProtection="0"/>
    <xf numFmtId="0" fontId="30" fillId="35" borderId="279" applyNumberFormat="0" applyAlignment="0" applyProtection="0"/>
    <xf numFmtId="0" fontId="37" fillId="22" borderId="279" applyNumberFormat="0" applyAlignment="0" applyProtection="0"/>
    <xf numFmtId="0" fontId="2" fillId="38" borderId="280" applyNumberFormat="0" applyFont="0" applyAlignment="0" applyProtection="0"/>
    <xf numFmtId="0" fontId="40" fillId="35" borderId="281" applyNumberFormat="0" applyAlignment="0" applyProtection="0"/>
    <xf numFmtId="0" fontId="42" fillId="0" borderId="282" applyNumberFormat="0" applyFill="0" applyAlignment="0" applyProtection="0"/>
    <xf numFmtId="0" fontId="47" fillId="41" borderId="279" applyNumberFormat="0" applyAlignment="0" applyProtection="0"/>
    <xf numFmtId="0" fontId="4" fillId="0" borderId="283">
      <alignment horizontal="left" vertical="center"/>
    </xf>
    <xf numFmtId="0" fontId="52" fillId="37" borderId="279" applyNumberFormat="0" applyAlignment="0" applyProtection="0"/>
    <xf numFmtId="0" fontId="2" fillId="38" borderId="280" applyNumberFormat="0" applyFont="0" applyAlignment="0" applyProtection="0"/>
    <xf numFmtId="0" fontId="55" fillId="41" borderId="285" applyNumberFormat="0" applyAlignment="0" applyProtection="0"/>
    <xf numFmtId="1" fontId="45" fillId="0" borderId="286" applyNumberFormat="0" applyFont="0" applyFill="0" applyAlignment="0" applyProtection="0">
      <alignment horizontal="center"/>
    </xf>
    <xf numFmtId="0" fontId="42" fillId="0" borderId="287" applyNumberFormat="0" applyFill="0" applyAlignment="0" applyProtection="0"/>
    <xf numFmtId="198" fontId="15" fillId="0" borderId="284" applyFont="0" applyFill="0" applyBorder="0" applyAlignment="0" applyProtection="0"/>
    <xf numFmtId="0" fontId="113" fillId="22" borderId="279" applyNumberFormat="0" applyAlignment="0" applyProtection="0"/>
    <xf numFmtId="0" fontId="2" fillId="38" borderId="280" applyNumberFormat="0" applyFont="0" applyAlignment="0" applyProtection="0"/>
    <xf numFmtId="0" fontId="116" fillId="35" borderId="281" applyNumberFormat="0" applyAlignment="0" applyProtection="0"/>
    <xf numFmtId="0" fontId="131" fillId="0" borderId="278" applyFill="0" applyProtection="0">
      <alignment horizontal="right"/>
    </xf>
    <xf numFmtId="0" fontId="106" fillId="35" borderId="279" applyNumberFormat="0" applyAlignment="0" applyProtection="0"/>
    <xf numFmtId="0" fontId="118" fillId="0" borderId="282" applyNumberFormat="0" applyFill="0" applyAlignment="0" applyProtection="0"/>
    <xf numFmtId="0" fontId="30" fillId="35" borderId="279" applyNumberFormat="0" applyAlignment="0" applyProtection="0"/>
    <xf numFmtId="0" fontId="37" fillId="22" borderId="279" applyNumberFormat="0" applyAlignment="0" applyProtection="0"/>
    <xf numFmtId="0" fontId="2" fillId="38" borderId="280" applyNumberFormat="0" applyFont="0" applyAlignment="0" applyProtection="0"/>
    <xf numFmtId="0" fontId="40" fillId="35" borderId="281" applyNumberFormat="0" applyAlignment="0" applyProtection="0"/>
    <xf numFmtId="0" fontId="42" fillId="0" borderId="282" applyNumberFormat="0" applyFill="0" applyAlignment="0" applyProtection="0"/>
    <xf numFmtId="0" fontId="47" fillId="41" borderId="279" applyNumberFormat="0" applyAlignment="0" applyProtection="0"/>
    <xf numFmtId="0" fontId="52" fillId="37" borderId="279" applyNumberFormat="0" applyAlignment="0" applyProtection="0"/>
    <xf numFmtId="0" fontId="106" fillId="35" borderId="279" applyNumberFormat="0" applyAlignment="0" applyProtection="0"/>
    <xf numFmtId="0" fontId="2" fillId="38" borderId="280" applyNumberFormat="0" applyFont="0" applyAlignment="0" applyProtection="0"/>
    <xf numFmtId="0" fontId="131" fillId="0" borderId="278" applyFill="0" applyProtection="0">
      <alignment horizontal="right"/>
    </xf>
    <xf numFmtId="0" fontId="118" fillId="0" borderId="282" applyNumberFormat="0" applyFill="0" applyAlignment="0" applyProtection="0"/>
    <xf numFmtId="0" fontId="131" fillId="0" borderId="278" applyFill="0" applyProtection="0">
      <alignment horizontal="right"/>
    </xf>
    <xf numFmtId="0" fontId="106" fillId="35" borderId="279" applyNumberFormat="0" applyAlignment="0" applyProtection="0"/>
    <xf numFmtId="0" fontId="116" fillId="35" borderId="281" applyNumberFormat="0" applyAlignment="0" applyProtection="0"/>
    <xf numFmtId="0" fontId="2" fillId="38" borderId="280" applyNumberFormat="0" applyFont="0" applyAlignment="0" applyProtection="0"/>
    <xf numFmtId="0" fontId="113" fillId="22" borderId="279" applyNumberFormat="0" applyAlignment="0" applyProtection="0"/>
    <xf numFmtId="0" fontId="113" fillId="22" borderId="279" applyNumberFormat="0" applyAlignment="0" applyProtection="0"/>
    <xf numFmtId="0" fontId="2" fillId="38" borderId="280" applyNumberFormat="0" applyFont="0" applyAlignment="0" applyProtection="0"/>
    <xf numFmtId="0" fontId="116" fillId="35" borderId="281" applyNumberFormat="0" applyAlignment="0" applyProtection="0"/>
    <xf numFmtId="0" fontId="118" fillId="0" borderId="282" applyNumberFormat="0" applyFill="0" applyAlignment="0" applyProtection="0"/>
    <xf numFmtId="0" fontId="30" fillId="35" borderId="279" applyNumberFormat="0" applyAlignment="0" applyProtection="0"/>
    <xf numFmtId="0" fontId="37" fillId="22" borderId="279" applyNumberFormat="0" applyAlignment="0" applyProtection="0"/>
    <xf numFmtId="0" fontId="2" fillId="38" borderId="280" applyNumberFormat="0" applyFont="0" applyAlignment="0" applyProtection="0"/>
    <xf numFmtId="0" fontId="40" fillId="35" borderId="281" applyNumberFormat="0" applyAlignment="0" applyProtection="0"/>
    <xf numFmtId="0" fontId="42" fillId="0" borderId="282" applyNumberFormat="0" applyFill="0" applyAlignment="0" applyProtection="0"/>
    <xf numFmtId="0" fontId="47" fillId="41" borderId="279" applyNumberFormat="0" applyAlignment="0" applyProtection="0"/>
    <xf numFmtId="0" fontId="4" fillId="0" borderId="283">
      <alignment horizontal="left" vertical="center"/>
    </xf>
    <xf numFmtId="0" fontId="52" fillId="37" borderId="279" applyNumberFormat="0" applyAlignment="0" applyProtection="0"/>
    <xf numFmtId="0" fontId="2" fillId="38" borderId="280" applyNumberFormat="0" applyFont="0" applyAlignment="0" applyProtection="0"/>
    <xf numFmtId="0" fontId="55" fillId="41" borderId="285" applyNumberFormat="0" applyAlignment="0" applyProtection="0"/>
    <xf numFmtId="1" fontId="45" fillId="0" borderId="286" applyNumberFormat="0" applyFont="0" applyFill="0" applyAlignment="0" applyProtection="0">
      <alignment horizontal="center"/>
    </xf>
    <xf numFmtId="0" fontId="42" fillId="0" borderId="287" applyNumberFormat="0" applyFill="0" applyAlignment="0" applyProtection="0"/>
    <xf numFmtId="198" fontId="15" fillId="0" borderId="284" applyFont="0" applyFill="0" applyBorder="0" applyAlignment="0" applyProtection="0"/>
    <xf numFmtId="0" fontId="113" fillId="22" borderId="279" applyNumberFormat="0" applyAlignment="0" applyProtection="0"/>
    <xf numFmtId="0" fontId="2" fillId="38" borderId="280" applyNumberFormat="0" applyFont="0" applyAlignment="0" applyProtection="0"/>
    <xf numFmtId="0" fontId="116" fillId="35" borderId="281" applyNumberFormat="0" applyAlignment="0" applyProtection="0"/>
    <xf numFmtId="0" fontId="131" fillId="0" borderId="278" applyFill="0" applyProtection="0">
      <alignment horizontal="right"/>
    </xf>
    <xf numFmtId="0" fontId="106" fillId="35" borderId="279" applyNumberFormat="0" applyAlignment="0" applyProtection="0"/>
    <xf numFmtId="0" fontId="118" fillId="0" borderId="282" applyNumberFormat="0" applyFill="0" applyAlignment="0" applyProtection="0"/>
    <xf numFmtId="0" fontId="30" fillId="35" borderId="279" applyNumberFormat="0" applyAlignment="0" applyProtection="0"/>
    <xf numFmtId="0" fontId="37" fillId="22" borderId="279" applyNumberFormat="0" applyAlignment="0" applyProtection="0"/>
    <xf numFmtId="0" fontId="2" fillId="38" borderId="280" applyNumberFormat="0" applyFont="0" applyAlignment="0" applyProtection="0"/>
    <xf numFmtId="0" fontId="40" fillId="35" borderId="281" applyNumberFormat="0" applyAlignment="0" applyProtection="0"/>
    <xf numFmtId="0" fontId="42" fillId="0" borderId="282" applyNumberFormat="0" applyFill="0" applyAlignment="0" applyProtection="0"/>
    <xf numFmtId="0" fontId="47" fillId="41" borderId="279" applyNumberFormat="0" applyAlignment="0" applyProtection="0"/>
    <xf numFmtId="0" fontId="4" fillId="0" borderId="283">
      <alignment horizontal="left" vertical="center"/>
    </xf>
    <xf numFmtId="0" fontId="52" fillId="37" borderId="279" applyNumberFormat="0" applyAlignment="0" applyProtection="0"/>
    <xf numFmtId="0" fontId="2" fillId="38" borderId="280" applyNumberFormat="0" applyFont="0" applyAlignment="0" applyProtection="0"/>
    <xf numFmtId="0" fontId="55" fillId="41" borderId="285" applyNumberFormat="0" applyAlignment="0" applyProtection="0"/>
    <xf numFmtId="1" fontId="45" fillId="0" borderId="286" applyNumberFormat="0" applyFont="0" applyFill="0" applyAlignment="0" applyProtection="0">
      <alignment horizontal="center"/>
    </xf>
    <xf numFmtId="0" fontId="42" fillId="0" borderId="287" applyNumberFormat="0" applyFill="0" applyAlignment="0" applyProtection="0"/>
    <xf numFmtId="198" fontId="15" fillId="0" borderId="284" applyFont="0" applyFill="0" applyBorder="0" applyAlignment="0" applyProtection="0"/>
    <xf numFmtId="0" fontId="113" fillId="22" borderId="279" applyNumberFormat="0" applyAlignment="0" applyProtection="0"/>
    <xf numFmtId="0" fontId="2" fillId="38" borderId="280" applyNumberFormat="0" applyFont="0" applyAlignment="0" applyProtection="0"/>
    <xf numFmtId="0" fontId="116" fillId="35" borderId="281" applyNumberFormat="0" applyAlignment="0" applyProtection="0"/>
    <xf numFmtId="0" fontId="131" fillId="0" borderId="278" applyFill="0" applyProtection="0">
      <alignment horizontal="right"/>
    </xf>
    <xf numFmtId="0" fontId="106" fillId="35" borderId="279" applyNumberFormat="0" applyAlignment="0" applyProtection="0"/>
    <xf numFmtId="0" fontId="118" fillId="0" borderId="282" applyNumberFormat="0" applyFill="0" applyAlignment="0" applyProtection="0"/>
    <xf numFmtId="0" fontId="40" fillId="35" borderId="302" applyNumberFormat="0" applyAlignment="0" applyProtection="0"/>
    <xf numFmtId="0" fontId="40" fillId="35" borderId="291" applyNumberFormat="0" applyAlignment="0" applyProtection="0"/>
    <xf numFmtId="0" fontId="30" fillId="35" borderId="300" applyNumberFormat="0" applyAlignment="0" applyProtection="0"/>
    <xf numFmtId="0" fontId="42" fillId="0" borderId="307" applyNumberFormat="0" applyFill="0" applyAlignment="0" applyProtection="0"/>
    <xf numFmtId="0" fontId="2" fillId="38" borderId="301" applyNumberFormat="0" applyFont="0" applyAlignment="0" applyProtection="0"/>
    <xf numFmtId="1" fontId="45" fillId="0" borderId="296" applyNumberFormat="0" applyFont="0" applyFill="0" applyAlignment="0" applyProtection="0">
      <alignment horizontal="center"/>
    </xf>
    <xf numFmtId="0" fontId="2" fillId="38" borderId="301" applyNumberFormat="0" applyFont="0" applyAlignment="0" applyProtection="0"/>
    <xf numFmtId="1" fontId="45" fillId="0" borderId="267" applyNumberFormat="0" applyFont="0" applyFill="0" applyAlignment="0" applyProtection="0">
      <alignment horizontal="center"/>
    </xf>
    <xf numFmtId="0" fontId="2" fillId="0" borderId="0"/>
    <xf numFmtId="0" fontId="10" fillId="22" borderId="0" applyNumberFormat="0" applyBorder="0" applyAlignment="0" applyProtection="0"/>
    <xf numFmtId="0" fontId="10" fillId="17"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0" fillId="24" borderId="0" applyNumberFormat="0" applyBorder="0" applyAlignment="0" applyProtection="0"/>
    <xf numFmtId="0" fontId="10"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0" fillId="38" borderId="0" applyNumberFormat="0" applyBorder="0" applyAlignment="0" applyProtection="0"/>
    <xf numFmtId="0" fontId="10" fillId="19"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0" fillId="22" borderId="0" applyNumberFormat="0" applyBorder="0" applyAlignment="0" applyProtection="0"/>
    <xf numFmtId="0" fontId="10" fillId="20"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0" fillId="21" borderId="0" applyNumberFormat="0" applyBorder="0" applyAlignment="0" applyProtection="0"/>
    <xf numFmtId="0" fontId="10" fillId="38" borderId="0" applyNumberFormat="0" applyBorder="0" applyAlignment="0" applyProtection="0"/>
    <xf numFmtId="0" fontId="10" fillId="22" borderId="0" applyNumberFormat="0" applyBorder="0" applyAlignment="0" applyProtection="0"/>
    <xf numFmtId="0" fontId="10" fillId="35" borderId="0" applyNumberFormat="0" applyBorder="0" applyAlignment="0" applyProtection="0"/>
    <xf numFmtId="0" fontId="10" fillId="2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0" fillId="24" borderId="0" applyNumberFormat="0" applyBorder="0" applyAlignment="0" applyProtection="0"/>
    <xf numFmtId="0" fontId="10" fillId="37" borderId="0" applyNumberFormat="0" applyBorder="0" applyAlignment="0" applyProtection="0"/>
    <xf numFmtId="0" fontId="10" fillId="25"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0" fillId="35" borderId="0" applyNumberFormat="0" applyBorder="0" applyAlignment="0" applyProtection="0"/>
    <xf numFmtId="0" fontId="10" fillId="20"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0" fillId="23" borderId="0" applyNumberFormat="0" applyBorder="0" applyAlignment="0" applyProtection="0"/>
    <xf numFmtId="0" fontId="10" fillId="37" borderId="0" applyNumberFormat="0" applyBorder="0" applyAlignment="0" applyProtection="0"/>
    <xf numFmtId="0" fontId="10" fillId="26"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4"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8" fillId="0" borderId="0" applyFont="0" applyFill="0" applyBorder="0" applyAlignment="0" applyProtection="0"/>
    <xf numFmtId="44" fontId="10"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9" fontId="2" fillId="0" borderId="0" applyFont="0" applyFill="0" applyBorder="0" applyAlignment="0" applyProtection="0"/>
    <xf numFmtId="0" fontId="231" fillId="0" borderId="0" applyNumberFormat="0" applyFill="0" applyBorder="0" applyAlignment="0" applyProtection="0"/>
    <xf numFmtId="0" fontId="231" fillId="0" borderId="0" applyNumberFormat="0" applyFill="0" applyBorder="0" applyAlignment="0" applyProtection="0"/>
    <xf numFmtId="0" fontId="2" fillId="0" borderId="0"/>
    <xf numFmtId="175" fontId="19" fillId="0" borderId="0"/>
    <xf numFmtId="0" fontId="10" fillId="0" borderId="0"/>
    <xf numFmtId="0" fontId="10" fillId="0" borderId="0"/>
    <xf numFmtId="175" fontId="19" fillId="0" borderId="0"/>
    <xf numFmtId="0" fontId="10" fillId="0" borderId="0"/>
    <xf numFmtId="0" fontId="2" fillId="0" borderId="0"/>
    <xf numFmtId="0" fontId="2" fillId="0" borderId="0"/>
    <xf numFmtId="0" fontId="2" fillId="0" borderId="0"/>
    <xf numFmtId="0" fontId="2" fillId="0" borderId="0"/>
    <xf numFmtId="0" fontId="2" fillId="0" borderId="0"/>
    <xf numFmtId="0" fontId="10" fillId="4" borderId="21" applyNumberFormat="0" applyFont="0" applyAlignment="0" applyProtection="0"/>
    <xf numFmtId="0" fontId="10" fillId="4" borderId="21" applyNumberFormat="0" applyFont="0" applyAlignment="0" applyProtection="0"/>
    <xf numFmtId="0" fontId="10" fillId="4" borderId="21" applyNumberFormat="0" applyFont="0" applyAlignment="0" applyProtection="0"/>
    <xf numFmtId="0" fontId="10" fillId="4" borderId="2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10" fillId="0" borderId="0" applyFont="0" applyFill="0" applyBorder="0" applyAlignment="0" applyProtection="0"/>
    <xf numFmtId="9" fontId="2" fillId="0" borderId="0" applyFont="0" applyFill="0" applyBorder="0" applyAlignment="0" applyProtection="0"/>
    <xf numFmtId="9" fontId="10" fillId="0" borderId="0" applyFont="0" applyFill="0" applyBorder="0" applyAlignment="0" applyProtection="0"/>
    <xf numFmtId="198" fontId="15" fillId="0" borderId="294"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 fontId="45" fillId="0" borderId="267" applyNumberFormat="0" applyFont="0" applyFill="0" applyAlignment="0" applyProtection="0">
      <alignment horizontal="center"/>
    </xf>
    <xf numFmtId="1" fontId="45" fillId="0" borderId="267" applyNumberFormat="0" applyFont="0" applyFill="0" applyAlignment="0" applyProtection="0">
      <alignment horizontal="center"/>
    </xf>
    <xf numFmtId="44"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42" fillId="0" borderId="303" applyNumberFormat="0" applyFill="0" applyAlignment="0" applyProtection="0"/>
    <xf numFmtId="0" fontId="106" fillId="35" borderId="289" applyNumberFormat="0" applyAlignment="0" applyProtection="0"/>
    <xf numFmtId="0" fontId="52" fillId="37" borderId="289" applyNumberFormat="0" applyAlignment="0" applyProtection="0"/>
    <xf numFmtId="0" fontId="30" fillId="35" borderId="289" applyNumberFormat="0" applyAlignment="0" applyProtection="0"/>
    <xf numFmtId="0" fontId="131" fillId="0" borderId="288" applyFill="0" applyProtection="0">
      <alignment horizontal="right"/>
    </xf>
    <xf numFmtId="0" fontId="118" fillId="0" borderId="303" applyNumberFormat="0" applyFill="0" applyAlignment="0" applyProtection="0"/>
    <xf numFmtId="0" fontId="40" fillId="35" borderId="291" applyNumberFormat="0" applyAlignment="0" applyProtection="0"/>
    <xf numFmtId="0" fontId="2" fillId="38" borderId="290" applyNumberFormat="0" applyFont="0" applyAlignment="0" applyProtection="0"/>
    <xf numFmtId="0" fontId="106" fillId="35" borderId="289" applyNumberFormat="0" applyAlignment="0" applyProtection="0"/>
    <xf numFmtId="0" fontId="2" fillId="38" borderId="301" applyNumberFormat="0" applyFont="0" applyAlignment="0" applyProtection="0"/>
    <xf numFmtId="0" fontId="52" fillId="37" borderId="300" applyNumberFormat="0" applyAlignment="0" applyProtection="0"/>
    <xf numFmtId="0" fontId="118" fillId="0" borderId="303" applyNumberFormat="0" applyFill="0" applyAlignment="0" applyProtection="0"/>
    <xf numFmtId="0" fontId="37" fillId="22" borderId="300" applyNumberFormat="0" applyAlignment="0" applyProtection="0"/>
    <xf numFmtId="0" fontId="2" fillId="38" borderId="290" applyNumberFormat="0" applyFont="0" applyAlignment="0" applyProtection="0"/>
    <xf numFmtId="0" fontId="106" fillId="35" borderId="300" applyNumberFormat="0" applyAlignment="0" applyProtection="0"/>
    <xf numFmtId="0" fontId="131" fillId="0" borderId="299" applyFill="0" applyProtection="0">
      <alignment horizontal="right"/>
    </xf>
    <xf numFmtId="0" fontId="47" fillId="41" borderId="300" applyNumberFormat="0" applyAlignment="0" applyProtection="0"/>
    <xf numFmtId="0" fontId="2" fillId="38" borderId="301" applyNumberFormat="0" applyFont="0" applyAlignment="0" applyProtection="0"/>
    <xf numFmtId="0" fontId="2" fillId="38" borderId="301" applyNumberFormat="0" applyFont="0" applyAlignment="0" applyProtection="0"/>
    <xf numFmtId="0" fontId="116" fillId="35" borderId="302" applyNumberFormat="0" applyAlignment="0" applyProtection="0"/>
    <xf numFmtId="0" fontId="30" fillId="35" borderId="300" applyNumberFormat="0" applyAlignment="0" applyProtection="0"/>
    <xf numFmtId="0" fontId="2" fillId="38" borderId="301" applyNumberFormat="0" applyFont="0" applyAlignment="0" applyProtection="0"/>
    <xf numFmtId="0" fontId="42" fillId="0" borderId="307" applyNumberFormat="0" applyFill="0" applyAlignment="0" applyProtection="0"/>
    <xf numFmtId="0" fontId="106" fillId="35" borderId="300" applyNumberFormat="0" applyAlignment="0" applyProtection="0"/>
    <xf numFmtId="0" fontId="131" fillId="0" borderId="299" applyFill="0" applyProtection="0">
      <alignment horizontal="right"/>
    </xf>
    <xf numFmtId="0" fontId="118" fillId="0" borderId="292" applyNumberFormat="0" applyFill="0" applyAlignment="0" applyProtection="0"/>
    <xf numFmtId="198" fontId="15" fillId="0" borderId="294" applyFont="0" applyFill="0" applyBorder="0" applyAlignment="0" applyProtection="0"/>
    <xf numFmtId="0" fontId="4" fillId="0" borderId="293">
      <alignment horizontal="left" vertical="center"/>
    </xf>
    <xf numFmtId="0" fontId="37" fillId="22" borderId="289" applyNumberFormat="0" applyAlignment="0" applyProtection="0"/>
    <xf numFmtId="1" fontId="45" fillId="0" borderId="306" applyNumberFormat="0" applyFont="0" applyFill="0" applyAlignment="0" applyProtection="0">
      <alignment horizontal="center"/>
    </xf>
    <xf numFmtId="1" fontId="45" fillId="0" borderId="296" applyNumberFormat="0" applyFont="0" applyFill="0" applyAlignment="0" applyProtection="0">
      <alignment horizontal="center"/>
    </xf>
    <xf numFmtId="1" fontId="45" fillId="0" borderId="296" applyNumberFormat="0" applyFont="0" applyFill="0" applyAlignment="0" applyProtection="0">
      <alignment horizontal="center"/>
    </xf>
    <xf numFmtId="0" fontId="235" fillId="0" borderId="0"/>
    <xf numFmtId="9" fontId="235" fillId="0" borderId="0" applyFont="0" applyFill="0" applyBorder="0" applyAlignment="0" applyProtection="0"/>
    <xf numFmtId="273" fontId="13" fillId="0" borderId="0"/>
    <xf numFmtId="172" fontId="275" fillId="0" borderId="0"/>
    <xf numFmtId="43" fontId="2" fillId="0" borderId="0" applyFont="0" applyFill="0" applyBorder="0" applyAlignment="0" applyProtection="0"/>
    <xf numFmtId="8" fontId="15" fillId="0" borderId="0" applyFont="0" applyFill="0" applyBorder="0" applyAlignment="0" applyProtection="0"/>
  </cellStyleXfs>
  <cellXfs count="1270">
    <xf numFmtId="0" fontId="0" fillId="0" borderId="0" xfId="0"/>
    <xf numFmtId="168" fontId="0" fillId="0" borderId="0" xfId="1" applyNumberFormat="1" applyFont="1" applyBorder="1"/>
    <xf numFmtId="9" fontId="27" fillId="0" borderId="0" xfId="3" applyFont="1" applyFill="1" applyBorder="1"/>
    <xf numFmtId="0" fontId="0" fillId="0" borderId="43" xfId="0" applyBorder="1"/>
    <xf numFmtId="0" fontId="0" fillId="0" borderId="44" xfId="0" applyBorder="1"/>
    <xf numFmtId="0" fontId="0" fillId="0" borderId="3" xfId="0" applyBorder="1"/>
    <xf numFmtId="168" fontId="0" fillId="0" borderId="4" xfId="0" applyNumberFormat="1" applyBorder="1"/>
    <xf numFmtId="14" fontId="0" fillId="0" borderId="44" xfId="0" applyNumberFormat="1" applyBorder="1" applyAlignment="1">
      <alignment horizontal="center"/>
    </xf>
    <xf numFmtId="0" fontId="0" fillId="0" borderId="44" xfId="0" applyBorder="1" applyAlignment="1">
      <alignment horizontal="center"/>
    </xf>
    <xf numFmtId="0" fontId="0" fillId="0" borderId="42" xfId="0" applyBorder="1" applyAlignment="1">
      <alignment horizontal="center"/>
    </xf>
    <xf numFmtId="0" fontId="26" fillId="0" borderId="43" xfId="0" applyFont="1" applyBorder="1" applyAlignment="1">
      <alignment horizontal="left"/>
    </xf>
    <xf numFmtId="0" fontId="0" fillId="0" borderId="42" xfId="0" applyBorder="1" applyAlignment="1">
      <alignment horizontal="right"/>
    </xf>
    <xf numFmtId="168" fontId="0" fillId="0" borderId="0" xfId="1" applyNumberFormat="1" applyFont="1" applyBorder="1" applyAlignment="1">
      <alignment horizontal="center"/>
    </xf>
    <xf numFmtId="168" fontId="0" fillId="0" borderId="4" xfId="1" applyNumberFormat="1" applyFont="1" applyBorder="1" applyAlignment="1">
      <alignment horizontal="center"/>
    </xf>
    <xf numFmtId="169" fontId="17" fillId="0" borderId="0" xfId="3" applyNumberFormat="1" applyFont="1" applyBorder="1"/>
    <xf numFmtId="169" fontId="17" fillId="0" borderId="4" xfId="3" applyNumberFormat="1" applyFont="1" applyBorder="1"/>
    <xf numFmtId="0" fontId="17" fillId="0" borderId="3" xfId="0" applyFont="1" applyBorder="1"/>
    <xf numFmtId="9" fontId="59" fillId="0" borderId="0" xfId="3" applyFont="1" applyFill="1" applyBorder="1"/>
    <xf numFmtId="9" fontId="59" fillId="0" borderId="4" xfId="3" applyFont="1" applyFill="1" applyBorder="1"/>
    <xf numFmtId="0" fontId="0" fillId="0" borderId="9" xfId="0" applyBorder="1"/>
    <xf numFmtId="43" fontId="17" fillId="0" borderId="11" xfId="0" applyNumberFormat="1" applyFont="1" applyBorder="1"/>
    <xf numFmtId="168" fontId="0" fillId="0" borderId="4" xfId="1" applyNumberFormat="1" applyFont="1" applyBorder="1"/>
    <xf numFmtId="0" fontId="0" fillId="0" borderId="4" xfId="0" applyBorder="1"/>
    <xf numFmtId="0" fontId="26" fillId="0" borderId="5" xfId="0" applyFont="1" applyBorder="1"/>
    <xf numFmtId="0" fontId="0" fillId="0" borderId="45" xfId="0" applyBorder="1"/>
    <xf numFmtId="0" fontId="0" fillId="0" borderId="6" xfId="0" applyBorder="1" applyAlignment="1">
      <alignment horizontal="right"/>
    </xf>
    <xf numFmtId="168" fontId="17" fillId="0" borderId="0" xfId="1" applyNumberFormat="1" applyFont="1" applyBorder="1"/>
    <xf numFmtId="168" fontId="17" fillId="0" borderId="4" xfId="0" applyNumberFormat="1" applyFont="1" applyBorder="1"/>
    <xf numFmtId="37" fontId="17" fillId="0" borderId="0" xfId="0" applyNumberFormat="1" applyFont="1"/>
    <xf numFmtId="168" fontId="17" fillId="0" borderId="11" xfId="1" applyNumberFormat="1" applyFont="1" applyBorder="1"/>
    <xf numFmtId="168" fontId="17" fillId="0" borderId="10" xfId="1" applyNumberFormat="1" applyFont="1" applyBorder="1"/>
    <xf numFmtId="43" fontId="0" fillId="0" borderId="0" xfId="1" applyFont="1" applyBorder="1"/>
    <xf numFmtId="43" fontId="0" fillId="0" borderId="4" xfId="1" applyFont="1" applyBorder="1"/>
    <xf numFmtId="168" fontId="0" fillId="0" borderId="11" xfId="1" applyNumberFormat="1" applyFont="1" applyBorder="1"/>
    <xf numFmtId="168" fontId="0" fillId="0" borderId="10" xfId="1" applyNumberFormat="1" applyFont="1" applyBorder="1"/>
    <xf numFmtId="168" fontId="0" fillId="0" borderId="0" xfId="1" applyNumberFormat="1" applyFont="1"/>
    <xf numFmtId="0" fontId="26" fillId="0" borderId="5" xfId="0" applyFont="1" applyBorder="1" applyAlignment="1">
      <alignment wrapText="1"/>
    </xf>
    <xf numFmtId="0" fontId="26" fillId="0" borderId="7" xfId="0" applyFont="1" applyBorder="1" applyAlignment="1">
      <alignment horizontal="center"/>
    </xf>
    <xf numFmtId="0" fontId="26" fillId="0" borderId="6" xfId="0" applyFont="1" applyBorder="1" applyAlignment="1">
      <alignment horizontal="center"/>
    </xf>
    <xf numFmtId="168" fontId="0" fillId="0" borderId="2" xfId="0" applyNumberFormat="1" applyBorder="1"/>
    <xf numFmtId="174" fontId="26" fillId="44" borderId="2" xfId="0" applyNumberFormat="1" applyFont="1" applyFill="1" applyBorder="1"/>
    <xf numFmtId="0" fontId="17" fillId="0" borderId="9" xfId="0" applyFont="1" applyBorder="1"/>
    <xf numFmtId="2" fontId="59" fillId="45" borderId="8" xfId="0" applyNumberFormat="1" applyFont="1" applyFill="1" applyBorder="1"/>
    <xf numFmtId="2" fontId="59" fillId="45" borderId="10" xfId="0" applyNumberFormat="1" applyFont="1" applyFill="1" applyBorder="1"/>
    <xf numFmtId="168" fontId="0" fillId="0" borderId="2" xfId="0" applyNumberFormat="1" applyBorder="1" applyAlignment="1">
      <alignment horizontal="center"/>
    </xf>
    <xf numFmtId="168" fontId="0" fillId="0" borderId="4" xfId="0" applyNumberFormat="1" applyBorder="1" applyAlignment="1">
      <alignment horizontal="center"/>
    </xf>
    <xf numFmtId="0" fontId="17" fillId="0" borderId="7" xfId="0" applyFont="1" applyBorder="1"/>
    <xf numFmtId="9" fontId="59" fillId="45" borderId="7" xfId="0" applyNumberFormat="1" applyFont="1" applyFill="1" applyBorder="1"/>
    <xf numFmtId="43" fontId="0" fillId="0" borderId="0" xfId="1" applyFont="1"/>
    <xf numFmtId="43" fontId="0" fillId="0" borderId="0" xfId="0" applyNumberFormat="1"/>
    <xf numFmtId="174" fontId="0" fillId="0" borderId="0" xfId="1" applyNumberFormat="1" applyFont="1"/>
    <xf numFmtId="2" fontId="0" fillId="0" borderId="0" xfId="0" applyNumberFormat="1"/>
    <xf numFmtId="174" fontId="0" fillId="0" borderId="0" xfId="0" applyNumberFormat="1"/>
    <xf numFmtId="0" fontId="60" fillId="0" borderId="0" xfId="0" applyFont="1"/>
    <xf numFmtId="168" fontId="61" fillId="0" borderId="20" xfId="81" applyNumberFormat="1" applyFont="1" applyBorder="1"/>
    <xf numFmtId="0" fontId="62" fillId="0" borderId="19" xfId="0" applyFont="1" applyBorder="1"/>
    <xf numFmtId="191" fontId="62" fillId="0" borderId="41" xfId="0" applyNumberFormat="1" applyFont="1" applyBorder="1"/>
    <xf numFmtId="0" fontId="62" fillId="0" borderId="0" xfId="0" applyFont="1"/>
    <xf numFmtId="169" fontId="6" fillId="0" borderId="0" xfId="81" applyNumberFormat="1" applyFont="1" applyBorder="1"/>
    <xf numFmtId="191" fontId="62" fillId="0" borderId="0" xfId="0" applyNumberFormat="1" applyFont="1"/>
    <xf numFmtId="168" fontId="62" fillId="0" borderId="0" xfId="0" applyNumberFormat="1" applyFont="1"/>
    <xf numFmtId="43" fontId="62" fillId="0" borderId="0" xfId="1" applyFont="1" applyBorder="1"/>
    <xf numFmtId="165" fontId="5" fillId="0" borderId="0" xfId="26" applyNumberFormat="1" applyFont="1" applyFill="1" applyBorder="1"/>
    <xf numFmtId="43" fontId="22" fillId="0" borderId="0" xfId="1" applyFont="1"/>
    <xf numFmtId="0" fontId="62" fillId="2" borderId="0" xfId="0" applyFont="1" applyFill="1"/>
    <xf numFmtId="165" fontId="61" fillId="0" borderId="0" xfId="26" applyNumberFormat="1" applyFont="1" applyFill="1" applyBorder="1" applyAlignment="1">
      <alignment horizontal="right"/>
    </xf>
    <xf numFmtId="37" fontId="5" fillId="2" borderId="0" xfId="0" applyNumberFormat="1" applyFont="1" applyFill="1" applyAlignment="1">
      <alignment horizontal="right"/>
    </xf>
    <xf numFmtId="43" fontId="22" fillId="0" borderId="0" xfId="1" applyFont="1" applyBorder="1"/>
    <xf numFmtId="165" fontId="6" fillId="0" borderId="0" xfId="26" applyNumberFormat="1" applyFont="1" applyFill="1" applyBorder="1" applyAlignment="1">
      <alignment horizontal="right"/>
    </xf>
    <xf numFmtId="43" fontId="22" fillId="0" borderId="20" xfId="1" applyFont="1" applyBorder="1"/>
    <xf numFmtId="43" fontId="22" fillId="0" borderId="17" xfId="1" applyFont="1" applyBorder="1"/>
    <xf numFmtId="168" fontId="22" fillId="0" borderId="12" xfId="1" applyNumberFormat="1" applyFont="1" applyBorder="1"/>
    <xf numFmtId="168" fontId="22" fillId="0" borderId="0" xfId="1" applyNumberFormat="1" applyFont="1" applyBorder="1"/>
    <xf numFmtId="190" fontId="22" fillId="0" borderId="12" xfId="1" applyNumberFormat="1" applyFont="1" applyBorder="1"/>
    <xf numFmtId="168" fontId="22" fillId="0" borderId="46" xfId="1" applyNumberFormat="1" applyFont="1" applyBorder="1"/>
    <xf numFmtId="168" fontId="22" fillId="0" borderId="0" xfId="1" applyNumberFormat="1" applyFont="1"/>
    <xf numFmtId="168" fontId="22" fillId="0" borderId="20" xfId="1" applyNumberFormat="1" applyFont="1" applyBorder="1"/>
    <xf numFmtId="168" fontId="22" fillId="0" borderId="16" xfId="1" applyNumberFormat="1" applyFont="1" applyBorder="1"/>
    <xf numFmtId="0" fontId="22" fillId="0" borderId="47" xfId="0" applyFont="1" applyBorder="1"/>
    <xf numFmtId="190" fontId="22" fillId="0" borderId="47" xfId="0" applyNumberFormat="1" applyFont="1" applyBorder="1"/>
    <xf numFmtId="0" fontId="22" fillId="0" borderId="49" xfId="0" applyFont="1" applyBorder="1"/>
    <xf numFmtId="0" fontId="22" fillId="0" borderId="0" xfId="0" applyFont="1"/>
    <xf numFmtId="0" fontId="64" fillId="0" borderId="0" xfId="0" applyFont="1"/>
    <xf numFmtId="168" fontId="22" fillId="0" borderId="0" xfId="1" applyNumberFormat="1" applyFont="1" applyFill="1" applyBorder="1"/>
    <xf numFmtId="0" fontId="22" fillId="0" borderId="17" xfId="0" applyFont="1" applyBorder="1"/>
    <xf numFmtId="43" fontId="22" fillId="0" borderId="47" xfId="0" applyNumberFormat="1" applyFont="1" applyBorder="1"/>
    <xf numFmtId="169" fontId="66" fillId="0" borderId="20" xfId="3" applyNumberFormat="1" applyFont="1" applyBorder="1"/>
    <xf numFmtId="169" fontId="66" fillId="0" borderId="41" xfId="3" applyNumberFormat="1" applyFont="1" applyBorder="1"/>
    <xf numFmtId="43" fontId="66" fillId="0" borderId="41" xfId="3" applyNumberFormat="1" applyFont="1" applyBorder="1"/>
    <xf numFmtId="169" fontId="66" fillId="0" borderId="17" xfId="3" applyNumberFormat="1" applyFont="1" applyBorder="1"/>
    <xf numFmtId="169" fontId="66" fillId="0" borderId="0" xfId="3" applyNumberFormat="1" applyFont="1"/>
    <xf numFmtId="43" fontId="22" fillId="0" borderId="12" xfId="1" applyFont="1" applyBorder="1"/>
    <xf numFmtId="0" fontId="22" fillId="0" borderId="46" xfId="0" applyFont="1" applyBorder="1"/>
    <xf numFmtId="169" fontId="66" fillId="0" borderId="12" xfId="3" applyNumberFormat="1" applyFont="1" applyBorder="1"/>
    <xf numFmtId="169" fontId="66" fillId="0" borderId="0" xfId="3" applyNumberFormat="1" applyFont="1" applyBorder="1"/>
    <xf numFmtId="43" fontId="66" fillId="0" borderId="0" xfId="3" applyNumberFormat="1" applyFont="1" applyBorder="1"/>
    <xf numFmtId="0" fontId="67" fillId="0" borderId="0" xfId="0" applyFont="1"/>
    <xf numFmtId="43" fontId="68" fillId="0" borderId="47" xfId="1" applyFont="1" applyBorder="1"/>
    <xf numFmtId="43" fontId="68" fillId="0" borderId="0" xfId="1" applyFont="1"/>
    <xf numFmtId="190" fontId="22" fillId="0" borderId="12" xfId="0" applyNumberFormat="1" applyFont="1" applyBorder="1"/>
    <xf numFmtId="190" fontId="22" fillId="0" borderId="0" xfId="0" applyNumberFormat="1" applyFont="1"/>
    <xf numFmtId="43" fontId="22" fillId="0" borderId="0" xfId="0" applyNumberFormat="1" applyFont="1"/>
    <xf numFmtId="168" fontId="22" fillId="0" borderId="12" xfId="0" applyNumberFormat="1" applyFont="1" applyBorder="1"/>
    <xf numFmtId="168" fontId="22" fillId="0" borderId="0" xfId="0" applyNumberFormat="1" applyFont="1"/>
    <xf numFmtId="190" fontId="66" fillId="0" borderId="12" xfId="3" applyNumberFormat="1" applyFont="1" applyBorder="1"/>
    <xf numFmtId="190" fontId="66" fillId="0" borderId="0" xfId="3" applyNumberFormat="1" applyFont="1" applyBorder="1"/>
    <xf numFmtId="168" fontId="66" fillId="0" borderId="0" xfId="3" applyNumberFormat="1" applyFont="1" applyBorder="1"/>
    <xf numFmtId="168" fontId="22" fillId="0" borderId="1" xfId="0" applyNumberFormat="1" applyFont="1" applyBorder="1"/>
    <xf numFmtId="170" fontId="22" fillId="0" borderId="1" xfId="0" applyNumberFormat="1" applyFont="1" applyBorder="1"/>
    <xf numFmtId="168" fontId="60" fillId="0" borderId="0" xfId="1" applyNumberFormat="1" applyFont="1"/>
    <xf numFmtId="168" fontId="22" fillId="0" borderId="14" xfId="0" applyNumberFormat="1" applyFont="1" applyBorder="1"/>
    <xf numFmtId="170" fontId="22" fillId="0" borderId="14" xfId="0" applyNumberFormat="1" applyFont="1" applyBorder="1"/>
    <xf numFmtId="191" fontId="6" fillId="0" borderId="0" xfId="3" applyNumberFormat="1" applyFont="1" applyBorder="1"/>
    <xf numFmtId="168" fontId="2" fillId="0" borderId="0" xfId="1" applyNumberFormat="1" applyFont="1" applyBorder="1"/>
    <xf numFmtId="168" fontId="2" fillId="0" borderId="0" xfId="1" applyNumberFormat="1" applyFont="1" applyFill="1" applyBorder="1"/>
    <xf numFmtId="170" fontId="22" fillId="0" borderId="0" xfId="0" applyNumberFormat="1" applyFont="1"/>
    <xf numFmtId="190" fontId="22" fillId="0" borderId="0" xfId="1" applyNumberFormat="1" applyFont="1" applyBorder="1"/>
    <xf numFmtId="190" fontId="68" fillId="0" borderId="12" xfId="1" applyNumberFormat="1" applyFont="1" applyBorder="1"/>
    <xf numFmtId="168" fontId="67" fillId="0" borderId="0" xfId="1" applyNumberFormat="1" applyFont="1"/>
    <xf numFmtId="168" fontId="68" fillId="0" borderId="0" xfId="1" applyNumberFormat="1" applyFont="1" applyBorder="1"/>
    <xf numFmtId="0" fontId="68" fillId="0" borderId="46" xfId="0" applyFont="1" applyBorder="1"/>
    <xf numFmtId="168" fontId="68" fillId="0" borderId="0" xfId="1" applyNumberFormat="1" applyFont="1"/>
    <xf numFmtId="43" fontId="2" fillId="0" borderId="0" xfId="1" applyFont="1" applyBorder="1"/>
    <xf numFmtId="190" fontId="66" fillId="0" borderId="0" xfId="1" applyNumberFormat="1" applyFont="1" applyBorder="1"/>
    <xf numFmtId="43" fontId="66" fillId="0" borderId="0" xfId="1" applyFont="1" applyBorder="1"/>
    <xf numFmtId="10" fontId="66" fillId="0" borderId="0" xfId="3" applyNumberFormat="1" applyFont="1" applyBorder="1"/>
    <xf numFmtId="169" fontId="64" fillId="0" borderId="0" xfId="3" applyNumberFormat="1" applyFont="1"/>
    <xf numFmtId="9" fontId="22" fillId="0" borderId="12" xfId="3" applyFont="1" applyBorder="1"/>
    <xf numFmtId="0" fontId="68" fillId="0" borderId="0" xfId="0" applyFont="1"/>
    <xf numFmtId="168" fontId="22" fillId="0" borderId="20" xfId="0" applyNumberFormat="1" applyFont="1" applyBorder="1"/>
    <xf numFmtId="168" fontId="60" fillId="0" borderId="0" xfId="0" applyNumberFormat="1" applyFont="1"/>
    <xf numFmtId="168" fontId="22" fillId="0" borderId="16" xfId="0" applyNumberFormat="1" applyFont="1" applyBorder="1"/>
    <xf numFmtId="169" fontId="66" fillId="0" borderId="16" xfId="3" applyNumberFormat="1" applyFont="1" applyBorder="1"/>
    <xf numFmtId="169" fontId="70" fillId="0" borderId="46" xfId="3" applyNumberFormat="1" applyFont="1" applyBorder="1"/>
    <xf numFmtId="0" fontId="72" fillId="0" borderId="0" xfId="0" applyFont="1"/>
    <xf numFmtId="0" fontId="2" fillId="0" borderId="0" xfId="0" applyFont="1"/>
    <xf numFmtId="0" fontId="22" fillId="0" borderId="19" xfId="0" applyFont="1" applyBorder="1"/>
    <xf numFmtId="0" fontId="22" fillId="0" borderId="16" xfId="0" applyFont="1" applyBorder="1"/>
    <xf numFmtId="0" fontId="68" fillId="0" borderId="16" xfId="0" applyFont="1" applyBorder="1"/>
    <xf numFmtId="0" fontId="68" fillId="0" borderId="17" xfId="0" applyFont="1" applyBorder="1"/>
    <xf numFmtId="168" fontId="68" fillId="0" borderId="20" xfId="1" applyNumberFormat="1" applyFont="1" applyBorder="1"/>
    <xf numFmtId="168" fontId="68" fillId="0" borderId="41" xfId="1" applyNumberFormat="1" applyFont="1" applyBorder="1"/>
    <xf numFmtId="202" fontId="88" fillId="0" borderId="0" xfId="0" applyNumberFormat="1" applyFont="1"/>
    <xf numFmtId="2" fontId="22" fillId="0" borderId="0" xfId="0" applyNumberFormat="1" applyFont="1"/>
    <xf numFmtId="0" fontId="6" fillId="0" borderId="0" xfId="17" applyFont="1"/>
    <xf numFmtId="169" fontId="22" fillId="0" borderId="0" xfId="3" applyNumberFormat="1" applyFont="1"/>
    <xf numFmtId="169" fontId="23" fillId="0" borderId="0" xfId="3" applyNumberFormat="1" applyFont="1"/>
    <xf numFmtId="0" fontId="2" fillId="0" borderId="0" xfId="205"/>
    <xf numFmtId="168" fontId="0" fillId="0" borderId="0" xfId="0" applyNumberFormat="1"/>
    <xf numFmtId="168" fontId="62" fillId="0" borderId="12" xfId="81" applyNumberFormat="1" applyFont="1" applyBorder="1"/>
    <xf numFmtId="192" fontId="2" fillId="0" borderId="0" xfId="0" applyNumberFormat="1" applyFont="1"/>
    <xf numFmtId="190" fontId="22" fillId="0" borderId="0" xfId="1" applyNumberFormat="1" applyFont="1"/>
    <xf numFmtId="9" fontId="66" fillId="0" borderId="0" xfId="3" applyFont="1" applyBorder="1"/>
    <xf numFmtId="169" fontId="6" fillId="0" borderId="0" xfId="3" applyNumberFormat="1" applyFont="1" applyBorder="1"/>
    <xf numFmtId="168" fontId="2" fillId="0" borderId="0" xfId="0" applyNumberFormat="1" applyFont="1"/>
    <xf numFmtId="168" fontId="2" fillId="0" borderId="12" xfId="1" applyNumberFormat="1" applyFont="1" applyBorder="1"/>
    <xf numFmtId="190" fontId="2" fillId="0" borderId="0" xfId="0" applyNumberFormat="1" applyFont="1"/>
    <xf numFmtId="190" fontId="2" fillId="0" borderId="0" xfId="1" applyNumberFormat="1" applyFont="1" applyBorder="1"/>
    <xf numFmtId="168" fontId="2" fillId="0" borderId="14" xfId="0" applyNumberFormat="1" applyFont="1" applyBorder="1"/>
    <xf numFmtId="168" fontId="2" fillId="0" borderId="1" xfId="0" applyNumberFormat="1" applyFont="1" applyBorder="1"/>
    <xf numFmtId="43" fontId="3" fillId="0" borderId="47" xfId="1" applyFont="1" applyBorder="1"/>
    <xf numFmtId="169" fontId="6" fillId="0" borderId="41" xfId="3" applyNumberFormat="1" applyFont="1" applyBorder="1"/>
    <xf numFmtId="190" fontId="2" fillId="0" borderId="47" xfId="0" applyNumberFormat="1" applyFont="1" applyBorder="1"/>
    <xf numFmtId="190" fontId="2" fillId="0" borderId="12" xfId="0" applyNumberFormat="1" applyFont="1" applyBorder="1"/>
    <xf numFmtId="203" fontId="2" fillId="0" borderId="12" xfId="1" applyNumberFormat="1" applyFont="1" applyBorder="1"/>
    <xf numFmtId="168" fontId="61" fillId="0" borderId="0" xfId="81" applyNumberFormat="1" applyFont="1" applyBorder="1"/>
    <xf numFmtId="168" fontId="6" fillId="0" borderId="0" xfId="81" applyNumberFormat="1" applyFont="1" applyBorder="1"/>
    <xf numFmtId="169" fontId="6" fillId="0" borderId="0" xfId="27" applyNumberFormat="1" applyFont="1" applyBorder="1"/>
    <xf numFmtId="0" fontId="61" fillId="2" borderId="0" xfId="0" applyFont="1" applyFill="1" applyAlignment="1">
      <alignment horizontal="right"/>
    </xf>
    <xf numFmtId="171" fontId="22" fillId="0" borderId="18" xfId="1" applyNumberFormat="1" applyFont="1" applyBorder="1"/>
    <xf numFmtId="10" fontId="66" fillId="0" borderId="12" xfId="3" applyNumberFormat="1" applyFont="1" applyBorder="1"/>
    <xf numFmtId="169" fontId="66" fillId="0" borderId="18" xfId="3" applyNumberFormat="1" applyFont="1" applyBorder="1"/>
    <xf numFmtId="168" fontId="2" fillId="0" borderId="0" xfId="1782" applyNumberFormat="1" applyFont="1" applyFill="1" applyBorder="1"/>
    <xf numFmtId="168" fontId="68" fillId="0" borderId="18" xfId="1" applyNumberFormat="1" applyFont="1" applyBorder="1"/>
    <xf numFmtId="168" fontId="22" fillId="0" borderId="19" xfId="0" applyNumberFormat="1" applyFont="1" applyBorder="1"/>
    <xf numFmtId="168" fontId="22" fillId="0" borderId="17" xfId="0" applyNumberFormat="1" applyFont="1" applyBorder="1"/>
    <xf numFmtId="168" fontId="22" fillId="0" borderId="46" xfId="0" applyNumberFormat="1" applyFont="1" applyBorder="1"/>
    <xf numFmtId="168" fontId="22" fillId="0" borderId="128" xfId="1" applyNumberFormat="1" applyFont="1" applyBorder="1"/>
    <xf numFmtId="168" fontId="22" fillId="0" borderId="127" xfId="1" applyNumberFormat="1" applyFont="1" applyBorder="1"/>
    <xf numFmtId="171" fontId="22" fillId="0" borderId="20" xfId="1" applyNumberFormat="1" applyFont="1" applyBorder="1"/>
    <xf numFmtId="168" fontId="22" fillId="0" borderId="125" xfId="1" applyNumberFormat="1" applyFont="1" applyBorder="1"/>
    <xf numFmtId="168" fontId="22" fillId="0" borderId="126" xfId="1" applyNumberFormat="1" applyFont="1" applyBorder="1"/>
    <xf numFmtId="190" fontId="22" fillId="0" borderId="125" xfId="0" applyNumberFormat="1" applyFont="1" applyBorder="1"/>
    <xf numFmtId="190" fontId="22" fillId="0" borderId="127" xfId="0" applyNumberFormat="1" applyFont="1" applyBorder="1"/>
    <xf numFmtId="0" fontId="22" fillId="0" borderId="127" xfId="0" applyFont="1" applyBorder="1"/>
    <xf numFmtId="0" fontId="22" fillId="0" borderId="125" xfId="0" applyFont="1" applyBorder="1"/>
    <xf numFmtId="0" fontId="22" fillId="0" borderId="128" xfId="0" applyFont="1" applyBorder="1"/>
    <xf numFmtId="0" fontId="22" fillId="0" borderId="126" xfId="0" applyFont="1" applyBorder="1"/>
    <xf numFmtId="168" fontId="22" fillId="0" borderId="117" xfId="0" applyNumberFormat="1" applyFont="1" applyBorder="1"/>
    <xf numFmtId="168" fontId="22" fillId="0" borderId="124" xfId="0" applyNumberFormat="1" applyFont="1" applyBorder="1"/>
    <xf numFmtId="168" fontId="22" fillId="0" borderId="123" xfId="0" applyNumberFormat="1" applyFont="1" applyBorder="1"/>
    <xf numFmtId="168" fontId="66" fillId="0" borderId="0" xfId="1" applyNumberFormat="1" applyFont="1" applyBorder="1"/>
    <xf numFmtId="168" fontId="66" fillId="0" borderId="12" xfId="1" applyNumberFormat="1" applyFont="1" applyBorder="1"/>
    <xf numFmtId="168" fontId="213" fillId="0" borderId="0" xfId="1" applyNumberFormat="1" applyFont="1" applyBorder="1"/>
    <xf numFmtId="0" fontId="62" fillId="53" borderId="0" xfId="0" applyFont="1" applyFill="1"/>
    <xf numFmtId="168" fontId="3" fillId="0" borderId="0" xfId="1" applyNumberFormat="1" applyFont="1" applyBorder="1"/>
    <xf numFmtId="10" fontId="2" fillId="0" borderId="0" xfId="3" applyNumberFormat="1" applyFont="1" applyBorder="1"/>
    <xf numFmtId="168" fontId="22" fillId="0" borderId="126" xfId="0" applyNumberFormat="1" applyFont="1" applyBorder="1"/>
    <xf numFmtId="168" fontId="22" fillId="0" borderId="127" xfId="0" applyNumberFormat="1" applyFont="1" applyBorder="1"/>
    <xf numFmtId="168" fontId="22" fillId="0" borderId="128" xfId="0" applyNumberFormat="1" applyFont="1" applyBorder="1"/>
    <xf numFmtId="168" fontId="22" fillId="0" borderId="48" xfId="0" applyNumberFormat="1" applyFont="1" applyBorder="1"/>
    <xf numFmtId="191" fontId="22" fillId="0" borderId="0" xfId="0" applyNumberFormat="1" applyFont="1"/>
    <xf numFmtId="0" fontId="22" fillId="0" borderId="18" xfId="0" applyFont="1" applyBorder="1"/>
    <xf numFmtId="168" fontId="22" fillId="0" borderId="18" xfId="0" applyNumberFormat="1" applyFont="1" applyBorder="1"/>
    <xf numFmtId="0" fontId="22" fillId="0" borderId="124" xfId="0" applyFont="1" applyBorder="1"/>
    <xf numFmtId="0" fontId="22" fillId="0" borderId="123" xfId="0" applyFont="1" applyBorder="1"/>
    <xf numFmtId="168" fontId="22" fillId="0" borderId="18" xfId="1" applyNumberFormat="1" applyFont="1" applyBorder="1"/>
    <xf numFmtId="168" fontId="22" fillId="0" borderId="15" xfId="0" applyNumberFormat="1" applyFont="1" applyBorder="1"/>
    <xf numFmtId="168" fontId="22" fillId="0" borderId="13" xfId="0" applyNumberFormat="1" applyFont="1" applyBorder="1"/>
    <xf numFmtId="2" fontId="22" fillId="0" borderId="123" xfId="0" applyNumberFormat="1" applyFont="1" applyBorder="1"/>
    <xf numFmtId="2" fontId="22" fillId="0" borderId="124" xfId="0" applyNumberFormat="1" applyFont="1" applyBorder="1"/>
    <xf numFmtId="2" fontId="22" fillId="0" borderId="117" xfId="0" applyNumberFormat="1" applyFont="1" applyBorder="1"/>
    <xf numFmtId="168" fontId="22" fillId="0" borderId="19" xfId="1" applyNumberFormat="1" applyFont="1" applyBorder="1"/>
    <xf numFmtId="171" fontId="2" fillId="0" borderId="0" xfId="1" applyNumberFormat="1" applyFont="1" applyBorder="1"/>
    <xf numFmtId="168" fontId="6" fillId="0" borderId="0" xfId="1" applyNumberFormat="1" applyFont="1" applyBorder="1"/>
    <xf numFmtId="0" fontId="71" fillId="54" borderId="117" xfId="2" applyNumberFormat="1" applyFont="1" applyFill="1" applyBorder="1" applyAlignment="1">
      <alignment horizontal="center"/>
    </xf>
    <xf numFmtId="168" fontId="66" fillId="0" borderId="0" xfId="1" applyNumberFormat="1" applyFont="1"/>
    <xf numFmtId="168" fontId="66" fillId="0" borderId="46" xfId="1" applyNumberFormat="1" applyFont="1" applyBorder="1"/>
    <xf numFmtId="168" fontId="65" fillId="0" borderId="0" xfId="1" applyNumberFormat="1" applyFont="1"/>
    <xf numFmtId="168" fontId="22" fillId="0" borderId="129" xfId="0" applyNumberFormat="1" applyFont="1" applyBorder="1"/>
    <xf numFmtId="168" fontId="68" fillId="0" borderId="117" xfId="0" applyNumberFormat="1" applyFont="1" applyBorder="1"/>
    <xf numFmtId="168" fontId="68" fillId="0" borderId="129" xfId="0" applyNumberFormat="1" applyFont="1" applyBorder="1"/>
    <xf numFmtId="169" fontId="2" fillId="0" borderId="0" xfId="3" applyNumberFormat="1" applyFont="1"/>
    <xf numFmtId="43" fontId="68" fillId="0" borderId="127" xfId="1" applyFont="1" applyBorder="1"/>
    <xf numFmtId="43" fontId="68" fillId="0" borderId="125" xfId="1" applyFont="1" applyBorder="1"/>
    <xf numFmtId="169" fontId="215" fillId="0" borderId="0" xfId="3" applyNumberFormat="1" applyFont="1" applyBorder="1"/>
    <xf numFmtId="0" fontId="68" fillId="0" borderId="126" xfId="0" applyFont="1" applyBorder="1"/>
    <xf numFmtId="0" fontId="68" fillId="0" borderId="19" xfId="0" applyFont="1" applyBorder="1"/>
    <xf numFmtId="0" fontId="3" fillId="0" borderId="124" xfId="2" applyNumberFormat="1" applyFont="1" applyFill="1" applyBorder="1" applyAlignment="1">
      <alignment horizontal="left"/>
    </xf>
    <xf numFmtId="0" fontId="2" fillId="0" borderId="125" xfId="1665" applyBorder="1" applyAlignment="1">
      <alignment horizontal="right"/>
    </xf>
    <xf numFmtId="0" fontId="2" fillId="0" borderId="12" xfId="1665" applyBorder="1" applyAlignment="1">
      <alignment horizontal="right"/>
    </xf>
    <xf numFmtId="0" fontId="2" fillId="0" borderId="20" xfId="1665" applyBorder="1" applyAlignment="1">
      <alignment horizontal="right"/>
    </xf>
    <xf numFmtId="0" fontId="2" fillId="0" borderId="12" xfId="1693" applyBorder="1" applyAlignment="1">
      <alignment horizontal="right"/>
    </xf>
    <xf numFmtId="0" fontId="2" fillId="0" borderId="129" xfId="1665" applyBorder="1" applyAlignment="1">
      <alignment horizontal="right"/>
    </xf>
    <xf numFmtId="0" fontId="2" fillId="0" borderId="12" xfId="1715" applyBorder="1" applyAlignment="1">
      <alignment horizontal="right"/>
    </xf>
    <xf numFmtId="168" fontId="63" fillId="53" borderId="0" xfId="1" applyNumberFormat="1" applyFont="1" applyFill="1" applyBorder="1"/>
    <xf numFmtId="191" fontId="62" fillId="0" borderId="18" xfId="0" applyNumberFormat="1" applyFont="1" applyBorder="1"/>
    <xf numFmtId="168" fontId="62" fillId="0" borderId="12" xfId="0" applyNumberFormat="1" applyFont="1" applyBorder="1"/>
    <xf numFmtId="0" fontId="62" fillId="0" borderId="12" xfId="0" applyFont="1" applyBorder="1"/>
    <xf numFmtId="0" fontId="62" fillId="0" borderId="20" xfId="0" applyFont="1" applyBorder="1"/>
    <xf numFmtId="191" fontId="62" fillId="0" borderId="12" xfId="0" applyNumberFormat="1" applyFont="1" applyBorder="1"/>
    <xf numFmtId="0" fontId="11" fillId="2" borderId="129" xfId="0" applyFont="1" applyFill="1" applyBorder="1" applyAlignment="1">
      <alignment horizontal="center"/>
    </xf>
    <xf numFmtId="0" fontId="11" fillId="2" borderId="117" xfId="0" applyFont="1" applyFill="1" applyBorder="1" applyAlignment="1">
      <alignment horizontal="center"/>
    </xf>
    <xf numFmtId="169" fontId="6" fillId="0" borderId="0" xfId="3" applyNumberFormat="1" applyFont="1"/>
    <xf numFmtId="169" fontId="22" fillId="0" borderId="0" xfId="0" applyNumberFormat="1" applyFont="1"/>
    <xf numFmtId="168" fontId="22" fillId="0" borderId="0" xfId="1" applyNumberFormat="1" applyFont="1" applyAlignment="1">
      <alignment horizontal="center"/>
    </xf>
    <xf numFmtId="0" fontId="60" fillId="0" borderId="0" xfId="0" applyFont="1" applyAlignment="1">
      <alignment horizontal="center"/>
    </xf>
    <xf numFmtId="169" fontId="66" fillId="0" borderId="46" xfId="3" applyNumberFormat="1" applyFont="1" applyBorder="1"/>
    <xf numFmtId="168" fontId="3" fillId="0" borderId="0" xfId="0" applyNumberFormat="1" applyFont="1"/>
    <xf numFmtId="168" fontId="22" fillId="0" borderId="137" xfId="0" applyNumberFormat="1" applyFont="1" applyBorder="1"/>
    <xf numFmtId="43" fontId="66" fillId="0" borderId="18" xfId="3" applyNumberFormat="1" applyFont="1" applyBorder="1"/>
    <xf numFmtId="43" fontId="22" fillId="0" borderId="127" xfId="0" applyNumberFormat="1" applyFont="1" applyBorder="1"/>
    <xf numFmtId="168" fontId="22" fillId="0" borderId="133" xfId="0" applyNumberFormat="1" applyFont="1" applyBorder="1"/>
    <xf numFmtId="170" fontId="22" fillId="0" borderId="137" xfId="0" applyNumberFormat="1" applyFont="1" applyBorder="1"/>
    <xf numFmtId="168" fontId="2" fillId="0" borderId="117" xfId="0" applyNumberFormat="1" applyFont="1" applyBorder="1"/>
    <xf numFmtId="168" fontId="2" fillId="0" borderId="137" xfId="0" applyNumberFormat="1" applyFont="1" applyBorder="1"/>
    <xf numFmtId="43" fontId="3" fillId="0" borderId="127" xfId="1" applyFont="1" applyBorder="1"/>
    <xf numFmtId="169" fontId="6" fillId="0" borderId="18" xfId="3" applyNumberFormat="1" applyFont="1" applyBorder="1"/>
    <xf numFmtId="190" fontId="2" fillId="0" borderId="127" xfId="0" applyNumberFormat="1" applyFont="1" applyBorder="1"/>
    <xf numFmtId="190" fontId="22" fillId="0" borderId="128" xfId="0" applyNumberFormat="1" applyFont="1" applyBorder="1"/>
    <xf numFmtId="168" fontId="66" fillId="0" borderId="16" xfId="1" applyNumberFormat="1" applyFont="1" applyBorder="1"/>
    <xf numFmtId="43" fontId="22" fillId="0" borderId="19" xfId="1" applyFont="1" applyBorder="1"/>
    <xf numFmtId="0" fontId="22" fillId="0" borderId="188" xfId="0" applyFont="1" applyBorder="1"/>
    <xf numFmtId="37" fontId="2" fillId="53" borderId="0" xfId="2" applyNumberFormat="1" applyFont="1" applyFill="1" applyBorder="1"/>
    <xf numFmtId="43" fontId="22" fillId="0" borderId="16" xfId="1" applyFont="1" applyBorder="1"/>
    <xf numFmtId="167" fontId="3" fillId="0" borderId="123" xfId="2" applyNumberFormat="1" applyFont="1" applyFill="1" applyBorder="1"/>
    <xf numFmtId="43" fontId="68" fillId="0" borderId="128" xfId="1" applyFont="1" applyBorder="1"/>
    <xf numFmtId="0" fontId="22" fillId="0" borderId="189" xfId="0" applyFont="1" applyBorder="1"/>
    <xf numFmtId="168" fontId="68" fillId="0" borderId="16" xfId="1" applyNumberFormat="1" applyFont="1" applyBorder="1"/>
    <xf numFmtId="171" fontId="22" fillId="0" borderId="17" xfId="1" applyNumberFormat="1" applyFont="1" applyBorder="1"/>
    <xf numFmtId="168" fontId="7" fillId="0" borderId="0" xfId="1" applyNumberFormat="1" applyFont="1" applyAlignment="1">
      <alignment horizontal="left"/>
    </xf>
    <xf numFmtId="168" fontId="7" fillId="0" borderId="0" xfId="1" applyNumberFormat="1" applyFont="1"/>
    <xf numFmtId="169" fontId="66" fillId="0" borderId="19" xfId="3" applyNumberFormat="1" applyFont="1" applyBorder="1"/>
    <xf numFmtId="171" fontId="22" fillId="0" borderId="19" xfId="1" applyNumberFormat="1" applyFont="1" applyBorder="1"/>
    <xf numFmtId="168" fontId="22" fillId="53" borderId="12" xfId="1" applyNumberFormat="1" applyFont="1" applyFill="1" applyBorder="1"/>
    <xf numFmtId="170" fontId="2" fillId="0" borderId="0" xfId="1" applyNumberFormat="1" applyFont="1" applyFill="1" applyBorder="1"/>
    <xf numFmtId="168" fontId="2" fillId="0" borderId="0" xfId="1" applyNumberFormat="1" applyFont="1" applyAlignment="1">
      <alignment horizontal="left"/>
    </xf>
    <xf numFmtId="0" fontId="22" fillId="53" borderId="0" xfId="0" applyFont="1" applyFill="1"/>
    <xf numFmtId="168" fontId="22" fillId="53" borderId="0" xfId="1" applyNumberFormat="1" applyFont="1" applyFill="1" applyBorder="1"/>
    <xf numFmtId="0" fontId="22" fillId="53" borderId="12" xfId="0" applyFont="1" applyFill="1" applyBorder="1"/>
    <xf numFmtId="168" fontId="68" fillId="53" borderId="0" xfId="1" applyNumberFormat="1" applyFont="1" applyFill="1" applyBorder="1"/>
    <xf numFmtId="168" fontId="68" fillId="53" borderId="12" xfId="1" applyNumberFormat="1" applyFont="1" applyFill="1" applyBorder="1"/>
    <xf numFmtId="168" fontId="22" fillId="53" borderId="20" xfId="0" applyNumberFormat="1" applyFont="1" applyFill="1" applyBorder="1"/>
    <xf numFmtId="0" fontId="22" fillId="53" borderId="20" xfId="0" applyFont="1" applyFill="1" applyBorder="1"/>
    <xf numFmtId="165" fontId="5" fillId="53" borderId="0" xfId="26" applyNumberFormat="1" applyFont="1" applyFill="1" applyBorder="1"/>
    <xf numFmtId="262" fontId="22" fillId="0" borderId="0" xfId="0" applyNumberFormat="1" applyFont="1"/>
    <xf numFmtId="168" fontId="22" fillId="0" borderId="267" xfId="0" applyNumberFormat="1" applyFont="1" applyBorder="1"/>
    <xf numFmtId="0" fontId="2" fillId="0" borderId="127" xfId="0" applyFont="1" applyBorder="1"/>
    <xf numFmtId="168" fontId="2" fillId="0" borderId="18" xfId="1" applyNumberFormat="1" applyFont="1" applyBorder="1"/>
    <xf numFmtId="168" fontId="2" fillId="0" borderId="12" xfId="0" applyNumberFormat="1" applyFont="1" applyBorder="1"/>
    <xf numFmtId="169" fontId="66" fillId="0" borderId="0" xfId="3" applyNumberFormat="1" applyFont="1" applyBorder="1" applyAlignment="1">
      <alignment horizontal="center"/>
    </xf>
    <xf numFmtId="168" fontId="22" fillId="0" borderId="12" xfId="1" applyNumberFormat="1" applyFont="1" applyFill="1" applyBorder="1"/>
    <xf numFmtId="191" fontId="22" fillId="0" borderId="46" xfId="0" applyNumberFormat="1" applyFont="1" applyBorder="1"/>
    <xf numFmtId="191" fontId="22" fillId="0" borderId="16" xfId="0" applyNumberFormat="1" applyFont="1" applyBorder="1"/>
    <xf numFmtId="168" fontId="68" fillId="0" borderId="124" xfId="0" applyNumberFormat="1" applyFont="1" applyBorder="1"/>
    <xf numFmtId="168" fontId="68" fillId="0" borderId="123" xfId="0" applyNumberFormat="1" applyFont="1" applyBorder="1"/>
    <xf numFmtId="168" fontId="2" fillId="0" borderId="124" xfId="0" applyNumberFormat="1" applyFont="1" applyBorder="1"/>
    <xf numFmtId="168" fontId="2" fillId="0" borderId="20" xfId="1" applyNumberFormat="1" applyFont="1" applyBorder="1"/>
    <xf numFmtId="168" fontId="2" fillId="0" borderId="125" xfId="1" applyNumberFormat="1" applyFont="1" applyBorder="1"/>
    <xf numFmtId="171" fontId="2" fillId="0" borderId="20" xfId="1" applyNumberFormat="1" applyFont="1" applyBorder="1"/>
    <xf numFmtId="168" fontId="2" fillId="0" borderId="128" xfId="1" applyNumberFormat="1" applyFont="1" applyBorder="1"/>
    <xf numFmtId="171" fontId="2" fillId="0" borderId="19" xfId="1" applyNumberFormat="1" applyFont="1" applyBorder="1"/>
    <xf numFmtId="168" fontId="22" fillId="0" borderId="0" xfId="3" applyNumberFormat="1" applyFont="1" applyBorder="1"/>
    <xf numFmtId="0" fontId="24" fillId="2" borderId="0" xfId="0" applyFont="1" applyFill="1" applyAlignment="1">
      <alignment horizontal="right"/>
    </xf>
    <xf numFmtId="168" fontId="22" fillId="0" borderId="269" xfId="0" applyNumberFormat="1" applyFont="1" applyBorder="1"/>
    <xf numFmtId="263" fontId="88" fillId="0" borderId="0" xfId="0" applyNumberFormat="1" applyFont="1"/>
    <xf numFmtId="0" fontId="68" fillId="53" borderId="0" xfId="0" applyFont="1" applyFill="1"/>
    <xf numFmtId="168" fontId="2" fillId="0" borderId="126" xfId="1782" applyNumberFormat="1" applyFont="1" applyFill="1" applyBorder="1"/>
    <xf numFmtId="168" fontId="2" fillId="0" borderId="128" xfId="1782" applyNumberFormat="1" applyFont="1" applyFill="1" applyBorder="1"/>
    <xf numFmtId="9" fontId="62" fillId="53" borderId="0" xfId="3" applyFont="1" applyFill="1" applyBorder="1"/>
    <xf numFmtId="9" fontId="62" fillId="53" borderId="12" xfId="3" applyFont="1" applyFill="1" applyBorder="1"/>
    <xf numFmtId="0" fontId="2" fillId="0" borderId="0" xfId="1715" applyAlignment="1">
      <alignment horizontal="right"/>
    </xf>
    <xf numFmtId="168" fontId="66" fillId="0" borderId="0" xfId="1" applyNumberFormat="1" applyFont="1" applyBorder="1" applyAlignment="1">
      <alignment horizontal="center"/>
    </xf>
    <xf numFmtId="168" fontId="2" fillId="0" borderId="126" xfId="1" applyNumberFormat="1" applyFont="1" applyBorder="1"/>
    <xf numFmtId="168" fontId="6" fillId="0" borderId="0" xfId="1" applyNumberFormat="1" applyFont="1" applyFill="1" applyBorder="1"/>
    <xf numFmtId="0" fontId="11" fillId="2" borderId="0" xfId="0" applyFont="1" applyFill="1" applyAlignment="1">
      <alignment horizontal="right"/>
    </xf>
    <xf numFmtId="0" fontId="2" fillId="0" borderId="0" xfId="1665" applyAlignment="1">
      <alignment horizontal="right"/>
    </xf>
    <xf numFmtId="0" fontId="2" fillId="0" borderId="0" xfId="1693" applyAlignment="1">
      <alignment horizontal="right"/>
    </xf>
    <xf numFmtId="191" fontId="62" fillId="0" borderId="19" xfId="0" applyNumberFormat="1" applyFont="1" applyBorder="1"/>
    <xf numFmtId="191" fontId="62" fillId="0" borderId="17" xfId="0" applyNumberFormat="1" applyFont="1" applyBorder="1"/>
    <xf numFmtId="0" fontId="61" fillId="2" borderId="20" xfId="0" applyFont="1" applyFill="1" applyBorder="1" applyAlignment="1">
      <alignment horizontal="right"/>
    </xf>
    <xf numFmtId="191" fontId="62" fillId="0" borderId="16" xfId="0" applyNumberFormat="1" applyFont="1" applyBorder="1"/>
    <xf numFmtId="191" fontId="62" fillId="0" borderId="46" xfId="0" applyNumberFormat="1" applyFont="1" applyBorder="1"/>
    <xf numFmtId="0" fontId="61" fillId="2" borderId="12" xfId="0" applyFont="1" applyFill="1" applyBorder="1" applyAlignment="1">
      <alignment horizontal="right"/>
    </xf>
    <xf numFmtId="0" fontId="11" fillId="2" borderId="12" xfId="0" applyFont="1" applyFill="1" applyBorder="1" applyAlignment="1">
      <alignment horizontal="right"/>
    </xf>
    <xf numFmtId="168" fontId="62" fillId="0" borderId="16" xfId="0" applyNumberFormat="1" applyFont="1" applyBorder="1"/>
    <xf numFmtId="168" fontId="62" fillId="0" borderId="46" xfId="0" applyNumberFormat="1" applyFont="1" applyBorder="1"/>
    <xf numFmtId="0" fontId="24" fillId="2" borderId="12" xfId="0" applyFont="1" applyFill="1" applyBorder="1" applyAlignment="1">
      <alignment horizontal="right"/>
    </xf>
    <xf numFmtId="168" fontId="62" fillId="0" borderId="128" xfId="0" applyNumberFormat="1" applyFont="1" applyBorder="1"/>
    <xf numFmtId="168" fontId="62" fillId="0" borderId="127" xfId="0" applyNumberFormat="1" applyFont="1" applyBorder="1"/>
    <xf numFmtId="168" fontId="62" fillId="0" borderId="126" xfId="0" applyNumberFormat="1" applyFont="1" applyBorder="1"/>
    <xf numFmtId="0" fontId="24" fillId="2" borderId="125" xfId="0" applyFont="1" applyFill="1" applyBorder="1" applyAlignment="1">
      <alignment horizontal="right"/>
    </xf>
    <xf numFmtId="0" fontId="11" fillId="2" borderId="123" xfId="0" applyFont="1" applyFill="1" applyBorder="1" applyAlignment="1">
      <alignment horizontal="center"/>
    </xf>
    <xf numFmtId="0" fontId="11" fillId="2" borderId="124" xfId="0" applyFont="1" applyFill="1" applyBorder="1" applyAlignment="1">
      <alignment horizontal="center"/>
    </xf>
    <xf numFmtId="168" fontId="22" fillId="0" borderId="17" xfId="1" applyNumberFormat="1" applyFont="1" applyBorder="1"/>
    <xf numFmtId="0" fontId="22" fillId="0" borderId="117" xfId="0" applyFont="1" applyBorder="1"/>
    <xf numFmtId="168" fontId="68" fillId="0" borderId="12" xfId="1" applyNumberFormat="1" applyFont="1" applyBorder="1"/>
    <xf numFmtId="169" fontId="6" fillId="0" borderId="12" xfId="3" applyNumberFormat="1" applyFont="1" applyBorder="1"/>
    <xf numFmtId="169" fontId="6" fillId="0" borderId="46" xfId="3" applyNumberFormat="1" applyFont="1" applyBorder="1"/>
    <xf numFmtId="168" fontId="2" fillId="0" borderId="46" xfId="1" applyNumberFormat="1" applyFont="1" applyBorder="1"/>
    <xf numFmtId="168" fontId="2" fillId="0" borderId="16" xfId="1" applyNumberFormat="1" applyFont="1" applyBorder="1"/>
    <xf numFmtId="168" fontId="2" fillId="0" borderId="127" xfId="1" applyNumberFormat="1" applyFont="1" applyBorder="1"/>
    <xf numFmtId="43" fontId="1" fillId="0" borderId="0" xfId="1" applyFont="1"/>
    <xf numFmtId="170" fontId="22" fillId="0" borderId="117" xfId="0" applyNumberFormat="1" applyFont="1" applyBorder="1"/>
    <xf numFmtId="168" fontId="213" fillId="0" borderId="0" xfId="1" applyNumberFormat="1" applyFont="1" applyFill="1" applyBorder="1"/>
    <xf numFmtId="10" fontId="6" fillId="0" borderId="0" xfId="3" applyNumberFormat="1" applyFont="1" applyBorder="1"/>
    <xf numFmtId="168" fontId="2" fillId="0" borderId="308" xfId="1782" applyNumberFormat="1" applyFont="1" applyFill="1" applyBorder="1"/>
    <xf numFmtId="168" fontId="2" fillId="0" borderId="308" xfId="1" applyNumberFormat="1" applyFont="1" applyBorder="1"/>
    <xf numFmtId="168" fontId="22" fillId="0" borderId="308" xfId="1" applyNumberFormat="1" applyFont="1" applyBorder="1"/>
    <xf numFmtId="168" fontId="66" fillId="0" borderId="46" xfId="1" applyNumberFormat="1" applyFont="1" applyBorder="1" applyAlignment="1">
      <alignment horizontal="center"/>
    </xf>
    <xf numFmtId="43" fontId="66" fillId="0" borderId="46" xfId="1" applyFont="1" applyBorder="1" applyAlignment="1">
      <alignment horizontal="center"/>
    </xf>
    <xf numFmtId="43" fontId="66" fillId="0" borderId="16" xfId="1" applyFont="1" applyBorder="1"/>
    <xf numFmtId="0" fontId="3" fillId="0" borderId="46" xfId="2" applyNumberFormat="1" applyFont="1" applyFill="1" applyBorder="1" applyAlignment="1">
      <alignment horizontal="left"/>
    </xf>
    <xf numFmtId="168" fontId="22" fillId="0" borderId="41" xfId="0" applyNumberFormat="1" applyFont="1" applyBorder="1"/>
    <xf numFmtId="168" fontId="233" fillId="53" borderId="0" xfId="1" applyNumberFormat="1" applyFont="1" applyFill="1" applyBorder="1"/>
    <xf numFmtId="43" fontId="62" fillId="0" borderId="125" xfId="1" applyFont="1" applyBorder="1" applyAlignment="1">
      <alignment horizontal="right"/>
    </xf>
    <xf numFmtId="43" fontId="62" fillId="0" borderId="12" xfId="1" applyFont="1" applyBorder="1" applyAlignment="1">
      <alignment horizontal="right"/>
    </xf>
    <xf numFmtId="43" fontId="66" fillId="0" borderId="12" xfId="1" applyFont="1" applyBorder="1" applyAlignment="1">
      <alignment horizontal="right"/>
    </xf>
    <xf numFmtId="43" fontId="63" fillId="0" borderId="129" xfId="1" applyFont="1" applyBorder="1" applyAlignment="1">
      <alignment horizontal="right"/>
    </xf>
    <xf numFmtId="43" fontId="66" fillId="0" borderId="0" xfId="1" applyFont="1" applyBorder="1" applyAlignment="1">
      <alignment horizontal="right"/>
    </xf>
    <xf numFmtId="43" fontId="66" fillId="0" borderId="20" xfId="1" applyFont="1" applyBorder="1" applyAlignment="1">
      <alignment horizontal="right"/>
    </xf>
    <xf numFmtId="43" fontId="22" fillId="0" borderId="308" xfId="1" applyFont="1" applyBorder="1"/>
    <xf numFmtId="0" fontId="60" fillId="0" borderId="308" xfId="0" applyFont="1" applyBorder="1"/>
    <xf numFmtId="43" fontId="22" fillId="0" borderId="46" xfId="1" applyFont="1" applyBorder="1"/>
    <xf numFmtId="43" fontId="22" fillId="0" borderId="18" xfId="1" applyFont="1" applyBorder="1"/>
    <xf numFmtId="0" fontId="60" fillId="0" borderId="18" xfId="0" applyFont="1" applyBorder="1"/>
    <xf numFmtId="0" fontId="60" fillId="0" borderId="12" xfId="0" applyFont="1" applyBorder="1"/>
    <xf numFmtId="37" fontId="5" fillId="2" borderId="20" xfId="0" applyNumberFormat="1" applyFont="1" applyFill="1" applyBorder="1" applyAlignment="1">
      <alignment horizontal="right"/>
    </xf>
    <xf numFmtId="37" fontId="5" fillId="2" borderId="125" xfId="0" applyNumberFormat="1" applyFont="1" applyFill="1" applyBorder="1" applyAlignment="1">
      <alignment horizontal="right"/>
    </xf>
    <xf numFmtId="37" fontId="5" fillId="2" borderId="12" xfId="0" applyNumberFormat="1" applyFont="1" applyFill="1" applyBorder="1" applyAlignment="1">
      <alignment horizontal="right"/>
    </xf>
    <xf numFmtId="0" fontId="60" fillId="0" borderId="20" xfId="0" applyFont="1" applyBorder="1"/>
    <xf numFmtId="169" fontId="5" fillId="2" borderId="12" xfId="3" applyNumberFormat="1" applyFont="1" applyFill="1" applyBorder="1" applyAlignment="1">
      <alignment horizontal="right"/>
    </xf>
    <xf numFmtId="169" fontId="22" fillId="0" borderId="12" xfId="3" applyNumberFormat="1" applyFont="1" applyBorder="1"/>
    <xf numFmtId="165" fontId="102" fillId="53" borderId="0" xfId="26" applyNumberFormat="1" applyFont="1" applyFill="1" applyBorder="1"/>
    <xf numFmtId="43" fontId="68" fillId="0" borderId="0" xfId="1" applyFont="1" applyBorder="1"/>
    <xf numFmtId="37" fontId="102" fillId="2" borderId="0" xfId="0" applyNumberFormat="1" applyFont="1" applyFill="1" applyAlignment="1">
      <alignment horizontal="right"/>
    </xf>
    <xf numFmtId="0" fontId="67" fillId="0" borderId="129" xfId="0" applyFont="1" applyBorder="1"/>
    <xf numFmtId="43" fontId="68" fillId="0" borderId="117" xfId="1" applyFont="1" applyBorder="1"/>
    <xf numFmtId="43" fontId="68" fillId="0" borderId="123" xfId="1" applyFont="1" applyBorder="1"/>
    <xf numFmtId="37" fontId="102" fillId="2" borderId="129" xfId="0" applyNumberFormat="1" applyFont="1" applyFill="1" applyBorder="1" applyAlignment="1">
      <alignment horizontal="right"/>
    </xf>
    <xf numFmtId="43" fontId="68" fillId="0" borderId="124" xfId="1" applyFont="1" applyBorder="1"/>
    <xf numFmtId="168" fontId="68" fillId="0" borderId="129" xfId="1" applyNumberFormat="1" applyFont="1" applyBorder="1"/>
    <xf numFmtId="0" fontId="67" fillId="0" borderId="117" xfId="0" applyFont="1" applyBorder="1"/>
    <xf numFmtId="168" fontId="63" fillId="0" borderId="125" xfId="0" applyNumberFormat="1" applyFont="1" applyBorder="1" applyAlignment="1">
      <alignment horizontal="right"/>
    </xf>
    <xf numFmtId="168" fontId="61" fillId="0" borderId="16" xfId="81" applyNumberFormat="1" applyFont="1" applyBorder="1"/>
    <xf numFmtId="168" fontId="61" fillId="0" borderId="18" xfId="81" applyNumberFormat="1" applyFont="1" applyBorder="1"/>
    <xf numFmtId="168" fontId="61" fillId="0" borderId="19" xfId="81" applyNumberFormat="1" applyFont="1" applyBorder="1"/>
    <xf numFmtId="0" fontId="62" fillId="0" borderId="46" xfId="0" applyFont="1" applyBorder="1"/>
    <xf numFmtId="0" fontId="62" fillId="0" borderId="17" xfId="0" applyFont="1" applyBorder="1"/>
    <xf numFmtId="0" fontId="26" fillId="0" borderId="0" xfId="0" applyFont="1"/>
    <xf numFmtId="168" fontId="63" fillId="0" borderId="124" xfId="0" applyNumberFormat="1" applyFont="1" applyBorder="1"/>
    <xf numFmtId="168" fontId="63" fillId="0" borderId="117" xfId="0" applyNumberFormat="1" applyFont="1" applyBorder="1"/>
    <xf numFmtId="168" fontId="63" fillId="0" borderId="123" xfId="0" applyNumberFormat="1" applyFont="1" applyBorder="1"/>
    <xf numFmtId="168" fontId="63" fillId="0" borderId="129" xfId="0" applyNumberFormat="1" applyFont="1" applyBorder="1"/>
    <xf numFmtId="168" fontId="63" fillId="0" borderId="117" xfId="81" applyNumberFormat="1" applyFont="1" applyBorder="1"/>
    <xf numFmtId="168" fontId="63" fillId="0" borderId="129" xfId="81" applyNumberFormat="1" applyFont="1" applyBorder="1"/>
    <xf numFmtId="168" fontId="63" fillId="0" borderId="0" xfId="0" applyNumberFormat="1" applyFont="1"/>
    <xf numFmtId="0" fontId="71" fillId="54" borderId="124" xfId="2" applyNumberFormat="1" applyFont="1" applyFill="1" applyBorder="1" applyAlignment="1">
      <alignment horizontal="center"/>
    </xf>
    <xf numFmtId="168" fontId="22" fillId="0" borderId="308" xfId="0" applyNumberFormat="1" applyFont="1" applyBorder="1"/>
    <xf numFmtId="10" fontId="22" fillId="0" borderId="12" xfId="3" applyNumberFormat="1" applyFont="1" applyBorder="1"/>
    <xf numFmtId="10" fontId="66" fillId="0" borderId="46" xfId="3" applyNumberFormat="1" applyFont="1" applyBorder="1"/>
    <xf numFmtId="10" fontId="66" fillId="0" borderId="16" xfId="3" applyNumberFormat="1" applyFont="1" applyBorder="1"/>
    <xf numFmtId="168" fontId="63" fillId="53" borderId="12" xfId="1" applyNumberFormat="1" applyFont="1" applyFill="1" applyBorder="1"/>
    <xf numFmtId="43" fontId="2" fillId="0" borderId="0" xfId="0" applyNumberFormat="1" applyFont="1"/>
    <xf numFmtId="9" fontId="22" fillId="0" borderId="0" xfId="3" applyFont="1"/>
    <xf numFmtId="0" fontId="2" fillId="0" borderId="127" xfId="1665" applyBorder="1" applyAlignment="1">
      <alignment horizontal="right"/>
    </xf>
    <xf numFmtId="0" fontId="2" fillId="0" borderId="41" xfId="1665" applyBorder="1" applyAlignment="1">
      <alignment horizontal="right"/>
    </xf>
    <xf numFmtId="0" fontId="22" fillId="0" borderId="41" xfId="0" applyFont="1" applyBorder="1"/>
    <xf numFmtId="43" fontId="1" fillId="0" borderId="17" xfId="1" applyFont="1" applyBorder="1"/>
    <xf numFmtId="43" fontId="1" fillId="0" borderId="41" xfId="1" applyFont="1" applyBorder="1"/>
    <xf numFmtId="10" fontId="6" fillId="0" borderId="16" xfId="3" applyNumberFormat="1" applyFont="1" applyBorder="1"/>
    <xf numFmtId="168" fontId="2" fillId="0" borderId="123" xfId="0" applyNumberFormat="1" applyFont="1" applyBorder="1"/>
    <xf numFmtId="169" fontId="60" fillId="0" borderId="0" xfId="3" applyNumberFormat="1" applyFont="1"/>
    <xf numFmtId="9" fontId="60" fillId="0" borderId="12" xfId="3" applyFont="1" applyBorder="1"/>
    <xf numFmtId="168" fontId="60" fillId="0" borderId="12" xfId="1" applyNumberFormat="1" applyFont="1" applyBorder="1"/>
    <xf numFmtId="169" fontId="22" fillId="0" borderId="0" xfId="3" applyNumberFormat="1" applyFont="1" applyFill="1"/>
    <xf numFmtId="168" fontId="2" fillId="0" borderId="309" xfId="1" applyNumberFormat="1" applyFont="1" applyBorder="1"/>
    <xf numFmtId="10" fontId="22" fillId="0" borderId="0" xfId="3" applyNumberFormat="1" applyFont="1" applyBorder="1"/>
    <xf numFmtId="264" fontId="66" fillId="0" borderId="12" xfId="3" applyNumberFormat="1" applyFont="1" applyBorder="1"/>
    <xf numFmtId="3" fontId="0" fillId="0" borderId="0" xfId="0" applyNumberFormat="1"/>
    <xf numFmtId="169" fontId="0" fillId="0" borderId="0" xfId="0" applyNumberFormat="1"/>
    <xf numFmtId="168" fontId="62" fillId="53" borderId="12" xfId="1" applyNumberFormat="1" applyFont="1" applyFill="1" applyBorder="1"/>
    <xf numFmtId="43" fontId="60" fillId="0" borderId="0" xfId="0" applyNumberFormat="1" applyFont="1"/>
    <xf numFmtId="203" fontId="60" fillId="0" borderId="0" xfId="0" applyNumberFormat="1" applyFont="1"/>
    <xf numFmtId="0" fontId="236" fillId="0" borderId="0" xfId="0" applyFont="1"/>
    <xf numFmtId="0" fontId="237" fillId="0" borderId="311" xfId="0" applyFont="1" applyBorder="1" applyAlignment="1">
      <alignment horizontal="center"/>
    </xf>
    <xf numFmtId="0" fontId="237" fillId="0" borderId="312" xfId="0" applyFont="1" applyBorder="1" applyAlignment="1">
      <alignment horizontal="center"/>
    </xf>
    <xf numFmtId="0" fontId="0" fillId="0" borderId="313" xfId="0" applyBorder="1"/>
    <xf numFmtId="0" fontId="236" fillId="0" borderId="314" xfId="0" applyFont="1" applyBorder="1"/>
    <xf numFmtId="0" fontId="236" fillId="0" borderId="315" xfId="0" applyFont="1" applyBorder="1"/>
    <xf numFmtId="0" fontId="68" fillId="0" borderId="124" xfId="0" applyFont="1" applyBorder="1"/>
    <xf numFmtId="0" fontId="68" fillId="0" borderId="123" xfId="0" applyFont="1" applyBorder="1"/>
    <xf numFmtId="0" fontId="237" fillId="0" borderId="317" xfId="0" applyFont="1" applyBorder="1"/>
    <xf numFmtId="0" fontId="238" fillId="54" borderId="318" xfId="2" applyNumberFormat="1" applyFont="1" applyFill="1" applyBorder="1" applyAlignment="1">
      <alignment horizontal="center"/>
    </xf>
    <xf numFmtId="0" fontId="237" fillId="0" borderId="3" xfId="0" applyFont="1" applyBorder="1"/>
    <xf numFmtId="0" fontId="239" fillId="0" borderId="3" xfId="0" applyFont="1" applyBorder="1"/>
    <xf numFmtId="169" fontId="239" fillId="0" borderId="0" xfId="3" applyNumberFormat="1" applyFont="1" applyBorder="1"/>
    <xf numFmtId="0" fontId="240" fillId="0" borderId="3" xfId="0" applyFont="1" applyBorder="1"/>
    <xf numFmtId="169" fontId="0" fillId="0" borderId="0" xfId="3" applyNumberFormat="1" applyFont="1" applyBorder="1"/>
    <xf numFmtId="0" fontId="241" fillId="0" borderId="3" xfId="0" applyFont="1" applyBorder="1"/>
    <xf numFmtId="37" fontId="0" fillId="0" borderId="0" xfId="0" applyNumberFormat="1"/>
    <xf numFmtId="9" fontId="0" fillId="0" borderId="0" xfId="3" applyFont="1" applyBorder="1"/>
    <xf numFmtId="169" fontId="0" fillId="0" borderId="11" xfId="3" applyNumberFormat="1" applyFont="1" applyBorder="1"/>
    <xf numFmtId="171" fontId="22" fillId="0" borderId="0" xfId="1" applyNumberFormat="1" applyFont="1" applyBorder="1"/>
    <xf numFmtId="43" fontId="2" fillId="0" borderId="0" xfId="1" applyFont="1" applyFill="1" applyBorder="1"/>
    <xf numFmtId="168" fontId="11" fillId="0" borderId="317" xfId="1" applyNumberFormat="1" applyFont="1" applyBorder="1"/>
    <xf numFmtId="168" fontId="11" fillId="0" borderId="277" xfId="1" applyNumberFormat="1" applyFont="1" applyBorder="1"/>
    <xf numFmtId="0" fontId="3" fillId="2" borderId="310" xfId="0" applyFont="1" applyFill="1" applyBorder="1" applyAlignment="1">
      <alignment horizontal="left"/>
    </xf>
    <xf numFmtId="0" fontId="61" fillId="2" borderId="308" xfId="0" applyFont="1" applyFill="1" applyBorder="1" applyAlignment="1">
      <alignment horizontal="right"/>
    </xf>
    <xf numFmtId="191" fontId="62" fillId="0" borderId="308" xfId="0" applyNumberFormat="1" applyFont="1" applyBorder="1"/>
    <xf numFmtId="0" fontId="62" fillId="0" borderId="308" xfId="0" applyFont="1" applyBorder="1"/>
    <xf numFmtId="169" fontId="6" fillId="0" borderId="308" xfId="27" applyNumberFormat="1" applyFont="1" applyBorder="1"/>
    <xf numFmtId="168" fontId="6" fillId="0" borderId="308" xfId="81" applyNumberFormat="1" applyFont="1" applyBorder="1"/>
    <xf numFmtId="169" fontId="6" fillId="0" borderId="308" xfId="81" applyNumberFormat="1" applyFont="1" applyBorder="1"/>
    <xf numFmtId="168" fontId="61" fillId="0" borderId="308" xfId="81" applyNumberFormat="1" applyFont="1" applyBorder="1"/>
    <xf numFmtId="168" fontId="61" fillId="0" borderId="321" xfId="81" applyNumberFormat="1" applyFont="1" applyBorder="1"/>
    <xf numFmtId="0" fontId="244" fillId="2" borderId="46" xfId="0" applyFont="1" applyFill="1" applyBorder="1" applyAlignment="1">
      <alignment horizontal="right"/>
    </xf>
    <xf numFmtId="0" fontId="61" fillId="2" borderId="41" xfId="0" applyFont="1" applyFill="1" applyBorder="1" applyAlignment="1">
      <alignment horizontal="right"/>
    </xf>
    <xf numFmtId="0" fontId="62" fillId="0" borderId="41" xfId="0" applyFont="1" applyBorder="1"/>
    <xf numFmtId="168" fontId="61" fillId="0" borderId="41" xfId="81" applyNumberFormat="1" applyFont="1" applyBorder="1"/>
    <xf numFmtId="168" fontId="61" fillId="0" borderId="309" xfId="81" applyNumberFormat="1" applyFont="1" applyBorder="1"/>
    <xf numFmtId="44" fontId="6" fillId="0" borderId="0" xfId="26" applyFont="1" applyFill="1" applyBorder="1" applyAlignment="1">
      <alignment horizontal="right"/>
    </xf>
    <xf numFmtId="165" fontId="6" fillId="0" borderId="0" xfId="26" applyNumberFormat="1" applyFont="1" applyFill="1" applyBorder="1" applyAlignment="1">
      <alignment horizontal="right" wrapText="1"/>
    </xf>
    <xf numFmtId="14" fontId="246" fillId="0" borderId="17" xfId="0" applyNumberFormat="1" applyFont="1" applyBorder="1" applyAlignment="1">
      <alignment horizontal="left" vertical="top"/>
    </xf>
    <xf numFmtId="0" fontId="246" fillId="0" borderId="18" xfId="0" applyFont="1" applyBorder="1" applyAlignment="1">
      <alignment horizontal="left" vertical="top"/>
    </xf>
    <xf numFmtId="0" fontId="246" fillId="0" borderId="19" xfId="0" applyFont="1" applyBorder="1" applyAlignment="1">
      <alignment horizontal="left" vertical="top" wrapText="1"/>
    </xf>
    <xf numFmtId="8" fontId="246" fillId="0" borderId="18" xfId="0" applyNumberFormat="1" applyFont="1" applyBorder="1" applyAlignment="1">
      <alignment horizontal="left" vertical="top"/>
    </xf>
    <xf numFmtId="43" fontId="6" fillId="0" borderId="0" xfId="1" applyFont="1" applyBorder="1"/>
    <xf numFmtId="169" fontId="60" fillId="0" borderId="0" xfId="0" applyNumberFormat="1" applyFont="1"/>
    <xf numFmtId="169" fontId="62" fillId="53" borderId="12" xfId="1" applyNumberFormat="1" applyFont="1" applyFill="1" applyBorder="1"/>
    <xf numFmtId="169" fontId="62" fillId="53" borderId="0" xfId="1" applyNumberFormat="1" applyFont="1" applyFill="1" applyBorder="1"/>
    <xf numFmtId="14" fontId="246" fillId="0" borderId="124" xfId="0" applyNumberFormat="1" applyFont="1" applyBorder="1" applyAlignment="1">
      <alignment horizontal="left" vertical="top"/>
    </xf>
    <xf numFmtId="0" fontId="246" fillId="0" borderId="117" xfId="0" applyFont="1" applyBorder="1" applyAlignment="1">
      <alignment horizontal="left" vertical="top"/>
    </xf>
    <xf numFmtId="0" fontId="0" fillId="0" borderId="123" xfId="0" applyBorder="1"/>
    <xf numFmtId="0" fontId="0" fillId="0" borderId="322" xfId="0" applyBorder="1"/>
    <xf numFmtId="0" fontId="0" fillId="0" borderId="322" xfId="0" applyBorder="1" applyAlignment="1">
      <alignment wrapText="1"/>
    </xf>
    <xf numFmtId="6" fontId="0" fillId="0" borderId="322" xfId="0" applyNumberFormat="1" applyBorder="1"/>
    <xf numFmtId="164" fontId="0" fillId="0" borderId="322" xfId="2" applyNumberFormat="1" applyFont="1" applyBorder="1"/>
    <xf numFmtId="168" fontId="0" fillId="0" borderId="322" xfId="1" applyNumberFormat="1" applyFont="1" applyBorder="1"/>
    <xf numFmtId="164" fontId="0" fillId="0" borderId="317" xfId="2" applyNumberFormat="1" applyFont="1" applyBorder="1"/>
    <xf numFmtId="16" fontId="0" fillId="0" borderId="0" xfId="0" applyNumberFormat="1"/>
    <xf numFmtId="17" fontId="0" fillId="0" borderId="0" xfId="0" applyNumberFormat="1"/>
    <xf numFmtId="6" fontId="0" fillId="0" borderId="0" xfId="0" applyNumberFormat="1"/>
    <xf numFmtId="164" fontId="0" fillId="0" borderId="0" xfId="2" applyNumberFormat="1" applyFont="1" applyBorder="1"/>
    <xf numFmtId="0" fontId="247" fillId="0" borderId="0" xfId="0" applyFont="1"/>
    <xf numFmtId="0" fontId="247" fillId="0" borderId="322" xfId="0" applyFont="1" applyBorder="1"/>
    <xf numFmtId="3" fontId="0" fillId="0" borderId="322" xfId="0" applyNumberFormat="1" applyBorder="1"/>
    <xf numFmtId="0" fontId="0" fillId="78" borderId="322" xfId="0" applyFill="1" applyBorder="1"/>
    <xf numFmtId="0" fontId="0" fillId="78" borderId="322" xfId="0" applyFill="1" applyBorder="1" applyAlignment="1">
      <alignment wrapText="1"/>
    </xf>
    <xf numFmtId="0" fontId="237" fillId="0" borderId="324" xfId="0" applyFont="1" applyBorder="1" applyAlignment="1">
      <alignment horizontal="center"/>
    </xf>
    <xf numFmtId="169" fontId="236" fillId="0" borderId="0" xfId="3" applyNumberFormat="1" applyFont="1" applyBorder="1" applyAlignment="1">
      <alignment horizontal="center"/>
    </xf>
    <xf numFmtId="169" fontId="236" fillId="0" borderId="12" xfId="3" applyNumberFormat="1" applyFont="1" applyBorder="1" applyAlignment="1">
      <alignment horizontal="center"/>
    </xf>
    <xf numFmtId="169" fontId="236" fillId="0" borderId="16" xfId="3" applyNumberFormat="1" applyFont="1" applyBorder="1" applyAlignment="1">
      <alignment horizontal="center"/>
    </xf>
    <xf numFmtId="169" fontId="236" fillId="0" borderId="41" xfId="3" applyNumberFormat="1" applyFont="1" applyBorder="1" applyAlignment="1">
      <alignment horizontal="center"/>
    </xf>
    <xf numFmtId="169" fontId="236" fillId="0" borderId="20" xfId="3" applyNumberFormat="1" applyFont="1" applyBorder="1" applyAlignment="1">
      <alignment horizontal="center"/>
    </xf>
    <xf numFmtId="169" fontId="236" fillId="0" borderId="19" xfId="3" applyNumberFormat="1" applyFont="1" applyBorder="1" applyAlignment="1">
      <alignment horizontal="center"/>
    </xf>
    <xf numFmtId="0" fontId="60" fillId="0" borderId="320" xfId="0" applyFont="1" applyBorder="1"/>
    <xf numFmtId="164" fontId="60" fillId="0" borderId="129" xfId="0" applyNumberFormat="1" applyFont="1" applyBorder="1"/>
    <xf numFmtId="164" fontId="60" fillId="0" borderId="0" xfId="0" applyNumberFormat="1" applyFont="1"/>
    <xf numFmtId="0" fontId="237" fillId="0" borderId="308" xfId="0" applyFont="1" applyBorder="1" applyAlignment="1">
      <alignment horizontal="center"/>
    </xf>
    <xf numFmtId="0" fontId="237" fillId="0" borderId="309" xfId="0" applyFont="1" applyBorder="1" applyAlignment="1">
      <alignment horizontal="center"/>
    </xf>
    <xf numFmtId="0" fontId="237" fillId="0" borderId="321" xfId="0" applyFont="1" applyBorder="1" applyAlignment="1">
      <alignment horizontal="center"/>
    </xf>
    <xf numFmtId="0" fontId="2" fillId="0" borderId="322" xfId="1715" applyBorder="1"/>
    <xf numFmtId="169" fontId="0" fillId="0" borderId="322" xfId="3" applyNumberFormat="1" applyFont="1" applyBorder="1"/>
    <xf numFmtId="167" fontId="0" fillId="0" borderId="0" xfId="0" applyNumberFormat="1"/>
    <xf numFmtId="0" fontId="0" fillId="0" borderId="17" xfId="0" applyBorder="1"/>
    <xf numFmtId="0" fontId="0" fillId="0" borderId="18" xfId="0" applyBorder="1"/>
    <xf numFmtId="0" fontId="0" fillId="0" borderId="19" xfId="0" applyBorder="1"/>
    <xf numFmtId="0" fontId="245" fillId="79" borderId="124" xfId="0" applyFont="1" applyFill="1" applyBorder="1" applyAlignment="1">
      <alignment vertical="top" wrapText="1"/>
    </xf>
    <xf numFmtId="0" fontId="245" fillId="79" borderId="117" xfId="0" applyFont="1" applyFill="1" applyBorder="1" applyAlignment="1">
      <alignment vertical="top" wrapText="1"/>
    </xf>
    <xf numFmtId="0" fontId="245" fillId="79" borderId="123" xfId="0" applyFont="1" applyFill="1" applyBorder="1" applyAlignment="1">
      <alignment vertical="top" wrapText="1"/>
    </xf>
    <xf numFmtId="9" fontId="0" fillId="0" borderId="0" xfId="3" applyFont="1"/>
    <xf numFmtId="266" fontId="0" fillId="0" borderId="0" xfId="0" applyNumberFormat="1"/>
    <xf numFmtId="168" fontId="2" fillId="0" borderId="16" xfId="0" applyNumberFormat="1" applyFont="1" applyBorder="1"/>
    <xf numFmtId="0" fontId="3" fillId="81" borderId="314" xfId="1715" applyFont="1" applyFill="1" applyBorder="1"/>
    <xf numFmtId="6" fontId="2" fillId="81" borderId="316" xfId="1715" applyNumberFormat="1" applyFill="1" applyBorder="1" applyAlignment="1">
      <alignment horizontal="center"/>
    </xf>
    <xf numFmtId="6" fontId="2" fillId="81" borderId="12" xfId="1715" applyNumberFormat="1" applyFill="1" applyBorder="1" applyAlignment="1">
      <alignment horizontal="center"/>
    </xf>
    <xf numFmtId="6" fontId="2" fillId="81" borderId="323" xfId="1715" applyNumberFormat="1" applyFill="1" applyBorder="1" applyAlignment="1">
      <alignment horizontal="center"/>
    </xf>
    <xf numFmtId="9" fontId="0" fillId="0" borderId="0" xfId="0" applyNumberFormat="1"/>
    <xf numFmtId="0" fontId="22" fillId="0" borderId="0" xfId="0" applyFont="1" applyAlignment="1">
      <alignment vertical="center"/>
    </xf>
    <xf numFmtId="0" fontId="2" fillId="0" borderId="17" xfId="2" applyNumberFormat="1" applyFont="1" applyFill="1" applyBorder="1" applyAlignment="1">
      <alignment horizontal="left" vertical="center"/>
    </xf>
    <xf numFmtId="167" fontId="2" fillId="0" borderId="19" xfId="2" applyNumberFormat="1" applyFont="1" applyFill="1" applyBorder="1" applyAlignment="1">
      <alignment vertical="center"/>
    </xf>
    <xf numFmtId="168" fontId="22" fillId="0" borderId="20" xfId="0" applyNumberFormat="1" applyFont="1" applyBorder="1" applyAlignment="1">
      <alignment vertical="center"/>
    </xf>
    <xf numFmtId="192" fontId="2" fillId="0" borderId="18" xfId="11077" applyNumberFormat="1" applyBorder="1" applyAlignment="1">
      <alignment vertical="center"/>
    </xf>
    <xf numFmtId="168" fontId="2" fillId="0" borderId="17" xfId="0" applyNumberFormat="1" applyFont="1" applyBorder="1" applyAlignment="1">
      <alignment vertical="center"/>
    </xf>
    <xf numFmtId="168" fontId="2" fillId="0" borderId="18" xfId="0" applyNumberFormat="1" applyFont="1" applyBorder="1" applyAlignment="1">
      <alignment vertical="center"/>
    </xf>
    <xf numFmtId="168" fontId="2" fillId="0" borderId="19" xfId="0" applyNumberFormat="1" applyFont="1" applyBorder="1" applyAlignment="1">
      <alignment vertical="center"/>
    </xf>
    <xf numFmtId="168" fontId="22" fillId="0" borderId="19" xfId="0" applyNumberFormat="1" applyFont="1" applyBorder="1" applyAlignment="1">
      <alignment vertical="center"/>
    </xf>
    <xf numFmtId="168" fontId="22" fillId="0" borderId="18" xfId="0" applyNumberFormat="1" applyFont="1" applyBorder="1" applyAlignment="1">
      <alignment vertical="center"/>
    </xf>
    <xf numFmtId="0" fontId="60" fillId="0" borderId="0" xfId="0" applyFont="1" applyAlignment="1">
      <alignment vertical="center"/>
    </xf>
    <xf numFmtId="0" fontId="4" fillId="0" borderId="0" xfId="205" applyFont="1" applyAlignment="1">
      <alignment horizontal="left"/>
    </xf>
    <xf numFmtId="0" fontId="24" fillId="0" borderId="0" xfId="386" applyFont="1"/>
    <xf numFmtId="0" fontId="249" fillId="0" borderId="0" xfId="386" applyFont="1"/>
    <xf numFmtId="0" fontId="11" fillId="0" borderId="0" xfId="386" applyFont="1" applyAlignment="1">
      <alignment horizontal="center"/>
    </xf>
    <xf numFmtId="0" fontId="11" fillId="0" borderId="0" xfId="386" quotePrefix="1" applyFont="1" applyAlignment="1">
      <alignment horizontal="center"/>
    </xf>
    <xf numFmtId="0" fontId="250" fillId="0" borderId="0" xfId="386" applyFont="1" applyAlignment="1">
      <alignment horizontal="left"/>
    </xf>
    <xf numFmtId="168" fontId="24" fillId="0" borderId="0" xfId="1" applyNumberFormat="1" applyFont="1" applyBorder="1" applyAlignment="1">
      <alignment horizontal="center"/>
    </xf>
    <xf numFmtId="168" fontId="24" fillId="0" borderId="0" xfId="386" applyNumberFormat="1" applyFont="1"/>
    <xf numFmtId="0" fontId="251" fillId="0" borderId="0" xfId="386" applyFont="1" applyAlignment="1">
      <alignment horizontal="left"/>
    </xf>
    <xf numFmtId="168" fontId="251" fillId="0" borderId="0" xfId="9" quotePrefix="1" applyNumberFormat="1" applyFont="1" applyBorder="1" applyAlignment="1" applyProtection="1">
      <alignment horizontal="center"/>
    </xf>
    <xf numFmtId="169" fontId="61" fillId="0" borderId="0" xfId="21" applyNumberFormat="1" applyFont="1" applyBorder="1"/>
    <xf numFmtId="168" fontId="250" fillId="0" borderId="0" xfId="9" quotePrefix="1" applyNumberFormat="1" applyFont="1" applyBorder="1" applyAlignment="1" applyProtection="1">
      <alignment horizontal="center"/>
    </xf>
    <xf numFmtId="169" fontId="250" fillId="0" borderId="0" xfId="21" applyNumberFormat="1" applyFont="1" applyBorder="1" applyProtection="1"/>
    <xf numFmtId="10" fontId="250" fillId="0" borderId="0" xfId="21" applyNumberFormat="1" applyFont="1" applyBorder="1" applyProtection="1"/>
    <xf numFmtId="168" fontId="250" fillId="0" borderId="0" xfId="9" applyNumberFormat="1" applyFont="1" applyProtection="1"/>
    <xf numFmtId="168" fontId="24" fillId="0" borderId="0" xfId="9" applyNumberFormat="1" applyFont="1" applyBorder="1" applyProtection="1"/>
    <xf numFmtId="169" fontId="61" fillId="0" borderId="0" xfId="21" applyNumberFormat="1" applyFont="1" applyBorder="1" applyAlignment="1" applyProtection="1">
      <alignment horizontal="center"/>
    </xf>
    <xf numFmtId="168" fontId="24" fillId="0" borderId="0" xfId="9" applyNumberFormat="1" applyFont="1"/>
    <xf numFmtId="168" fontId="24" fillId="0" borderId="0" xfId="9" applyNumberFormat="1" applyFont="1" applyBorder="1"/>
    <xf numFmtId="168" fontId="250" fillId="0" borderId="0" xfId="9" applyNumberFormat="1" applyFont="1" applyBorder="1" applyProtection="1"/>
    <xf numFmtId="168" fontId="11" fillId="0" borderId="0" xfId="9" applyNumberFormat="1" applyFont="1" applyBorder="1" applyProtection="1"/>
    <xf numFmtId="168" fontId="251" fillId="0" borderId="0" xfId="9" applyNumberFormat="1" applyFont="1" applyProtection="1"/>
    <xf numFmtId="168" fontId="11" fillId="0" borderId="0" xfId="1" applyNumberFormat="1" applyFont="1" applyBorder="1" applyProtection="1"/>
    <xf numFmtId="41" fontId="24" fillId="0" borderId="0" xfId="205" applyNumberFormat="1" applyFont="1"/>
    <xf numFmtId="0" fontId="24" fillId="0" borderId="0" xfId="205" applyFont="1"/>
    <xf numFmtId="168" fontId="24" fillId="0" borderId="0" xfId="205" applyNumberFormat="1" applyFont="1"/>
    <xf numFmtId="0" fontId="24" fillId="0" borderId="11" xfId="205" applyFont="1" applyBorder="1"/>
    <xf numFmtId="0" fontId="24" fillId="0" borderId="11" xfId="205" applyFont="1" applyBorder="1" applyAlignment="1">
      <alignment horizontal="left" indent="1"/>
    </xf>
    <xf numFmtId="41" fontId="24" fillId="0" borderId="11" xfId="386" applyNumberFormat="1" applyFont="1" applyBorder="1"/>
    <xf numFmtId="0" fontId="250" fillId="0" borderId="0" xfId="386" applyFont="1"/>
    <xf numFmtId="169" fontId="250" fillId="0" borderId="0" xfId="386" applyNumberFormat="1" applyFont="1"/>
    <xf numFmtId="0" fontId="11" fillId="0" borderId="0" xfId="205" applyFont="1"/>
    <xf numFmtId="168" fontId="11" fillId="0" borderId="0" xfId="205" applyNumberFormat="1" applyFont="1"/>
    <xf numFmtId="0" fontId="24" fillId="0" borderId="41" xfId="205" applyFont="1" applyBorder="1"/>
    <xf numFmtId="168" fontId="24" fillId="0" borderId="0" xfId="9" applyNumberFormat="1" applyFont="1" applyFill="1" applyBorder="1"/>
    <xf numFmtId="168" fontId="61" fillId="0" borderId="0" xfId="21" applyNumberFormat="1" applyFont="1" applyFill="1" applyBorder="1"/>
    <xf numFmtId="168" fontId="61" fillId="0" borderId="0" xfId="9" applyNumberFormat="1" applyFont="1" applyFill="1" applyBorder="1" applyAlignment="1">
      <alignment horizontal="center"/>
    </xf>
    <xf numFmtId="0" fontId="61" fillId="0" borderId="0" xfId="386" applyFont="1"/>
    <xf numFmtId="171" fontId="24" fillId="0" borderId="0" xfId="9" applyNumberFormat="1" applyFont="1" applyFill="1" applyBorder="1"/>
    <xf numFmtId="171" fontId="24" fillId="0" borderId="0" xfId="9" applyNumberFormat="1" applyFont="1"/>
    <xf numFmtId="171" fontId="254" fillId="0" borderId="0" xfId="9" applyNumberFormat="1" applyFont="1" applyBorder="1"/>
    <xf numFmtId="169" fontId="24" fillId="0" borderId="0" xfId="21" applyNumberFormat="1" applyFont="1"/>
    <xf numFmtId="168" fontId="24" fillId="0" borderId="0" xfId="1" applyNumberFormat="1" applyFont="1" applyFill="1" applyBorder="1"/>
    <xf numFmtId="168" fontId="24" fillId="0" borderId="0" xfId="21" applyNumberFormat="1" applyFont="1" applyFill="1" applyBorder="1"/>
    <xf numFmtId="0" fontId="11" fillId="0" borderId="0" xfId="386" applyFont="1"/>
    <xf numFmtId="44" fontId="11" fillId="0" borderId="0" xfId="8" applyFont="1" applyFill="1" applyBorder="1"/>
    <xf numFmtId="43" fontId="11" fillId="0" borderId="0" xfId="8" applyNumberFormat="1" applyFont="1" applyFill="1" applyBorder="1"/>
    <xf numFmtId="169" fontId="244" fillId="0" borderId="0" xfId="21" applyNumberFormat="1" applyFont="1" applyFill="1" applyBorder="1" applyAlignment="1">
      <alignment horizontal="center"/>
    </xf>
    <xf numFmtId="43" fontId="11" fillId="0" borderId="0" xfId="386" applyNumberFormat="1" applyFont="1"/>
    <xf numFmtId="169" fontId="244" fillId="0" borderId="0" xfId="8" applyNumberFormat="1" applyFont="1" applyFill="1" applyBorder="1" applyAlignment="1">
      <alignment horizontal="center"/>
    </xf>
    <xf numFmtId="169" fontId="244" fillId="0" borderId="0" xfId="21" applyNumberFormat="1" applyFont="1" applyBorder="1"/>
    <xf numFmtId="164" fontId="24" fillId="0" borderId="0" xfId="8" applyNumberFormat="1" applyFont="1" applyFill="1" applyBorder="1"/>
    <xf numFmtId="169" fontId="24" fillId="0" borderId="0" xfId="21" applyNumberFormat="1" applyFont="1" applyFill="1" applyBorder="1"/>
    <xf numFmtId="44" fontId="24" fillId="0" borderId="0" xfId="386" applyNumberFormat="1" applyFont="1"/>
    <xf numFmtId="0" fontId="255" fillId="0" borderId="0" xfId="386" applyFont="1" applyAlignment="1">
      <alignment horizontal="right"/>
    </xf>
    <xf numFmtId="169" fontId="24" fillId="0" borderId="0" xfId="9" applyNumberFormat="1" applyFont="1" applyFill="1" applyBorder="1"/>
    <xf numFmtId="0" fontId="252" fillId="0" borderId="0" xfId="386" applyFont="1" applyAlignment="1">
      <alignment horizontal="left"/>
    </xf>
    <xf numFmtId="0" fontId="61" fillId="0" borderId="0" xfId="205" applyFont="1"/>
    <xf numFmtId="169" fontId="61" fillId="0" borderId="0" xfId="21" applyNumberFormat="1" applyFont="1" applyBorder="1" applyProtection="1"/>
    <xf numFmtId="168" fontId="249" fillId="0" borderId="0" xfId="9" applyNumberFormat="1" applyFont="1" applyProtection="1"/>
    <xf numFmtId="169" fontId="244" fillId="0" borderId="0" xfId="21" applyNumberFormat="1" applyFont="1" applyBorder="1" applyProtection="1"/>
    <xf numFmtId="10" fontId="244" fillId="0" borderId="0" xfId="21" applyNumberFormat="1" applyFont="1" applyBorder="1" applyProtection="1"/>
    <xf numFmtId="168" fontId="24" fillId="0" borderId="0" xfId="1" applyNumberFormat="1" applyFont="1" applyBorder="1" applyProtection="1"/>
    <xf numFmtId="169" fontId="11" fillId="0" borderId="0" xfId="21" applyNumberFormat="1" applyFont="1" applyBorder="1" applyProtection="1"/>
    <xf numFmtId="0" fontId="9" fillId="0" borderId="0" xfId="205" applyFont="1"/>
    <xf numFmtId="0" fontId="9" fillId="0" borderId="0" xfId="386"/>
    <xf numFmtId="0" fontId="251" fillId="0" borderId="316" xfId="386" applyFont="1" applyBorder="1" applyAlignment="1">
      <alignment horizontal="left"/>
    </xf>
    <xf numFmtId="168" fontId="250" fillId="0" borderId="316" xfId="9" quotePrefix="1" applyNumberFormat="1" applyFont="1" applyBorder="1" applyAlignment="1" applyProtection="1">
      <alignment horizontal="center"/>
    </xf>
    <xf numFmtId="0" fontId="251" fillId="0" borderId="277" xfId="386" applyFont="1" applyBorder="1" applyAlignment="1">
      <alignment horizontal="left"/>
    </xf>
    <xf numFmtId="168" fontId="11" fillId="0" borderId="277" xfId="9" applyNumberFormat="1" applyFont="1" applyBorder="1"/>
    <xf numFmtId="0" fontId="250" fillId="0" borderId="326" xfId="386" applyFont="1" applyBorder="1" applyAlignment="1">
      <alignment horizontal="left" indent="1"/>
    </xf>
    <xf numFmtId="0" fontId="251" fillId="0" borderId="317" xfId="386" applyFont="1" applyBorder="1" applyAlignment="1">
      <alignment horizontal="left"/>
    </xf>
    <xf numFmtId="168" fontId="251" fillId="0" borderId="277" xfId="9" quotePrefix="1" applyNumberFormat="1" applyFont="1" applyBorder="1" applyAlignment="1" applyProtection="1">
      <alignment horizontal="center"/>
    </xf>
    <xf numFmtId="0" fontId="251" fillId="0" borderId="326" xfId="386" applyFont="1" applyBorder="1" applyAlignment="1">
      <alignment horizontal="left"/>
    </xf>
    <xf numFmtId="0" fontId="250" fillId="0" borderId="327" xfId="386" applyFont="1" applyBorder="1" applyAlignment="1">
      <alignment horizontal="left"/>
    </xf>
    <xf numFmtId="0" fontId="250" fillId="0" borderId="326" xfId="386" applyFont="1" applyBorder="1" applyAlignment="1">
      <alignment horizontal="left"/>
    </xf>
    <xf numFmtId="0" fontId="24" fillId="0" borderId="326" xfId="386" applyFont="1" applyBorder="1" applyAlignment="1">
      <alignment horizontal="left" indent="1"/>
    </xf>
    <xf numFmtId="0" fontId="11" fillId="0" borderId="327" xfId="205" applyFont="1" applyBorder="1"/>
    <xf numFmtId="0" fontId="11" fillId="0" borderId="316" xfId="205" applyFont="1" applyBorder="1"/>
    <xf numFmtId="168" fontId="11" fillId="0" borderId="316" xfId="205" applyNumberFormat="1" applyFont="1" applyBorder="1"/>
    <xf numFmtId="0" fontId="249" fillId="0" borderId="326" xfId="386" applyFont="1" applyBorder="1" applyAlignment="1">
      <alignment horizontal="left"/>
    </xf>
    <xf numFmtId="0" fontId="24" fillId="0" borderId="326" xfId="205" applyFont="1" applyBorder="1"/>
    <xf numFmtId="0" fontId="24" fillId="0" borderId="9" xfId="205" applyFont="1" applyBorder="1" applyAlignment="1">
      <alignment horizontal="left" indent="1"/>
    </xf>
    <xf numFmtId="0" fontId="250" fillId="0" borderId="326" xfId="386" applyFont="1" applyBorder="1"/>
    <xf numFmtId="0" fontId="11" fillId="0" borderId="326" xfId="205" applyFont="1" applyBorder="1"/>
    <xf numFmtId="0" fontId="11" fillId="0" borderId="329" xfId="205" applyFont="1" applyBorder="1"/>
    <xf numFmtId="0" fontId="11" fillId="0" borderId="308" xfId="205" applyFont="1" applyBorder="1"/>
    <xf numFmtId="0" fontId="24" fillId="0" borderId="331" xfId="205" applyFont="1" applyBorder="1"/>
    <xf numFmtId="0" fontId="24" fillId="0" borderId="9" xfId="205" applyFont="1" applyBorder="1"/>
    <xf numFmtId="168" fontId="24" fillId="0" borderId="11" xfId="9" applyNumberFormat="1" applyFont="1" applyFill="1" applyBorder="1"/>
    <xf numFmtId="7" fontId="11" fillId="0" borderId="308" xfId="8" applyNumberFormat="1" applyFont="1" applyFill="1" applyBorder="1"/>
    <xf numFmtId="7" fontId="24" fillId="0" borderId="41" xfId="8" applyNumberFormat="1" applyFont="1" applyFill="1" applyBorder="1"/>
    <xf numFmtId="196" fontId="250" fillId="0" borderId="320" xfId="9" quotePrefix="1" applyNumberFormat="1" applyFont="1" applyBorder="1" applyAlignment="1" applyProtection="1">
      <alignment horizontal="right"/>
    </xf>
    <xf numFmtId="196" fontId="250" fillId="0" borderId="0" xfId="9" quotePrefix="1" applyNumberFormat="1" applyFont="1" applyBorder="1" applyAlignment="1" applyProtection="1">
      <alignment horizontal="right"/>
    </xf>
    <xf numFmtId="196" fontId="250" fillId="0" borderId="4" xfId="9" quotePrefix="1" applyNumberFormat="1" applyFont="1" applyBorder="1" applyAlignment="1" applyProtection="1">
      <alignment horizontal="right"/>
    </xf>
    <xf numFmtId="171" fontId="251" fillId="0" borderId="320" xfId="9" quotePrefix="1" applyNumberFormat="1" applyFont="1" applyBorder="1" applyAlignment="1" applyProtection="1">
      <alignment horizontal="right"/>
    </xf>
    <xf numFmtId="171" fontId="251" fillId="0" borderId="0" xfId="9" quotePrefix="1" applyNumberFormat="1" applyFont="1" applyBorder="1" applyAlignment="1" applyProtection="1">
      <alignment horizontal="right"/>
    </xf>
    <xf numFmtId="171" fontId="251" fillId="0" borderId="4" xfId="9" quotePrefix="1" applyNumberFormat="1" applyFont="1" applyBorder="1" applyAlignment="1" applyProtection="1">
      <alignment horizontal="right"/>
    </xf>
    <xf numFmtId="171" fontId="250" fillId="0" borderId="320" xfId="9" quotePrefix="1" applyNumberFormat="1" applyFont="1" applyBorder="1" applyAlignment="1" applyProtection="1">
      <alignment horizontal="right"/>
    </xf>
    <xf numFmtId="171" fontId="250" fillId="0" borderId="0" xfId="9" quotePrefix="1" applyNumberFormat="1" applyFont="1" applyBorder="1" applyAlignment="1" applyProtection="1">
      <alignment horizontal="right"/>
    </xf>
    <xf numFmtId="171" fontId="250" fillId="0" borderId="4" xfId="9" quotePrefix="1" applyNumberFormat="1" applyFont="1" applyBorder="1" applyAlignment="1" applyProtection="1">
      <alignment horizontal="right"/>
    </xf>
    <xf numFmtId="169" fontId="250" fillId="0" borderId="320" xfId="9" quotePrefix="1" applyNumberFormat="1" applyFont="1" applyBorder="1" applyAlignment="1" applyProtection="1">
      <alignment horizontal="right"/>
    </xf>
    <xf numFmtId="169" fontId="250" fillId="0" borderId="0" xfId="9" quotePrefix="1" applyNumberFormat="1" applyFont="1" applyBorder="1" applyAlignment="1" applyProtection="1">
      <alignment horizontal="right"/>
    </xf>
    <xf numFmtId="169" fontId="250" fillId="0" borderId="4" xfId="9" quotePrefix="1" applyNumberFormat="1" applyFont="1" applyBorder="1" applyAlignment="1" applyProtection="1">
      <alignment horizontal="right"/>
    </xf>
    <xf numFmtId="171" fontId="11" fillId="0" borderId="320" xfId="9" applyNumberFormat="1" applyFont="1" applyBorder="1" applyAlignment="1">
      <alignment horizontal="right"/>
    </xf>
    <xf numFmtId="171" fontId="11" fillId="0" borderId="0" xfId="9" applyNumberFormat="1" applyFont="1" applyBorder="1" applyAlignment="1">
      <alignment horizontal="right"/>
    </xf>
    <xf numFmtId="171" fontId="11" fillId="0" borderId="4" xfId="9" applyNumberFormat="1" applyFont="1" applyBorder="1" applyAlignment="1">
      <alignment horizontal="right"/>
    </xf>
    <xf numFmtId="196" fontId="251" fillId="0" borderId="0" xfId="1" applyNumberFormat="1" applyFont="1" applyBorder="1" applyAlignment="1" applyProtection="1">
      <alignment horizontal="right"/>
    </xf>
    <xf numFmtId="169" fontId="250" fillId="0" borderId="320" xfId="21" applyNumberFormat="1" applyFont="1" applyBorder="1" applyAlignment="1" applyProtection="1">
      <alignment horizontal="right"/>
    </xf>
    <xf numFmtId="169" fontId="250" fillId="0" borderId="0" xfId="21" applyNumberFormat="1" applyFont="1" applyBorder="1" applyAlignment="1" applyProtection="1">
      <alignment horizontal="right"/>
    </xf>
    <xf numFmtId="169" fontId="250" fillId="0" borderId="4" xfId="21" applyNumberFormat="1" applyFont="1" applyBorder="1" applyAlignment="1" applyProtection="1">
      <alignment horizontal="right"/>
    </xf>
    <xf numFmtId="171" fontId="24" fillId="0" borderId="320" xfId="9" applyNumberFormat="1" applyFont="1" applyBorder="1" applyAlignment="1" applyProtection="1">
      <alignment horizontal="right"/>
    </xf>
    <xf numFmtId="171" fontId="24" fillId="0" borderId="0" xfId="9" applyNumberFormat="1" applyFont="1" applyBorder="1" applyAlignment="1" applyProtection="1">
      <alignment horizontal="right"/>
    </xf>
    <xf numFmtId="171" fontId="24" fillId="0" borderId="4" xfId="9" applyNumberFormat="1" applyFont="1" applyBorder="1" applyAlignment="1" applyProtection="1">
      <alignment horizontal="right"/>
    </xf>
    <xf numFmtId="171" fontId="11" fillId="0" borderId="320" xfId="9" applyNumberFormat="1" applyFont="1" applyBorder="1" applyAlignment="1" applyProtection="1">
      <alignment horizontal="right"/>
    </xf>
    <xf numFmtId="171" fontId="11" fillId="0" borderId="0" xfId="9" applyNumberFormat="1" applyFont="1" applyBorder="1" applyAlignment="1" applyProtection="1">
      <alignment horizontal="right"/>
    </xf>
    <xf numFmtId="171" fontId="11" fillId="0" borderId="4" xfId="9" applyNumberFormat="1" applyFont="1" applyBorder="1" applyAlignment="1" applyProtection="1">
      <alignment horizontal="right"/>
    </xf>
    <xf numFmtId="196" fontId="2" fillId="0" borderId="320" xfId="1" applyNumberFormat="1" applyFont="1" applyBorder="1" applyAlignment="1" applyProtection="1">
      <alignment horizontal="right"/>
    </xf>
    <xf numFmtId="196" fontId="2" fillId="0" borderId="0" xfId="1" applyNumberFormat="1" applyFont="1" applyBorder="1" applyAlignment="1" applyProtection="1">
      <alignment horizontal="right"/>
    </xf>
    <xf numFmtId="196" fontId="2" fillId="0" borderId="4" xfId="1" applyNumberFormat="1" applyFont="1" applyBorder="1" applyAlignment="1" applyProtection="1">
      <alignment horizontal="right"/>
    </xf>
    <xf numFmtId="169" fontId="2" fillId="0" borderId="320" xfId="1" applyNumberFormat="1" applyFont="1" applyBorder="1" applyAlignment="1" applyProtection="1">
      <alignment horizontal="right"/>
    </xf>
    <xf numFmtId="169" fontId="2" fillId="0" borderId="0" xfId="1" applyNumberFormat="1" applyFont="1" applyBorder="1" applyAlignment="1" applyProtection="1">
      <alignment horizontal="right"/>
    </xf>
    <xf numFmtId="169" fontId="2" fillId="0" borderId="4" xfId="1" applyNumberFormat="1" applyFont="1" applyBorder="1" applyAlignment="1" applyProtection="1">
      <alignment horizontal="right"/>
    </xf>
    <xf numFmtId="169" fontId="11" fillId="0" borderId="320" xfId="1" applyNumberFormat="1" applyFont="1" applyBorder="1" applyAlignment="1" applyProtection="1">
      <alignment horizontal="right"/>
    </xf>
    <xf numFmtId="169" fontId="11" fillId="0" borderId="0" xfId="1" applyNumberFormat="1" applyFont="1" applyBorder="1" applyAlignment="1" applyProtection="1">
      <alignment horizontal="right"/>
    </xf>
    <xf numFmtId="169" fontId="11" fillId="0" borderId="4" xfId="1" applyNumberFormat="1" applyFont="1" applyBorder="1" applyAlignment="1" applyProtection="1">
      <alignment horizontal="right"/>
    </xf>
    <xf numFmtId="171" fontId="256" fillId="0" borderId="320" xfId="21" applyNumberFormat="1" applyFont="1" applyBorder="1" applyAlignment="1" applyProtection="1">
      <alignment horizontal="right"/>
    </xf>
    <xf numFmtId="171" fontId="256" fillId="0" borderId="0" xfId="21" applyNumberFormat="1" applyFont="1" applyBorder="1" applyAlignment="1" applyProtection="1">
      <alignment horizontal="right"/>
    </xf>
    <xf numFmtId="171" fontId="256" fillId="0" borderId="4" xfId="21" applyNumberFormat="1" applyFont="1" applyBorder="1" applyAlignment="1" applyProtection="1">
      <alignment horizontal="right"/>
    </xf>
    <xf numFmtId="171" fontId="24" fillId="0" borderId="320" xfId="205" applyNumberFormat="1" applyFont="1" applyBorder="1" applyAlignment="1">
      <alignment horizontal="right"/>
    </xf>
    <xf numFmtId="171" fontId="24" fillId="0" borderId="0" xfId="205" applyNumberFormat="1" applyFont="1" applyAlignment="1">
      <alignment horizontal="right"/>
    </xf>
    <xf numFmtId="171" fontId="24" fillId="0" borderId="4" xfId="205" applyNumberFormat="1" applyFont="1" applyBorder="1" applyAlignment="1">
      <alignment horizontal="right"/>
    </xf>
    <xf numFmtId="171" fontId="11" fillId="0" borderId="320" xfId="1" applyNumberFormat="1" applyFont="1" applyBorder="1" applyAlignment="1" applyProtection="1">
      <alignment horizontal="right"/>
    </xf>
    <xf numFmtId="171" fontId="11" fillId="0" borderId="0" xfId="1" applyNumberFormat="1" applyFont="1" applyBorder="1" applyAlignment="1" applyProtection="1">
      <alignment horizontal="right"/>
    </xf>
    <xf numFmtId="171" fontId="11" fillId="0" borderId="4" xfId="1" applyNumberFormat="1" applyFont="1" applyBorder="1" applyAlignment="1" applyProtection="1">
      <alignment horizontal="right"/>
    </xf>
    <xf numFmtId="169" fontId="24" fillId="0" borderId="320" xfId="1" applyNumberFormat="1" applyFont="1" applyBorder="1" applyAlignment="1" applyProtection="1">
      <alignment horizontal="right"/>
    </xf>
    <xf numFmtId="169" fontId="24" fillId="0" borderId="0" xfId="1" applyNumberFormat="1" applyFont="1" applyBorder="1" applyAlignment="1" applyProtection="1">
      <alignment horizontal="right"/>
    </xf>
    <xf numFmtId="169" fontId="24" fillId="0" borderId="4" xfId="1" applyNumberFormat="1" applyFont="1" applyBorder="1" applyAlignment="1" applyProtection="1">
      <alignment horizontal="right"/>
    </xf>
    <xf numFmtId="7" fontId="24" fillId="0" borderId="320" xfId="386" applyNumberFormat="1" applyFont="1" applyBorder="1" applyAlignment="1">
      <alignment horizontal="right"/>
    </xf>
    <xf numFmtId="7" fontId="24" fillId="0" borderId="0" xfId="386" applyNumberFormat="1" applyFont="1" applyAlignment="1">
      <alignment horizontal="right"/>
    </xf>
    <xf numFmtId="7" fontId="24" fillId="0" borderId="4" xfId="386" applyNumberFormat="1" applyFont="1" applyBorder="1" applyAlignment="1">
      <alignment horizontal="right"/>
    </xf>
    <xf numFmtId="171" fontId="24" fillId="0" borderId="320" xfId="386" applyNumberFormat="1" applyFont="1" applyBorder="1" applyAlignment="1">
      <alignment horizontal="right"/>
    </xf>
    <xf numFmtId="171" fontId="24" fillId="0" borderId="0" xfId="386" applyNumberFormat="1" applyFont="1" applyAlignment="1">
      <alignment horizontal="right"/>
    </xf>
    <xf numFmtId="171" fontId="24" fillId="0" borderId="4" xfId="386" applyNumberFormat="1" applyFont="1" applyBorder="1" applyAlignment="1">
      <alignment horizontal="right"/>
    </xf>
    <xf numFmtId="171" fontId="11" fillId="0" borderId="320" xfId="205" applyNumberFormat="1" applyFont="1" applyBorder="1" applyAlignment="1">
      <alignment horizontal="right"/>
    </xf>
    <xf numFmtId="171" fontId="11" fillId="0" borderId="0" xfId="205" applyNumberFormat="1" applyFont="1" applyAlignment="1">
      <alignment horizontal="right"/>
    </xf>
    <xf numFmtId="171" fontId="11" fillId="0" borderId="4" xfId="205" applyNumberFormat="1" applyFont="1" applyBorder="1" applyAlignment="1">
      <alignment horizontal="right"/>
    </xf>
    <xf numFmtId="43" fontId="250" fillId="0" borderId="320" xfId="386" applyNumberFormat="1" applyFont="1" applyBorder="1" applyAlignment="1">
      <alignment horizontal="right"/>
    </xf>
    <xf numFmtId="43" fontId="250" fillId="0" borderId="0" xfId="386" applyNumberFormat="1" applyFont="1" applyAlignment="1">
      <alignment horizontal="right"/>
    </xf>
    <xf numFmtId="43" fontId="250" fillId="0" borderId="4" xfId="386" applyNumberFormat="1" applyFont="1" applyBorder="1" applyAlignment="1">
      <alignment horizontal="right"/>
    </xf>
    <xf numFmtId="169" fontId="250" fillId="0" borderId="328" xfId="1" applyNumberFormat="1" applyFont="1" applyBorder="1" applyAlignment="1" applyProtection="1">
      <alignment horizontal="right"/>
    </xf>
    <xf numFmtId="169" fontId="253" fillId="0" borderId="0" xfId="21" applyNumberFormat="1" applyFont="1" applyBorder="1" applyAlignment="1" applyProtection="1">
      <alignment horizontal="right"/>
    </xf>
    <xf numFmtId="169" fontId="5" fillId="0" borderId="320" xfId="21" applyNumberFormat="1" applyFont="1" applyBorder="1" applyAlignment="1" applyProtection="1">
      <alignment horizontal="right"/>
    </xf>
    <xf numFmtId="169" fontId="5" fillId="0" borderId="0" xfId="21" applyNumberFormat="1" applyFont="1" applyBorder="1" applyAlignment="1" applyProtection="1">
      <alignment horizontal="right"/>
    </xf>
    <xf numFmtId="169" fontId="5" fillId="0" borderId="4" xfId="21" applyNumberFormat="1" applyFont="1" applyBorder="1" applyAlignment="1" applyProtection="1">
      <alignment horizontal="right"/>
    </xf>
    <xf numFmtId="169" fontId="6" fillId="0" borderId="0" xfId="21" applyNumberFormat="1" applyFont="1" applyBorder="1" applyAlignment="1" applyProtection="1">
      <alignment horizontal="right"/>
    </xf>
    <xf numFmtId="168" fontId="68" fillId="0" borderId="0" xfId="0" applyNumberFormat="1" applyFont="1"/>
    <xf numFmtId="0" fontId="2" fillId="0" borderId="309" xfId="1665" applyBorder="1" applyAlignment="1">
      <alignment horizontal="right"/>
    </xf>
    <xf numFmtId="0" fontId="3" fillId="0" borderId="12" xfId="1665" applyFont="1" applyBorder="1" applyAlignment="1">
      <alignment horizontal="right"/>
    </xf>
    <xf numFmtId="0" fontId="6" fillId="2" borderId="12" xfId="0" applyFont="1" applyFill="1" applyBorder="1" applyAlignment="1">
      <alignment horizontal="right"/>
    </xf>
    <xf numFmtId="0" fontId="6" fillId="2" borderId="20" xfId="0" applyFont="1" applyFill="1" applyBorder="1" applyAlignment="1">
      <alignment horizontal="right"/>
    </xf>
    <xf numFmtId="169" fontId="6" fillId="2" borderId="12" xfId="0" applyNumberFormat="1" applyFont="1" applyFill="1" applyBorder="1" applyAlignment="1">
      <alignment horizontal="right"/>
    </xf>
    <xf numFmtId="169" fontId="6" fillId="2" borderId="20" xfId="0" applyNumberFormat="1" applyFont="1" applyFill="1" applyBorder="1" applyAlignment="1">
      <alignment horizontal="right"/>
    </xf>
    <xf numFmtId="267" fontId="24" fillId="82" borderId="10" xfId="386" applyNumberFormat="1" applyFont="1" applyFill="1" applyBorder="1" applyAlignment="1">
      <alignment horizontal="right"/>
    </xf>
    <xf numFmtId="267" fontId="61" fillId="82" borderId="10" xfId="9" applyNumberFormat="1" applyFont="1" applyFill="1" applyBorder="1" applyAlignment="1">
      <alignment horizontal="right"/>
    </xf>
    <xf numFmtId="0" fontId="258" fillId="53" borderId="0" xfId="0" applyFont="1" applyFill="1"/>
    <xf numFmtId="0" fontId="258" fillId="0" borderId="0" xfId="0" applyFont="1"/>
    <xf numFmtId="0" fontId="259" fillId="80" borderId="317" xfId="0" applyFont="1" applyFill="1" applyBorder="1"/>
    <xf numFmtId="0" fontId="258" fillId="80" borderId="304" xfId="0" applyFont="1" applyFill="1" applyBorder="1"/>
    <xf numFmtId="0" fontId="258" fillId="80" borderId="325" xfId="0" applyFont="1" applyFill="1" applyBorder="1"/>
    <xf numFmtId="0" fontId="258" fillId="53" borderId="326" xfId="0" applyFont="1" applyFill="1" applyBorder="1"/>
    <xf numFmtId="0" fontId="258" fillId="53" borderId="4" xfId="0" applyFont="1" applyFill="1" applyBorder="1"/>
    <xf numFmtId="0" fontId="259" fillId="53" borderId="326" xfId="0" applyFont="1" applyFill="1" applyBorder="1"/>
    <xf numFmtId="7" fontId="261" fillId="53" borderId="4" xfId="0" applyNumberFormat="1" applyFont="1" applyFill="1" applyBorder="1"/>
    <xf numFmtId="0" fontId="262" fillId="82" borderId="326" xfId="0" applyFont="1" applyFill="1" applyBorder="1"/>
    <xf numFmtId="268" fontId="262" fillId="82" borderId="0" xfId="0" applyNumberFormat="1" applyFont="1" applyFill="1" applyAlignment="1">
      <alignment horizontal="center"/>
    </xf>
    <xf numFmtId="269" fontId="262" fillId="82" borderId="0" xfId="0" applyNumberFormat="1" applyFont="1" applyFill="1" applyAlignment="1">
      <alignment horizontal="center"/>
    </xf>
    <xf numFmtId="0" fontId="262" fillId="82" borderId="0" xfId="0" applyFont="1" applyFill="1"/>
    <xf numFmtId="0" fontId="262" fillId="82" borderId="4" xfId="0" applyFont="1" applyFill="1" applyBorder="1" applyAlignment="1">
      <alignment horizontal="center"/>
    </xf>
    <xf numFmtId="37" fontId="263" fillId="83" borderId="4" xfId="0" applyNumberFormat="1" applyFont="1" applyFill="1" applyBorder="1"/>
    <xf numFmtId="204" fontId="258" fillId="53" borderId="0" xfId="0" applyNumberFormat="1" applyFont="1" applyFill="1"/>
    <xf numFmtId="5" fontId="258" fillId="53" borderId="0" xfId="0" applyNumberFormat="1" applyFont="1" applyFill="1"/>
    <xf numFmtId="0" fontId="263" fillId="84" borderId="326" xfId="0" applyFont="1" applyFill="1" applyBorder="1"/>
    <xf numFmtId="270" fontId="261" fillId="53" borderId="4" xfId="0" applyNumberFormat="1" applyFont="1" applyFill="1" applyBorder="1" applyAlignment="1">
      <alignment horizontal="right"/>
    </xf>
    <xf numFmtId="7" fontId="258" fillId="53" borderId="4" xfId="0" applyNumberFormat="1" applyFont="1" applyFill="1" applyBorder="1"/>
    <xf numFmtId="0" fontId="258" fillId="53" borderId="9" xfId="0" applyFont="1" applyFill="1" applyBorder="1"/>
    <xf numFmtId="169" fontId="258" fillId="53" borderId="10" xfId="0" applyNumberFormat="1" applyFont="1" applyFill="1" applyBorder="1"/>
    <xf numFmtId="0" fontId="258" fillId="53" borderId="0" xfId="0" applyFont="1" applyFill="1" applyAlignment="1">
      <alignment vertical="top"/>
    </xf>
    <xf numFmtId="0" fontId="258" fillId="53" borderId="326" xfId="0" applyFont="1" applyFill="1" applyBorder="1" applyAlignment="1">
      <alignment vertical="top"/>
    </xf>
    <xf numFmtId="7" fontId="258" fillId="53" borderId="0" xfId="0" applyNumberFormat="1" applyFont="1" applyFill="1" applyAlignment="1">
      <alignment vertical="top"/>
    </xf>
    <xf numFmtId="0" fontId="258" fillId="53" borderId="4" xfId="0" applyFont="1" applyFill="1" applyBorder="1" applyAlignment="1">
      <alignment vertical="top"/>
    </xf>
    <xf numFmtId="0" fontId="258" fillId="0" borderId="0" xfId="0" applyFont="1" applyAlignment="1">
      <alignment vertical="top"/>
    </xf>
    <xf numFmtId="204" fontId="258" fillId="53" borderId="0" xfId="0" applyNumberFormat="1" applyFont="1" applyFill="1" applyAlignment="1">
      <alignment vertical="top"/>
    </xf>
    <xf numFmtId="0" fontId="262" fillId="82" borderId="4" xfId="0" applyFont="1" applyFill="1" applyBorder="1"/>
    <xf numFmtId="0" fontId="258" fillId="53" borderId="327" xfId="0" applyFont="1" applyFill="1" applyBorder="1"/>
    <xf numFmtId="270" fontId="263" fillId="53" borderId="328" xfId="0" applyNumberFormat="1" applyFont="1" applyFill="1" applyBorder="1"/>
    <xf numFmtId="270" fontId="258" fillId="53" borderId="0" xfId="0" applyNumberFormat="1" applyFont="1" applyFill="1" applyAlignment="1">
      <alignment horizontal="right"/>
    </xf>
    <xf numFmtId="270" fontId="264" fillId="53" borderId="4" xfId="0" applyNumberFormat="1" applyFont="1" applyFill="1" applyBorder="1" applyAlignment="1">
      <alignment horizontal="right"/>
    </xf>
    <xf numFmtId="270" fontId="263" fillId="53" borderId="4" xfId="0" applyNumberFormat="1" applyFont="1" applyFill="1" applyBorder="1"/>
    <xf numFmtId="270" fontId="258" fillId="53" borderId="4" xfId="0" applyNumberFormat="1" applyFont="1" applyFill="1" applyBorder="1" applyAlignment="1">
      <alignment horizontal="right"/>
    </xf>
    <xf numFmtId="270" fontId="263" fillId="53" borderId="10" xfId="0" applyNumberFormat="1" applyFont="1" applyFill="1" applyBorder="1"/>
    <xf numFmtId="270" fontId="258" fillId="53" borderId="0" xfId="0" applyNumberFormat="1" applyFont="1" applyFill="1" applyAlignment="1">
      <alignment horizontal="right" vertical="top"/>
    </xf>
    <xf numFmtId="270" fontId="258" fillId="53" borderId="4" xfId="0" applyNumberFormat="1" applyFont="1" applyFill="1" applyBorder="1" applyAlignment="1">
      <alignment horizontal="right" vertical="top"/>
    </xf>
    <xf numFmtId="5" fontId="258" fillId="53" borderId="4" xfId="0" applyNumberFormat="1" applyFont="1" applyFill="1" applyBorder="1"/>
    <xf numFmtId="5" fontId="265" fillId="53" borderId="4" xfId="0" applyNumberFormat="1" applyFont="1" applyFill="1" applyBorder="1"/>
    <xf numFmtId="5" fontId="261" fillId="53" borderId="4" xfId="0" applyNumberFormat="1" applyFont="1" applyFill="1" applyBorder="1"/>
    <xf numFmtId="5" fontId="261" fillId="53" borderId="0" xfId="0" applyNumberFormat="1" applyFont="1" applyFill="1"/>
    <xf numFmtId="204" fontId="261" fillId="53" borderId="0" xfId="0" applyNumberFormat="1" applyFont="1" applyFill="1"/>
    <xf numFmtId="0" fontId="261" fillId="53" borderId="0" xfId="0" applyFont="1" applyFill="1"/>
    <xf numFmtId="37" fontId="258" fillId="53" borderId="4" xfId="0" applyNumberFormat="1" applyFont="1" applyFill="1" applyBorder="1"/>
    <xf numFmtId="196" fontId="258" fillId="53" borderId="0" xfId="0" applyNumberFormat="1" applyFont="1" applyFill="1"/>
    <xf numFmtId="37" fontId="258" fillId="53" borderId="0" xfId="0" applyNumberFormat="1" applyFont="1" applyFill="1"/>
    <xf numFmtId="5" fontId="265" fillId="83" borderId="4" xfId="0" applyNumberFormat="1" applyFont="1" applyFill="1" applyBorder="1"/>
    <xf numFmtId="5" fontId="258" fillId="53" borderId="10" xfId="0" applyNumberFormat="1" applyFont="1" applyFill="1" applyBorder="1"/>
    <xf numFmtId="5" fontId="258" fillId="53" borderId="0" xfId="0" applyNumberFormat="1" applyFont="1" applyFill="1" applyAlignment="1">
      <alignment vertical="top"/>
    </xf>
    <xf numFmtId="5" fontId="258" fillId="53" borderId="4" xfId="0" applyNumberFormat="1" applyFont="1" applyFill="1" applyBorder="1" applyAlignment="1">
      <alignment vertical="top"/>
    </xf>
    <xf numFmtId="0" fontId="262" fillId="82" borderId="333" xfId="0" applyFont="1" applyFill="1" applyBorder="1"/>
    <xf numFmtId="5" fontId="262" fillId="82" borderId="318" xfId="0" applyNumberFormat="1" applyFont="1" applyFill="1" applyBorder="1"/>
    <xf numFmtId="5" fontId="262" fillId="82" borderId="319" xfId="0" applyNumberFormat="1" applyFont="1" applyFill="1" applyBorder="1"/>
    <xf numFmtId="270" fontId="258" fillId="53" borderId="0" xfId="0" applyNumberFormat="1" applyFont="1" applyFill="1"/>
    <xf numFmtId="0" fontId="22" fillId="80" borderId="0" xfId="0" applyFont="1" applyFill="1"/>
    <xf numFmtId="0" fontId="71" fillId="80" borderId="0" xfId="0" applyFont="1" applyFill="1"/>
    <xf numFmtId="0" fontId="22" fillId="53" borderId="0" xfId="0" applyFont="1" applyFill="1" applyAlignment="1">
      <alignment horizontal="center"/>
    </xf>
    <xf numFmtId="0" fontId="22" fillId="80" borderId="327" xfId="0" applyFont="1" applyFill="1" applyBorder="1" applyAlignment="1">
      <alignment vertical="center" textRotation="90"/>
    </xf>
    <xf numFmtId="8" fontId="266" fillId="82" borderId="327" xfId="0" applyNumberFormat="1" applyFont="1" applyFill="1" applyBorder="1"/>
    <xf numFmtId="169" fontId="267" fillId="82" borderId="316" xfId="0" applyNumberFormat="1" applyFont="1" applyFill="1" applyBorder="1" applyAlignment="1">
      <alignment horizontal="center"/>
    </xf>
    <xf numFmtId="169" fontId="11" fillId="82" borderId="316" xfId="0" applyNumberFormat="1" applyFont="1" applyFill="1" applyBorder="1" applyAlignment="1">
      <alignment horizontal="center"/>
    </xf>
    <xf numFmtId="169" fontId="11" fillId="82" borderId="328" xfId="0" applyNumberFormat="1" applyFont="1" applyFill="1" applyBorder="1" applyAlignment="1">
      <alignment horizontal="center"/>
    </xf>
    <xf numFmtId="270" fontId="267" fillId="82" borderId="326" xfId="0" applyNumberFormat="1" applyFont="1" applyFill="1" applyBorder="1" applyAlignment="1">
      <alignment horizontal="center"/>
    </xf>
    <xf numFmtId="265" fontId="22" fillId="53" borderId="327" xfId="0" applyNumberFormat="1" applyFont="1" applyFill="1" applyBorder="1" applyAlignment="1">
      <alignment horizontal="center"/>
    </xf>
    <xf numFmtId="265" fontId="22" fillId="53" borderId="316" xfId="0" applyNumberFormat="1" applyFont="1" applyFill="1" applyBorder="1" applyAlignment="1">
      <alignment horizontal="center"/>
    </xf>
    <xf numFmtId="265" fontId="22" fillId="53" borderId="328" xfId="0" applyNumberFormat="1" applyFont="1" applyFill="1" applyBorder="1" applyAlignment="1">
      <alignment horizontal="center"/>
    </xf>
    <xf numFmtId="270" fontId="11" fillId="82" borderId="326" xfId="0" applyNumberFormat="1" applyFont="1" applyFill="1" applyBorder="1" applyAlignment="1">
      <alignment horizontal="center"/>
    </xf>
    <xf numFmtId="265" fontId="22" fillId="53" borderId="326" xfId="0" applyNumberFormat="1" applyFont="1" applyFill="1" applyBorder="1" applyAlignment="1">
      <alignment horizontal="center"/>
    </xf>
    <xf numFmtId="265" fontId="22" fillId="53" borderId="0" xfId="0" applyNumberFormat="1" applyFont="1" applyFill="1" applyAlignment="1">
      <alignment horizontal="center"/>
    </xf>
    <xf numFmtId="265" fontId="22" fillId="53" borderId="4" xfId="0" applyNumberFormat="1" applyFont="1" applyFill="1" applyBorder="1" applyAlignment="1">
      <alignment horizontal="center"/>
    </xf>
    <xf numFmtId="0" fontId="71" fillId="53" borderId="0" xfId="0" applyFont="1" applyFill="1"/>
    <xf numFmtId="271" fontId="22" fillId="53" borderId="0" xfId="0" applyNumberFormat="1" applyFont="1" applyFill="1"/>
    <xf numFmtId="270" fontId="268" fillId="53" borderId="0" xfId="0" applyNumberFormat="1" applyFont="1" applyFill="1" applyAlignment="1">
      <alignment horizontal="right"/>
    </xf>
    <xf numFmtId="169" fontId="22" fillId="53" borderId="0" xfId="0" applyNumberFormat="1" applyFont="1" applyFill="1" applyAlignment="1">
      <alignment horizontal="center"/>
    </xf>
    <xf numFmtId="270" fontId="11" fillId="82" borderId="9" xfId="0" applyNumberFormat="1" applyFont="1" applyFill="1" applyBorder="1" applyAlignment="1">
      <alignment horizontal="center"/>
    </xf>
    <xf numFmtId="265" fontId="22" fillId="53" borderId="9" xfId="0" applyNumberFormat="1" applyFont="1" applyFill="1" applyBorder="1" applyAlignment="1">
      <alignment horizontal="center"/>
    </xf>
    <xf numFmtId="265" fontId="22" fillId="53" borderId="11" xfId="0" applyNumberFormat="1" applyFont="1" applyFill="1" applyBorder="1" applyAlignment="1">
      <alignment horizontal="center"/>
    </xf>
    <xf numFmtId="265" fontId="22" fillId="53" borderId="10" xfId="0" applyNumberFormat="1" applyFont="1" applyFill="1" applyBorder="1" applyAlignment="1">
      <alignment horizontal="center"/>
    </xf>
    <xf numFmtId="271" fontId="268" fillId="53" borderId="0" xfId="0" applyNumberFormat="1" applyFont="1" applyFill="1"/>
    <xf numFmtId="0" fontId="22" fillId="80" borderId="327" xfId="0" applyFont="1" applyFill="1" applyBorder="1"/>
    <xf numFmtId="0" fontId="3" fillId="82" borderId="327" xfId="0" applyFont="1" applyFill="1" applyBorder="1"/>
    <xf numFmtId="169" fontId="11" fillId="82" borderId="304" xfId="0" applyNumberFormat="1" applyFont="1" applyFill="1" applyBorder="1" applyAlignment="1">
      <alignment horizontal="center"/>
    </xf>
    <xf numFmtId="169" fontId="11" fillId="82" borderId="325" xfId="0" applyNumberFormat="1" applyFont="1" applyFill="1" applyBorder="1" applyAlignment="1">
      <alignment horizontal="center"/>
    </xf>
    <xf numFmtId="270" fontId="11" fillId="82" borderId="320" xfId="0" applyNumberFormat="1" applyFont="1" applyFill="1" applyBorder="1" applyAlignment="1">
      <alignment horizontal="center"/>
    </xf>
    <xf numFmtId="9" fontId="22" fillId="53" borderId="0" xfId="0" applyNumberFormat="1" applyFont="1" applyFill="1" applyAlignment="1">
      <alignment horizontal="center"/>
    </xf>
    <xf numFmtId="9" fontId="22" fillId="53" borderId="4" xfId="0" applyNumberFormat="1" applyFont="1" applyFill="1" applyBorder="1" applyAlignment="1">
      <alignment horizontal="center"/>
    </xf>
    <xf numFmtId="8" fontId="68" fillId="53" borderId="0" xfId="0" applyNumberFormat="1" applyFont="1" applyFill="1"/>
    <xf numFmtId="210" fontId="22" fillId="53" borderId="0" xfId="0" applyNumberFormat="1" applyFont="1" applyFill="1" applyAlignment="1">
      <alignment horizontal="right" vertical="center"/>
    </xf>
    <xf numFmtId="270" fontId="22" fillId="53" borderId="0" xfId="0" applyNumberFormat="1" applyFont="1" applyFill="1" applyAlignment="1">
      <alignment horizontal="right"/>
    </xf>
    <xf numFmtId="270" fontId="11" fillId="82" borderId="8" xfId="0" applyNumberFormat="1" applyFont="1" applyFill="1" applyBorder="1" applyAlignment="1">
      <alignment horizontal="center"/>
    </xf>
    <xf numFmtId="9" fontId="22" fillId="53" borderId="11" xfId="0" applyNumberFormat="1" applyFont="1" applyFill="1" applyBorder="1" applyAlignment="1">
      <alignment horizontal="center"/>
    </xf>
    <xf numFmtId="9" fontId="22" fillId="53" borderId="10" xfId="0" applyNumberFormat="1" applyFont="1" applyFill="1" applyBorder="1" applyAlignment="1">
      <alignment horizontal="center"/>
    </xf>
    <xf numFmtId="0" fontId="22" fillId="53" borderId="0" xfId="0" applyFont="1" applyFill="1" applyAlignment="1">
      <alignment horizontal="right"/>
    </xf>
    <xf numFmtId="0" fontId="71" fillId="80" borderId="0" xfId="0" applyFont="1" applyFill="1" applyAlignment="1">
      <alignment horizontal="right"/>
    </xf>
    <xf numFmtId="9" fontId="22" fillId="53" borderId="0" xfId="0" applyNumberFormat="1" applyFont="1" applyFill="1"/>
    <xf numFmtId="38" fontId="22" fillId="53" borderId="0" xfId="0" applyNumberFormat="1" applyFont="1" applyFill="1"/>
    <xf numFmtId="169" fontId="268" fillId="53" borderId="0" xfId="0" applyNumberFormat="1" applyFont="1" applyFill="1"/>
    <xf numFmtId="38" fontId="269" fillId="53" borderId="0" xfId="0" applyNumberFormat="1" applyFont="1" applyFill="1"/>
    <xf numFmtId="0" fontId="233" fillId="53" borderId="0" xfId="0" applyFont="1" applyFill="1"/>
    <xf numFmtId="0" fontId="260" fillId="80" borderId="325" xfId="0" applyFont="1" applyFill="1" applyBorder="1" applyAlignment="1">
      <alignment horizontal="right"/>
    </xf>
    <xf numFmtId="43" fontId="258" fillId="53" borderId="0" xfId="0" applyNumberFormat="1" applyFont="1" applyFill="1" applyAlignment="1">
      <alignment vertical="top"/>
    </xf>
    <xf numFmtId="38" fontId="270" fillId="53" borderId="0" xfId="0" applyNumberFormat="1" applyFont="1" applyFill="1"/>
    <xf numFmtId="0" fontId="233" fillId="53" borderId="0" xfId="0" applyFont="1" applyFill="1" applyAlignment="1">
      <alignment horizontal="left" indent="1"/>
    </xf>
    <xf numFmtId="9" fontId="271" fillId="53" borderId="0" xfId="0" applyNumberFormat="1" applyFont="1" applyFill="1"/>
    <xf numFmtId="6" fontId="68" fillId="53" borderId="0" xfId="0" applyNumberFormat="1" applyFont="1" applyFill="1"/>
    <xf numFmtId="8" fontId="270" fillId="53" borderId="0" xfId="0" applyNumberFormat="1" applyFont="1" applyFill="1"/>
    <xf numFmtId="169" fontId="272" fillId="0" borderId="0" xfId="3" applyNumberFormat="1" applyFont="1" applyBorder="1"/>
    <xf numFmtId="8" fontId="22" fillId="0" borderId="18" xfId="1" applyNumberFormat="1" applyFont="1" applyBorder="1"/>
    <xf numFmtId="8" fontId="22" fillId="0" borderId="20" xfId="1" applyNumberFormat="1" applyFont="1" applyBorder="1"/>
    <xf numFmtId="0" fontId="71" fillId="53" borderId="0" xfId="2" applyNumberFormat="1" applyFont="1" applyFill="1" applyBorder="1" applyAlignment="1">
      <alignment horizontal="center"/>
    </xf>
    <xf numFmtId="43" fontId="1" fillId="53" borderId="0" xfId="1" applyFont="1" applyFill="1" applyBorder="1"/>
    <xf numFmtId="2" fontId="60" fillId="53" borderId="0" xfId="0" applyNumberFormat="1" applyFont="1" applyFill="1"/>
    <xf numFmtId="0" fontId="239" fillId="0" borderId="0" xfId="0" applyFont="1"/>
    <xf numFmtId="191" fontId="61" fillId="0" borderId="0" xfId="81" applyNumberFormat="1" applyFont="1" applyBorder="1"/>
    <xf numFmtId="191" fontId="61" fillId="0" borderId="12" xfId="27" applyNumberFormat="1" applyFont="1" applyBorder="1"/>
    <xf numFmtId="169" fontId="61" fillId="0" borderId="0" xfId="81" applyNumberFormat="1" applyFont="1" applyBorder="1"/>
    <xf numFmtId="169" fontId="61" fillId="0" borderId="0" xfId="27" applyNumberFormat="1" applyFont="1" applyBorder="1"/>
    <xf numFmtId="169" fontId="61" fillId="0" borderId="41" xfId="27" applyNumberFormat="1" applyFont="1" applyBorder="1"/>
    <xf numFmtId="169" fontId="61" fillId="0" borderId="41" xfId="81" applyNumberFormat="1" applyFont="1" applyBorder="1"/>
    <xf numFmtId="169" fontId="61" fillId="0" borderId="46" xfId="27" applyNumberFormat="1" applyFont="1" applyBorder="1"/>
    <xf numFmtId="169" fontId="61" fillId="0" borderId="16" xfId="27" applyNumberFormat="1" applyFont="1" applyBorder="1"/>
    <xf numFmtId="169" fontId="61" fillId="0" borderId="16" xfId="81" applyNumberFormat="1" applyFont="1" applyBorder="1"/>
    <xf numFmtId="169" fontId="61" fillId="0" borderId="46" xfId="81" applyNumberFormat="1" applyFont="1" applyBorder="1"/>
    <xf numFmtId="169" fontId="61" fillId="0" borderId="126" xfId="81" applyNumberFormat="1" applyFont="1" applyBorder="1"/>
    <xf numFmtId="169" fontId="61" fillId="0" borderId="127" xfId="81" applyNumberFormat="1" applyFont="1" applyBorder="1"/>
    <xf numFmtId="169" fontId="61" fillId="0" borderId="128" xfId="81" applyNumberFormat="1" applyFont="1" applyBorder="1"/>
    <xf numFmtId="169" fontId="61" fillId="0" borderId="17" xfId="27" applyNumberFormat="1" applyFont="1" applyBorder="1"/>
    <xf numFmtId="169" fontId="61" fillId="0" borderId="18" xfId="27" applyNumberFormat="1" applyFont="1" applyBorder="1"/>
    <xf numFmtId="169" fontId="61" fillId="0" borderId="19" xfId="27" applyNumberFormat="1" applyFont="1" applyBorder="1"/>
    <xf numFmtId="169" fontId="61" fillId="0" borderId="18" xfId="81" applyNumberFormat="1" applyFont="1" applyBorder="1"/>
    <xf numFmtId="169" fontId="61" fillId="0" borderId="19" xfId="81" applyNumberFormat="1" applyFont="1" applyBorder="1"/>
    <xf numFmtId="43" fontId="24" fillId="0" borderId="320" xfId="386" applyNumberFormat="1" applyFont="1" applyBorder="1" applyAlignment="1">
      <alignment horizontal="right"/>
    </xf>
    <xf numFmtId="43" fontId="24" fillId="0" borderId="0" xfId="386" applyNumberFormat="1" applyFont="1" applyAlignment="1">
      <alignment horizontal="right"/>
    </xf>
    <xf numFmtId="43" fontId="24" fillId="0" borderId="4" xfId="386" applyNumberFormat="1" applyFont="1" applyBorder="1" applyAlignment="1">
      <alignment horizontal="right"/>
    </xf>
    <xf numFmtId="0" fontId="24" fillId="0" borderId="320" xfId="386" applyFont="1" applyBorder="1"/>
    <xf numFmtId="0" fontId="24" fillId="0" borderId="4" xfId="386" applyFont="1" applyBorder="1"/>
    <xf numFmtId="0" fontId="24" fillId="0" borderId="4" xfId="205" applyFont="1" applyBorder="1"/>
    <xf numFmtId="168" fontId="268" fillId="0" borderId="0" xfId="1" applyNumberFormat="1" applyFont="1" applyBorder="1"/>
    <xf numFmtId="169" fontId="268" fillId="0" borderId="0" xfId="3" applyNumberFormat="1" applyFont="1"/>
    <xf numFmtId="272" fontId="273" fillId="0" borderId="0" xfId="0" applyNumberFormat="1" applyFont="1"/>
    <xf numFmtId="168" fontId="269" fillId="0" borderId="0" xfId="1" applyNumberFormat="1" applyFont="1" applyBorder="1"/>
    <xf numFmtId="169" fontId="250" fillId="0" borderId="326" xfId="1" applyNumberFormat="1" applyFont="1" applyBorder="1" applyAlignment="1" applyProtection="1">
      <alignment horizontal="right"/>
    </xf>
    <xf numFmtId="169" fontId="250" fillId="0" borderId="316" xfId="1" applyNumberFormat="1" applyFont="1" applyBorder="1" applyAlignment="1" applyProtection="1">
      <alignment horizontal="right"/>
    </xf>
    <xf numFmtId="169" fontId="250" fillId="0" borderId="327" xfId="1" applyNumberFormat="1" applyFont="1" applyBorder="1" applyAlignment="1" applyProtection="1">
      <alignment horizontal="right"/>
    </xf>
    <xf numFmtId="0" fontId="24" fillId="53" borderId="0" xfId="205" applyFont="1" applyFill="1"/>
    <xf numFmtId="0" fontId="9" fillId="53" borderId="0" xfId="386" applyFill="1"/>
    <xf numFmtId="0" fontId="11" fillId="53" borderId="0" xfId="386" applyFont="1" applyFill="1" applyAlignment="1">
      <alignment horizontal="center"/>
    </xf>
    <xf numFmtId="267" fontId="61" fillId="53" borderId="0" xfId="386" applyNumberFormat="1" applyFont="1" applyFill="1" applyAlignment="1">
      <alignment horizontal="right"/>
    </xf>
    <xf numFmtId="267" fontId="61" fillId="53" borderId="0" xfId="21" applyNumberFormat="1" applyFont="1" applyFill="1" applyBorder="1" applyAlignment="1">
      <alignment horizontal="right"/>
    </xf>
    <xf numFmtId="267" fontId="252" fillId="53" borderId="0" xfId="21" applyNumberFormat="1" applyFont="1" applyFill="1" applyBorder="1" applyAlignment="1" applyProtection="1">
      <alignment horizontal="right"/>
    </xf>
    <xf numFmtId="267" fontId="24" fillId="53" borderId="0" xfId="21" applyNumberFormat="1" applyFont="1" applyFill="1" applyBorder="1" applyAlignment="1">
      <alignment horizontal="right"/>
    </xf>
    <xf numFmtId="267" fontId="24" fillId="53" borderId="0" xfId="386" applyNumberFormat="1" applyFont="1" applyFill="1" applyAlignment="1">
      <alignment horizontal="right"/>
    </xf>
    <xf numFmtId="0" fontId="24" fillId="53" borderId="0" xfId="386" applyFont="1" applyFill="1"/>
    <xf numFmtId="169" fontId="61" fillId="53" borderId="0" xfId="21" applyNumberFormat="1" applyFont="1" applyFill="1" applyBorder="1" applyAlignment="1" applyProtection="1">
      <alignment horizontal="center"/>
    </xf>
    <xf numFmtId="169" fontId="244" fillId="53" borderId="0" xfId="21" applyNumberFormat="1" applyFont="1" applyFill="1" applyBorder="1"/>
    <xf numFmtId="3" fontId="61" fillId="53" borderId="0" xfId="21" applyNumberFormat="1" applyFont="1" applyFill="1" applyBorder="1" applyAlignment="1">
      <alignment horizontal="right"/>
    </xf>
    <xf numFmtId="4" fontId="61" fillId="53" borderId="0" xfId="21" applyNumberFormat="1" applyFont="1" applyFill="1" applyBorder="1" applyAlignment="1">
      <alignment horizontal="right"/>
    </xf>
    <xf numFmtId="37" fontId="60" fillId="0" borderId="0" xfId="0" applyNumberFormat="1" applyFont="1"/>
    <xf numFmtId="168" fontId="267" fillId="0" borderId="117" xfId="0" applyNumberFormat="1" applyFont="1" applyBorder="1"/>
    <xf numFmtId="168" fontId="267" fillId="0" borderId="123" xfId="0" applyNumberFormat="1" applyFont="1" applyBorder="1"/>
    <xf numFmtId="273" fontId="4" fillId="0" borderId="0" xfId="36951" applyFont="1" applyAlignment="1" applyProtection="1">
      <alignment horizontal="left"/>
      <protection locked="0"/>
    </xf>
    <xf numFmtId="273" fontId="3" fillId="0" borderId="0" xfId="36951" applyFont="1" applyProtection="1">
      <protection locked="0"/>
    </xf>
    <xf numFmtId="273" fontId="2" fillId="0" borderId="0" xfId="36951" applyFont="1" applyProtection="1">
      <protection locked="0"/>
    </xf>
    <xf numFmtId="0" fontId="274" fillId="0" borderId="0" xfId="4" applyFont="1" applyAlignment="1">
      <alignment horizontal="left" vertical="center"/>
    </xf>
    <xf numFmtId="172" fontId="9" fillId="0" borderId="0" xfId="36952" applyFont="1"/>
    <xf numFmtId="273" fontId="276" fillId="0" borderId="0" xfId="363" applyNumberFormat="1" applyFont="1" applyFill="1" applyBorder="1" applyAlignment="1" applyProtection="1">
      <protection locked="0"/>
    </xf>
    <xf numFmtId="273" fontId="2" fillId="0" borderId="0" xfId="36951" applyFont="1" applyAlignment="1" applyProtection="1">
      <alignment horizontal="right"/>
      <protection locked="0"/>
    </xf>
    <xf numFmtId="273" fontId="13" fillId="0" borderId="0" xfId="36951"/>
    <xf numFmtId="273" fontId="277" fillId="0" borderId="0" xfId="36951" applyFont="1" applyProtection="1">
      <protection locked="0"/>
    </xf>
    <xf numFmtId="273" fontId="278" fillId="0" borderId="101" xfId="36951" applyFont="1" applyBorder="1"/>
    <xf numFmtId="38" fontId="279" fillId="85" borderId="0" xfId="36951" applyNumberFormat="1" applyFont="1" applyFill="1" applyAlignment="1" applyProtection="1">
      <alignment horizontal="left"/>
      <protection locked="0"/>
    </xf>
    <xf numFmtId="273" fontId="3" fillId="0" borderId="320" xfId="36951" applyFont="1" applyBorder="1"/>
    <xf numFmtId="171" fontId="9" fillId="86" borderId="4" xfId="36953" applyNumberFormat="1" applyFont="1" applyFill="1" applyBorder="1" applyProtection="1"/>
    <xf numFmtId="273" fontId="279" fillId="0" borderId="0" xfId="36951" applyFont="1" applyAlignment="1" applyProtection="1">
      <alignment horizontal="right"/>
      <protection locked="0"/>
    </xf>
    <xf numFmtId="172" fontId="4" fillId="0" borderId="0" xfId="36952" applyFont="1"/>
    <xf numFmtId="8" fontId="279" fillId="85" borderId="0" xfId="36954" applyFont="1" applyFill="1" applyBorder="1" applyAlignment="1" applyProtection="1">
      <alignment horizontal="right"/>
      <protection locked="0"/>
    </xf>
    <xf numFmtId="273" fontId="2" fillId="0" borderId="320" xfId="36951" applyFont="1" applyBorder="1"/>
    <xf numFmtId="38" fontId="279" fillId="85" borderId="0" xfId="36951" applyNumberFormat="1" applyFont="1" applyFill="1" applyAlignment="1" applyProtection="1">
      <alignment horizontal="right"/>
      <protection locked="0"/>
    </xf>
    <xf numFmtId="0" fontId="274" fillId="0" borderId="0" xfId="5" applyFont="1" applyAlignment="1">
      <alignment horizontal="center"/>
    </xf>
    <xf numFmtId="0" fontId="4" fillId="0" borderId="0" xfId="36952" applyNumberFormat="1" applyFont="1"/>
    <xf numFmtId="0" fontId="280" fillId="0" borderId="320" xfId="36951" applyNumberFormat="1" applyFont="1" applyBorder="1"/>
    <xf numFmtId="0" fontId="9" fillId="0" borderId="0" xfId="36952" applyNumberFormat="1" applyFont="1" applyAlignment="1">
      <alignment horizontal="right"/>
    </xf>
    <xf numFmtId="273" fontId="280" fillId="0" borderId="320" xfId="36951" applyFont="1" applyBorder="1"/>
    <xf numFmtId="172" fontId="9" fillId="0" borderId="0" xfId="36952" applyFont="1" applyAlignment="1">
      <alignment horizontal="right"/>
    </xf>
    <xf numFmtId="273" fontId="274" fillId="0" borderId="320" xfId="6" applyNumberFormat="1" applyFont="1" applyBorder="1" applyAlignment="1">
      <alignment horizontal="center"/>
    </xf>
    <xf numFmtId="273" fontId="274" fillId="0" borderId="4" xfId="6" applyNumberFormat="1" applyFont="1" applyBorder="1" applyAlignment="1">
      <alignment horizontal="center"/>
    </xf>
    <xf numFmtId="172" fontId="4" fillId="0" borderId="0" xfId="36952" quotePrefix="1" applyFont="1" applyAlignment="1">
      <alignment horizontal="left" wrapText="1"/>
    </xf>
    <xf numFmtId="273" fontId="280" fillId="87" borderId="334" xfId="36951" applyFont="1" applyFill="1" applyBorder="1" applyAlignment="1">
      <alignment horizontal="center"/>
    </xf>
    <xf numFmtId="0" fontId="274" fillId="0" borderId="320" xfId="6" applyFont="1" applyBorder="1" applyAlignment="1">
      <alignment horizontal="center"/>
    </xf>
    <xf numFmtId="0" fontId="274" fillId="0" borderId="4" xfId="6" applyFont="1" applyBorder="1" applyAlignment="1">
      <alignment horizontal="center"/>
    </xf>
    <xf numFmtId="273" fontId="280" fillId="87" borderId="320" xfId="36951" applyFont="1" applyFill="1" applyBorder="1" applyAlignment="1">
      <alignment horizontal="center"/>
    </xf>
    <xf numFmtId="172" fontId="4" fillId="3" borderId="320" xfId="36952" applyFont="1" applyFill="1" applyBorder="1" applyAlignment="1">
      <alignment horizontal="center"/>
    </xf>
    <xf numFmtId="172" fontId="4" fillId="3" borderId="4" xfId="36952" applyFont="1" applyFill="1" applyBorder="1" applyAlignment="1">
      <alignment horizontal="center"/>
    </xf>
    <xf numFmtId="17" fontId="9" fillId="0" borderId="0" xfId="36952" applyNumberFormat="1" applyFont="1"/>
    <xf numFmtId="17" fontId="4" fillId="0" borderId="0" xfId="36952" applyNumberFormat="1" applyFont="1" applyAlignment="1">
      <alignment horizontal="left" wrapText="1"/>
    </xf>
    <xf numFmtId="17" fontId="280" fillId="0" borderId="320" xfId="36951" applyNumberFormat="1" applyFont="1" applyBorder="1"/>
    <xf numFmtId="17" fontId="9" fillId="0" borderId="0" xfId="36953" applyNumberFormat="1" applyFont="1" applyFill="1" applyBorder="1" applyAlignment="1" applyProtection="1">
      <alignment horizontal="right"/>
    </xf>
    <xf numFmtId="1" fontId="274" fillId="0" borderId="8" xfId="6" applyNumberFormat="1" applyFont="1" applyBorder="1" applyAlignment="1">
      <alignment horizontal="center"/>
    </xf>
    <xf numFmtId="1" fontId="274" fillId="0" borderId="10" xfId="6" applyNumberFormat="1" applyFont="1" applyBorder="1" applyAlignment="1">
      <alignment horizontal="center"/>
    </xf>
    <xf numFmtId="172" fontId="282" fillId="0" borderId="0" xfId="36952" applyFont="1"/>
    <xf numFmtId="273" fontId="278" fillId="88" borderId="0" xfId="36951" applyFont="1" applyFill="1" applyAlignment="1">
      <alignment horizontal="left"/>
    </xf>
    <xf numFmtId="273" fontId="280" fillId="88" borderId="320" xfId="36951" applyFont="1" applyFill="1" applyBorder="1"/>
    <xf numFmtId="173" fontId="282" fillId="88" borderId="0" xfId="36952" applyNumberFormat="1" applyFont="1" applyFill="1" applyAlignment="1">
      <alignment horizontal="right"/>
    </xf>
    <xf numFmtId="274" fontId="9" fillId="89" borderId="328" xfId="36953" applyNumberFormat="1" applyFont="1" applyFill="1" applyBorder="1" applyProtection="1"/>
    <xf numFmtId="274" fontId="9" fillId="89" borderId="101" xfId="36953" applyNumberFormat="1" applyFont="1" applyFill="1" applyBorder="1" applyAlignment="1" applyProtection="1">
      <alignment horizontal="center"/>
    </xf>
    <xf numFmtId="274" fontId="9" fillId="85" borderId="101" xfId="36953" applyNumberFormat="1" applyFont="1" applyFill="1" applyBorder="1" applyProtection="1"/>
    <xf numFmtId="166" fontId="9" fillId="89" borderId="328" xfId="36953" applyNumberFormat="1" applyFont="1" applyFill="1" applyBorder="1" applyProtection="1"/>
    <xf numFmtId="166" fontId="9" fillId="89" borderId="101" xfId="36953" applyNumberFormat="1" applyFont="1" applyFill="1" applyBorder="1" applyAlignment="1" applyProtection="1">
      <alignment horizontal="center"/>
    </xf>
    <xf numFmtId="166" fontId="9" fillId="85" borderId="101" xfId="36953" applyNumberFormat="1" applyFont="1" applyFill="1" applyBorder="1" applyProtection="1"/>
    <xf numFmtId="0" fontId="283" fillId="90" borderId="327" xfId="0" applyFont="1" applyFill="1" applyBorder="1" applyAlignment="1">
      <alignment horizontal="left" indent="1"/>
    </xf>
    <xf numFmtId="273" fontId="9" fillId="0" borderId="101" xfId="36951" applyFont="1" applyBorder="1"/>
    <xf numFmtId="0" fontId="284" fillId="0" borderId="316" xfId="0" applyFont="1" applyBorder="1"/>
    <xf numFmtId="274" fontId="25" fillId="0" borderId="327" xfId="0" applyNumberFormat="1" applyFont="1" applyBorder="1" applyAlignment="1">
      <alignment horizontal="center"/>
    </xf>
    <xf numFmtId="172" fontId="283" fillId="90" borderId="9" xfId="36952" applyFont="1" applyFill="1" applyBorder="1" applyAlignment="1">
      <alignment horizontal="left" indent="2"/>
    </xf>
    <xf numFmtId="273" fontId="282" fillId="91" borderId="8" xfId="36951" applyFont="1" applyFill="1" applyBorder="1"/>
    <xf numFmtId="171" fontId="9" fillId="0" borderId="11" xfId="36953" applyNumberFormat="1" applyFont="1" applyFill="1" applyBorder="1" applyAlignment="1" applyProtection="1">
      <alignment horizontal="right"/>
    </xf>
    <xf numFmtId="171" fontId="9" fillId="86" borderId="9" xfId="36953" applyNumberFormat="1" applyFont="1" applyFill="1" applyBorder="1" applyProtection="1"/>
    <xf numFmtId="171" fontId="9" fillId="86" borderId="11" xfId="36953" applyNumberFormat="1" applyFont="1" applyFill="1" applyBorder="1" applyProtection="1"/>
    <xf numFmtId="171" fontId="9" fillId="86" borderId="10" xfId="36953" applyNumberFormat="1" applyFont="1" applyFill="1" applyBorder="1" applyProtection="1"/>
    <xf numFmtId="0" fontId="25" fillId="0" borderId="0" xfId="0" applyFont="1"/>
    <xf numFmtId="0" fontId="283" fillId="90" borderId="0" xfId="0" applyFont="1" applyFill="1" applyAlignment="1">
      <alignment horizontal="left" indent="1"/>
    </xf>
    <xf numFmtId="273" fontId="9" fillId="3" borderId="320" xfId="36951" applyFont="1" applyFill="1" applyBorder="1"/>
    <xf numFmtId="0" fontId="284" fillId="3" borderId="0" xfId="0" applyFont="1" applyFill="1"/>
    <xf numFmtId="174" fontId="25" fillId="0" borderId="326" xfId="0" applyNumberFormat="1" applyFont="1" applyBorder="1"/>
    <xf numFmtId="172" fontId="283" fillId="90" borderId="0" xfId="36952" applyFont="1" applyFill="1" applyAlignment="1">
      <alignment horizontal="left" indent="2"/>
    </xf>
    <xf numFmtId="273" fontId="282" fillId="91" borderId="320" xfId="36951" applyFont="1" applyFill="1" applyBorder="1"/>
    <xf numFmtId="171" fontId="9" fillId="3" borderId="0" xfId="36953" applyNumberFormat="1" applyFont="1" applyFill="1" applyBorder="1" applyAlignment="1" applyProtection="1">
      <alignment horizontal="right"/>
    </xf>
    <xf numFmtId="0" fontId="284" fillId="0" borderId="327" xfId="0" applyFont="1" applyBorder="1" applyAlignment="1">
      <alignment horizontal="left" indent="1"/>
    </xf>
    <xf numFmtId="0" fontId="25" fillId="0" borderId="327" xfId="0" applyFont="1" applyBorder="1"/>
    <xf numFmtId="0" fontId="25" fillId="0" borderId="316" xfId="0" applyFont="1" applyBorder="1"/>
    <xf numFmtId="0" fontId="25" fillId="0" borderId="328" xfId="0" applyFont="1" applyBorder="1"/>
    <xf numFmtId="172" fontId="9" fillId="0" borderId="9" xfId="36952" applyFont="1" applyBorder="1" applyAlignment="1">
      <alignment horizontal="left" indent="2"/>
    </xf>
    <xf numFmtId="0" fontId="284" fillId="3" borderId="0" xfId="0" applyFont="1" applyFill="1" applyAlignment="1">
      <alignment horizontal="left" indent="1"/>
    </xf>
    <xf numFmtId="0" fontId="25" fillId="0" borderId="326" xfId="0" applyFont="1" applyBorder="1"/>
    <xf numFmtId="0" fontId="25" fillId="0" borderId="4" xfId="0" applyFont="1" applyBorder="1"/>
    <xf numFmtId="172" fontId="9" fillId="3" borderId="0" xfId="36952" applyFont="1" applyFill="1" applyAlignment="1">
      <alignment horizontal="left" indent="2"/>
    </xf>
    <xf numFmtId="171" fontId="9" fillId="86" borderId="326" xfId="36953" applyNumberFormat="1" applyFont="1" applyFill="1" applyBorder="1" applyProtection="1"/>
    <xf numFmtId="171" fontId="9" fillId="86" borderId="0" xfId="36953" applyNumberFormat="1" applyFont="1" applyFill="1" applyBorder="1" applyProtection="1"/>
    <xf numFmtId="0" fontId="284" fillId="3" borderId="327" xfId="0" applyFont="1" applyFill="1" applyBorder="1" applyAlignment="1">
      <alignment horizontal="left" indent="1"/>
    </xf>
    <xf numFmtId="273" fontId="9" fillId="3" borderId="101" xfId="36951" applyFont="1" applyFill="1" applyBorder="1"/>
    <xf numFmtId="0" fontId="284" fillId="3" borderId="316" xfId="0" applyFont="1" applyFill="1" applyBorder="1"/>
    <xf numFmtId="172" fontId="9" fillId="3" borderId="9" xfId="36952" applyFont="1" applyFill="1" applyBorder="1" applyAlignment="1">
      <alignment horizontal="left" indent="1"/>
    </xf>
    <xf numFmtId="171" fontId="9" fillId="3" borderId="11" xfId="36953" applyNumberFormat="1" applyFont="1" applyFill="1" applyBorder="1" applyAlignment="1" applyProtection="1">
      <alignment horizontal="right"/>
    </xf>
    <xf numFmtId="172" fontId="285" fillId="0" borderId="0" xfId="36952" applyFont="1"/>
    <xf numFmtId="275" fontId="9" fillId="0" borderId="0" xfId="36952" applyNumberFormat="1" applyFont="1" applyAlignment="1">
      <alignment horizontal="right"/>
    </xf>
    <xf numFmtId="169" fontId="286" fillId="0" borderId="0" xfId="3" applyNumberFormat="1" applyFont="1"/>
    <xf numFmtId="169" fontId="286" fillId="0" borderId="46" xfId="3" applyNumberFormat="1" applyFont="1" applyBorder="1"/>
    <xf numFmtId="169" fontId="286" fillId="0" borderId="16" xfId="3" applyNumberFormat="1" applyFont="1" applyBorder="1"/>
    <xf numFmtId="169" fontId="286" fillId="0" borderId="12" xfId="3" applyNumberFormat="1" applyFont="1" applyBorder="1"/>
    <xf numFmtId="169" fontId="286" fillId="0" borderId="0" xfId="3" applyNumberFormat="1" applyFont="1" applyBorder="1"/>
    <xf numFmtId="169" fontId="286" fillId="0" borderId="0" xfId="3" applyNumberFormat="1" applyFont="1" applyBorder="1" applyAlignment="1">
      <alignment horizontal="center"/>
    </xf>
    <xf numFmtId="169" fontId="286" fillId="0" borderId="16" xfId="3" applyNumberFormat="1" applyFont="1" applyBorder="1" applyAlignment="1">
      <alignment horizontal="center"/>
    </xf>
    <xf numFmtId="191" fontId="286" fillId="0" borderId="46" xfId="3" applyNumberFormat="1" applyFont="1" applyBorder="1"/>
    <xf numFmtId="191" fontId="256" fillId="0" borderId="0" xfId="3" applyNumberFormat="1" applyFont="1" applyBorder="1"/>
    <xf numFmtId="191" fontId="256" fillId="0" borderId="16" xfId="3" applyNumberFormat="1" applyFont="1" applyBorder="1"/>
    <xf numFmtId="169" fontId="256" fillId="0" borderId="12" xfId="3" applyNumberFormat="1" applyFont="1" applyBorder="1"/>
    <xf numFmtId="169" fontId="256" fillId="0" borderId="46" xfId="3" applyNumberFormat="1" applyFont="1" applyBorder="1"/>
    <xf numFmtId="169" fontId="256" fillId="0" borderId="0" xfId="3" applyNumberFormat="1" applyFont="1" applyBorder="1"/>
    <xf numFmtId="169" fontId="256" fillId="0" borderId="16" xfId="3" applyNumberFormat="1" applyFont="1" applyBorder="1"/>
    <xf numFmtId="169" fontId="287" fillId="0" borderId="0" xfId="3" applyNumberFormat="1" applyFont="1" applyBorder="1"/>
    <xf numFmtId="169" fontId="288" fillId="0" borderId="0" xfId="3" applyNumberFormat="1" applyFont="1"/>
    <xf numFmtId="191" fontId="286" fillId="0" borderId="0" xfId="3" applyNumberFormat="1" applyFont="1" applyBorder="1"/>
    <xf numFmtId="169" fontId="288" fillId="0" borderId="0" xfId="3" applyNumberFormat="1" applyFont="1" applyBorder="1"/>
    <xf numFmtId="169" fontId="286" fillId="0" borderId="0" xfId="3" applyNumberFormat="1" applyFont="1" applyBorder="1" applyAlignment="1">
      <alignment vertical="top"/>
    </xf>
    <xf numFmtId="169" fontId="286" fillId="0" borderId="17" xfId="3" applyNumberFormat="1" applyFont="1" applyBorder="1" applyAlignment="1">
      <alignment vertical="top"/>
    </xf>
    <xf numFmtId="169" fontId="286" fillId="0" borderId="19" xfId="3" applyNumberFormat="1" applyFont="1" applyBorder="1" applyAlignment="1">
      <alignment vertical="top"/>
    </xf>
    <xf numFmtId="169" fontId="286" fillId="0" borderId="20" xfId="3" applyNumberFormat="1" applyFont="1" applyBorder="1" applyAlignment="1">
      <alignment vertical="top"/>
    </xf>
    <xf numFmtId="169" fontId="286" fillId="0" borderId="18" xfId="3" applyNumberFormat="1" applyFont="1" applyBorder="1" applyAlignment="1">
      <alignment vertical="top"/>
    </xf>
    <xf numFmtId="169" fontId="286" fillId="0" borderId="41" xfId="3" applyNumberFormat="1" applyFont="1" applyBorder="1" applyAlignment="1">
      <alignment vertical="top"/>
    </xf>
    <xf numFmtId="169" fontId="288" fillId="0" borderId="0" xfId="3" applyNumberFormat="1" applyFont="1" applyBorder="1" applyAlignment="1">
      <alignment vertical="top"/>
    </xf>
    <xf numFmtId="169" fontId="289" fillId="0" borderId="46" xfId="3" applyNumberFormat="1" applyFont="1" applyBorder="1"/>
    <xf numFmtId="168" fontId="286" fillId="0" borderId="12" xfId="1" applyNumberFormat="1" applyFont="1" applyBorder="1"/>
    <xf numFmtId="169" fontId="256" fillId="0" borderId="126" xfId="3" applyNumberFormat="1" applyFont="1" applyFill="1" applyBorder="1"/>
    <xf numFmtId="169" fontId="256" fillId="0" borderId="128" xfId="3" applyNumberFormat="1" applyFont="1" applyFill="1" applyBorder="1" applyAlignment="1">
      <alignment horizontal="left"/>
    </xf>
    <xf numFmtId="169" fontId="286" fillId="0" borderId="125" xfId="3" applyNumberFormat="1" applyFont="1" applyBorder="1"/>
    <xf numFmtId="169" fontId="286" fillId="0" borderId="0" xfId="3" applyNumberFormat="1" applyFont="1" applyFill="1" applyBorder="1"/>
    <xf numFmtId="169" fontId="256" fillId="0" borderId="125" xfId="3" applyNumberFormat="1" applyFont="1" applyBorder="1"/>
    <xf numFmtId="0" fontId="290" fillId="0" borderId="0" xfId="0" applyFont="1"/>
    <xf numFmtId="191" fontId="287" fillId="0" borderId="0" xfId="3" applyNumberFormat="1" applyFont="1" applyBorder="1"/>
    <xf numFmtId="0" fontId="288" fillId="0" borderId="0" xfId="0" applyFont="1"/>
    <xf numFmtId="169" fontId="286" fillId="0" borderId="16" xfId="3" applyNumberFormat="1" applyFont="1" applyFill="1" applyBorder="1"/>
    <xf numFmtId="169" fontId="286" fillId="0" borderId="12" xfId="3" applyNumberFormat="1" applyFont="1" applyFill="1" applyBorder="1"/>
    <xf numFmtId="169" fontId="256" fillId="0" borderId="0" xfId="3" applyNumberFormat="1" applyFont="1" applyFill="1" applyBorder="1"/>
    <xf numFmtId="190" fontId="286" fillId="0" borderId="12" xfId="3" applyNumberFormat="1" applyFont="1" applyBorder="1"/>
    <xf numFmtId="190" fontId="286" fillId="0" borderId="0" xfId="3" applyNumberFormat="1" applyFont="1" applyBorder="1"/>
    <xf numFmtId="43" fontId="286" fillId="0" borderId="0" xfId="3" applyNumberFormat="1" applyFont="1" applyBorder="1"/>
    <xf numFmtId="0" fontId="22" fillId="0" borderId="46" xfId="1" applyNumberFormat="1" applyFont="1" applyBorder="1"/>
    <xf numFmtId="0" fontId="22" fillId="0" borderId="17" xfId="1" applyNumberFormat="1" applyFont="1" applyBorder="1"/>
    <xf numFmtId="0" fontId="22" fillId="0" borderId="126" xfId="1" applyNumberFormat="1" applyFont="1" applyBorder="1"/>
    <xf numFmtId="0" fontId="72" fillId="53" borderId="0" xfId="0" applyFont="1" applyFill="1"/>
    <xf numFmtId="169" fontId="233" fillId="53" borderId="0" xfId="3" applyNumberFormat="1" applyFont="1" applyFill="1" applyBorder="1" applyAlignment="1">
      <alignment horizontal="left" indent="1"/>
    </xf>
    <xf numFmtId="169" fontId="22" fillId="53" borderId="0" xfId="1" applyNumberFormat="1" applyFont="1" applyFill="1" applyBorder="1"/>
    <xf numFmtId="169" fontId="22" fillId="53" borderId="12" xfId="1" applyNumberFormat="1" applyFont="1" applyFill="1" applyBorder="1"/>
    <xf numFmtId="169" fontId="233" fillId="53" borderId="0" xfId="1" applyNumberFormat="1" applyFont="1" applyFill="1" applyBorder="1"/>
    <xf numFmtId="9" fontId="22" fillId="53" borderId="0" xfId="1" applyNumberFormat="1" applyFont="1" applyFill="1" applyBorder="1"/>
    <xf numFmtId="0" fontId="22" fillId="53" borderId="4" xfId="0" applyFont="1" applyFill="1" applyBorder="1"/>
    <xf numFmtId="0" fontId="22" fillId="53" borderId="11" xfId="0" applyFont="1" applyFill="1" applyBorder="1"/>
    <xf numFmtId="9" fontId="22" fillId="53" borderId="11" xfId="3" applyFont="1" applyFill="1" applyBorder="1"/>
    <xf numFmtId="9" fontId="22" fillId="53" borderId="20" xfId="3" applyFont="1" applyFill="1" applyBorder="1"/>
    <xf numFmtId="9" fontId="22" fillId="53" borderId="0" xfId="3" applyFont="1" applyFill="1"/>
    <xf numFmtId="0" fontId="68" fillId="53" borderId="0" xfId="0" applyFont="1" applyFill="1" applyAlignment="1">
      <alignment horizontal="left"/>
    </xf>
    <xf numFmtId="168" fontId="68" fillId="53" borderId="0" xfId="0" applyNumberFormat="1" applyFont="1" applyFill="1"/>
    <xf numFmtId="169" fontId="291" fillId="53" borderId="0" xfId="3" applyNumberFormat="1" applyFont="1" applyFill="1" applyBorder="1"/>
    <xf numFmtId="168" fontId="291" fillId="53" borderId="0" xfId="1" applyNumberFormat="1" applyFont="1" applyFill="1" applyBorder="1"/>
    <xf numFmtId="0" fontId="291" fillId="53" borderId="0" xfId="0" applyFont="1" applyFill="1"/>
    <xf numFmtId="9" fontId="291" fillId="53" borderId="0" xfId="3" applyFont="1" applyFill="1" applyBorder="1"/>
    <xf numFmtId="169" fontId="291" fillId="53" borderId="0" xfId="1" applyNumberFormat="1" applyFont="1" applyFill="1" applyBorder="1"/>
    <xf numFmtId="0" fontId="68" fillId="53" borderId="11" xfId="0" applyFont="1" applyFill="1" applyBorder="1"/>
    <xf numFmtId="168" fontId="292" fillId="53" borderId="0" xfId="1" applyNumberFormat="1" applyFont="1" applyFill="1" applyBorder="1"/>
    <xf numFmtId="9" fontId="293" fillId="53" borderId="0" xfId="3" applyFont="1" applyFill="1" applyBorder="1"/>
    <xf numFmtId="9" fontId="293" fillId="53" borderId="0" xfId="1" applyNumberFormat="1" applyFont="1" applyFill="1" applyBorder="1"/>
    <xf numFmtId="169" fontId="286" fillId="53" borderId="0" xfId="1" applyNumberFormat="1" applyFont="1" applyFill="1" applyBorder="1"/>
    <xf numFmtId="0" fontId="68" fillId="53" borderId="326" xfId="1" applyNumberFormat="1" applyFont="1" applyFill="1" applyBorder="1"/>
    <xf numFmtId="0" fontId="291" fillId="53" borderId="326" xfId="3" applyNumberFormat="1" applyFont="1" applyFill="1" applyBorder="1" applyAlignment="1">
      <alignment horizontal="left" indent="1"/>
    </xf>
    <xf numFmtId="0" fontId="68" fillId="53" borderId="326" xfId="3" applyNumberFormat="1" applyFont="1" applyFill="1" applyBorder="1" applyAlignment="1">
      <alignment horizontal="left"/>
    </xf>
    <xf numFmtId="0" fontId="22" fillId="53" borderId="320" xfId="0" applyFont="1" applyFill="1" applyBorder="1"/>
    <xf numFmtId="0" fontId="68" fillId="53" borderId="326" xfId="0" applyFont="1" applyFill="1" applyBorder="1" applyAlignment="1">
      <alignment horizontal="left"/>
    </xf>
    <xf numFmtId="0" fontId="68" fillId="53" borderId="326" xfId="1" applyNumberFormat="1" applyFont="1" applyFill="1" applyBorder="1" applyAlignment="1">
      <alignment horizontal="left"/>
    </xf>
    <xf numFmtId="0" fontId="68" fillId="53" borderId="326" xfId="0" applyFont="1" applyFill="1" applyBorder="1"/>
    <xf numFmtId="169" fontId="291" fillId="53" borderId="326" xfId="3" applyNumberFormat="1" applyFont="1" applyFill="1" applyBorder="1" applyAlignment="1">
      <alignment horizontal="left" indent="1"/>
    </xf>
    <xf numFmtId="0" fontId="22" fillId="53" borderId="326" xfId="0" applyFont="1" applyFill="1" applyBorder="1"/>
    <xf numFmtId="168" fontId="68" fillId="53" borderId="326" xfId="1" applyNumberFormat="1" applyFont="1" applyFill="1" applyBorder="1" applyAlignment="1">
      <alignment horizontal="left"/>
    </xf>
    <xf numFmtId="9" fontId="291" fillId="53" borderId="326" xfId="3" applyFont="1" applyFill="1" applyBorder="1" applyAlignment="1">
      <alignment horizontal="left" indent="1"/>
    </xf>
    <xf numFmtId="0" fontId="22" fillId="53" borderId="9" xfId="0" applyFont="1" applyFill="1" applyBorder="1"/>
    <xf numFmtId="169" fontId="291" fillId="53" borderId="12" xfId="3" applyNumberFormat="1" applyFont="1" applyFill="1" applyBorder="1"/>
    <xf numFmtId="169" fontId="291" fillId="53" borderId="12" xfId="1" applyNumberFormat="1" applyFont="1" applyFill="1" applyBorder="1"/>
    <xf numFmtId="168" fontId="291" fillId="53" borderId="12" xfId="1" applyNumberFormat="1" applyFont="1" applyFill="1" applyBorder="1"/>
    <xf numFmtId="9" fontId="22" fillId="53" borderId="12" xfId="0" applyNumberFormat="1" applyFont="1" applyFill="1" applyBorder="1"/>
    <xf numFmtId="168" fontId="292" fillId="53" borderId="12" xfId="1" applyNumberFormat="1" applyFont="1" applyFill="1" applyBorder="1"/>
    <xf numFmtId="9" fontId="293" fillId="53" borderId="12" xfId="3" applyFont="1" applyFill="1" applyBorder="1"/>
    <xf numFmtId="168" fontId="68" fillId="53" borderId="12" xfId="0" applyNumberFormat="1" applyFont="1" applyFill="1" applyBorder="1"/>
    <xf numFmtId="9" fontId="22" fillId="53" borderId="12" xfId="1" applyNumberFormat="1" applyFont="1" applyFill="1" applyBorder="1"/>
    <xf numFmtId="169" fontId="291" fillId="53" borderId="0" xfId="3" applyNumberFormat="1" applyFont="1" applyFill="1" applyBorder="1" applyAlignment="1">
      <alignment horizontal="right"/>
    </xf>
    <xf numFmtId="0" fontId="214" fillId="80" borderId="322" xfId="386" applyFont="1" applyFill="1" applyBorder="1" applyAlignment="1">
      <alignment horizontal="center"/>
    </xf>
    <xf numFmtId="0" fontId="214" fillId="80" borderId="325" xfId="386" applyFont="1" applyFill="1" applyBorder="1" applyAlignment="1">
      <alignment horizontal="center"/>
    </xf>
    <xf numFmtId="0" fontId="214" fillId="80" borderId="304" xfId="386" applyFont="1" applyFill="1" applyBorder="1" applyAlignment="1">
      <alignment horizontal="center"/>
    </xf>
    <xf numFmtId="37" fontId="250" fillId="0" borderId="320" xfId="9" quotePrefix="1" applyNumberFormat="1" applyFont="1" applyBorder="1" applyAlignment="1" applyProtection="1">
      <alignment horizontal="right"/>
    </xf>
    <xf numFmtId="37" fontId="250" fillId="0" borderId="320" xfId="9" applyNumberFormat="1" applyFont="1" applyBorder="1" applyAlignment="1" applyProtection="1">
      <alignment horizontal="right"/>
    </xf>
    <xf numFmtId="37" fontId="250" fillId="0" borderId="8" xfId="9" applyNumberFormat="1" applyFont="1" applyBorder="1" applyAlignment="1" applyProtection="1">
      <alignment horizontal="right"/>
    </xf>
    <xf numFmtId="37" fontId="250" fillId="0" borderId="4" xfId="9" applyNumberFormat="1" applyFont="1" applyBorder="1" applyAlignment="1" applyProtection="1">
      <alignment horizontal="right"/>
    </xf>
    <xf numFmtId="37" fontId="250" fillId="0" borderId="10" xfId="9" applyNumberFormat="1" applyFont="1" applyBorder="1" applyAlignment="1" applyProtection="1">
      <alignment horizontal="right"/>
    </xf>
    <xf numFmtId="37" fontId="250" fillId="0" borderId="4" xfId="9" quotePrefix="1" applyNumberFormat="1" applyFont="1" applyBorder="1" applyAlignment="1" applyProtection="1">
      <alignment horizontal="right"/>
    </xf>
    <xf numFmtId="37" fontId="250" fillId="0" borderId="0" xfId="9" quotePrefix="1" applyNumberFormat="1" applyFont="1" applyBorder="1" applyAlignment="1" applyProtection="1">
      <alignment horizontal="right"/>
    </xf>
    <xf numFmtId="37" fontId="250" fillId="0" borderId="0" xfId="9" applyNumberFormat="1" applyFont="1" applyBorder="1" applyAlignment="1" applyProtection="1">
      <alignment horizontal="right"/>
    </xf>
    <xf numFmtId="37" fontId="250" fillId="0" borderId="11" xfId="9" applyNumberFormat="1" applyFont="1" applyBorder="1" applyAlignment="1" applyProtection="1">
      <alignment horizontal="right"/>
    </xf>
    <xf numFmtId="37" fontId="250" fillId="0" borderId="322" xfId="9" applyNumberFormat="1" applyFont="1" applyBorder="1" applyAlignment="1" applyProtection="1">
      <alignment horizontal="right"/>
    </xf>
    <xf numFmtId="37" fontId="250" fillId="0" borderId="325" xfId="9" applyNumberFormat="1" applyFont="1" applyBorder="1" applyAlignment="1" applyProtection="1">
      <alignment horizontal="right"/>
    </xf>
    <xf numFmtId="37" fontId="250" fillId="0" borderId="277" xfId="9" applyNumberFormat="1" applyFont="1" applyBorder="1" applyAlignment="1" applyProtection="1">
      <alignment horizontal="right"/>
    </xf>
    <xf numFmtId="37" fontId="257" fillId="0" borderId="320" xfId="21" applyNumberFormat="1" applyFont="1" applyBorder="1" applyAlignment="1" applyProtection="1">
      <alignment horizontal="right"/>
    </xf>
    <xf numFmtId="37" fontId="257" fillId="0" borderId="4" xfId="21" applyNumberFormat="1" applyFont="1" applyBorder="1" applyAlignment="1" applyProtection="1">
      <alignment horizontal="right"/>
    </xf>
    <xf numFmtId="37" fontId="257" fillId="0" borderId="0" xfId="21" applyNumberFormat="1" applyFont="1" applyBorder="1" applyAlignment="1" applyProtection="1">
      <alignment horizontal="right"/>
    </xf>
    <xf numFmtId="37" fontId="250" fillId="0" borderId="316" xfId="9" applyNumberFormat="1" applyFont="1" applyBorder="1" applyAlignment="1" applyProtection="1">
      <alignment horizontal="right"/>
    </xf>
    <xf numFmtId="168" fontId="22" fillId="53" borderId="267" xfId="0" applyNumberFormat="1" applyFont="1" applyFill="1" applyBorder="1"/>
    <xf numFmtId="168" fontId="22" fillId="53" borderId="1" xfId="0" applyNumberFormat="1" applyFont="1" applyFill="1" applyBorder="1"/>
    <xf numFmtId="37" fontId="257" fillId="0" borderId="11" xfId="21" applyNumberFormat="1" applyFont="1" applyBorder="1" applyAlignment="1" applyProtection="1">
      <alignment horizontal="right"/>
    </xf>
    <xf numFmtId="37" fontId="257" fillId="0" borderId="10" xfId="21" applyNumberFormat="1" applyFont="1" applyBorder="1" applyAlignment="1" applyProtection="1">
      <alignment horizontal="right"/>
    </xf>
    <xf numFmtId="276" fontId="61" fillId="82" borderId="4" xfId="386" applyNumberFormat="1" applyFont="1" applyFill="1" applyBorder="1" applyAlignment="1">
      <alignment horizontal="center"/>
    </xf>
    <xf numFmtId="276" fontId="252" fillId="82" borderId="325" xfId="9" quotePrefix="1" applyNumberFormat="1" applyFont="1" applyFill="1" applyBorder="1" applyAlignment="1" applyProtection="1">
      <alignment horizontal="center"/>
    </xf>
    <xf numFmtId="276" fontId="252" fillId="82" borderId="4" xfId="9" quotePrefix="1" applyNumberFormat="1" applyFont="1" applyFill="1" applyBorder="1" applyAlignment="1" applyProtection="1">
      <alignment horizontal="center"/>
    </xf>
    <xf numFmtId="276" fontId="252" fillId="82" borderId="328" xfId="21" applyNumberFormat="1" applyFont="1" applyFill="1" applyBorder="1" applyAlignment="1" applyProtection="1">
      <alignment horizontal="center"/>
    </xf>
    <xf numFmtId="276" fontId="252" fillId="82" borderId="4" xfId="21" applyNumberFormat="1" applyFont="1" applyFill="1" applyBorder="1" applyAlignment="1" applyProtection="1">
      <alignment horizontal="center"/>
    </xf>
    <xf numFmtId="276" fontId="61" fillId="82" borderId="325" xfId="9" applyNumberFormat="1" applyFont="1" applyFill="1" applyBorder="1" applyAlignment="1">
      <alignment horizontal="center"/>
    </xf>
    <xf numFmtId="276" fontId="61" fillId="82" borderId="4" xfId="9" applyNumberFormat="1" applyFont="1" applyFill="1" applyBorder="1" applyAlignment="1">
      <alignment horizontal="center"/>
    </xf>
    <xf numFmtId="276" fontId="61" fillId="82" borderId="4" xfId="9" applyNumberFormat="1" applyFont="1" applyFill="1" applyBorder="1" applyAlignment="1" applyProtection="1">
      <alignment horizontal="center"/>
    </xf>
    <xf numFmtId="276" fontId="61" fillId="82" borderId="328" xfId="205" applyNumberFormat="1" applyFont="1" applyFill="1" applyBorder="1" applyAlignment="1">
      <alignment horizontal="center"/>
    </xf>
    <xf numFmtId="276" fontId="244" fillId="82" borderId="4" xfId="9" applyNumberFormat="1" applyFont="1" applyFill="1" applyBorder="1" applyAlignment="1" applyProtection="1">
      <alignment horizontal="center"/>
    </xf>
    <xf numFmtId="276" fontId="61" fillId="82" borderId="4" xfId="21" applyNumberFormat="1" applyFont="1" applyFill="1" applyBorder="1" applyAlignment="1" applyProtection="1">
      <alignment horizontal="center"/>
    </xf>
    <xf numFmtId="276" fontId="24" fillId="82" borderId="4" xfId="9" applyNumberFormat="1" applyFont="1" applyFill="1" applyBorder="1" applyAlignment="1" applyProtection="1">
      <alignment horizontal="center"/>
    </xf>
    <xf numFmtId="276" fontId="61" fillId="82" borderId="4" xfId="205" applyNumberFormat="1" applyFont="1" applyFill="1" applyBorder="1" applyAlignment="1">
      <alignment horizontal="center"/>
    </xf>
    <xf numFmtId="276" fontId="61" fillId="82" borderId="10" xfId="386" applyNumberFormat="1" applyFont="1" applyFill="1" applyBorder="1" applyAlignment="1">
      <alignment horizontal="center"/>
    </xf>
    <xf numFmtId="276" fontId="252" fillId="82" borderId="4" xfId="386" applyNumberFormat="1" applyFont="1" applyFill="1" applyBorder="1" applyAlignment="1">
      <alignment horizontal="center"/>
    </xf>
    <xf numFmtId="276" fontId="61" fillId="82" borderId="330" xfId="8" applyNumberFormat="1" applyFont="1" applyFill="1" applyBorder="1" applyAlignment="1">
      <alignment horizontal="center"/>
    </xf>
    <xf numFmtId="276" fontId="61" fillId="82" borderId="332" xfId="8" applyNumberFormat="1" applyFont="1" applyFill="1" applyBorder="1" applyAlignment="1">
      <alignment horizontal="center"/>
    </xf>
    <xf numFmtId="168" fontId="68" fillId="0" borderId="0" xfId="1" applyNumberFormat="1" applyFont="1" applyFill="1" applyBorder="1"/>
    <xf numFmtId="169" fontId="22" fillId="0" borderId="0" xfId="3" applyNumberFormat="1" applyFont="1" applyFill="1" applyBorder="1"/>
    <xf numFmtId="168" fontId="3" fillId="0" borderId="0" xfId="1" applyNumberFormat="1" applyFont="1" applyFill="1" applyBorder="1"/>
    <xf numFmtId="169" fontId="286" fillId="0" borderId="0" xfId="0" applyNumberFormat="1" applyFont="1"/>
    <xf numFmtId="10" fontId="66" fillId="0" borderId="0" xfId="0" applyNumberFormat="1" applyFont="1"/>
    <xf numFmtId="168" fontId="66" fillId="0" borderId="0" xfId="0" applyNumberFormat="1" applyFont="1"/>
    <xf numFmtId="169" fontId="60" fillId="0" borderId="0" xfId="3" applyNumberFormat="1" applyFont="1" applyFill="1"/>
    <xf numFmtId="0" fontId="87" fillId="0" borderId="126" xfId="0" applyFont="1" applyBorder="1"/>
    <xf numFmtId="0" fontId="22" fillId="0" borderId="308" xfId="0" applyFont="1" applyBorder="1"/>
    <xf numFmtId="190" fontId="22" fillId="0" borderId="111" xfId="0" applyNumberFormat="1" applyFont="1" applyBorder="1"/>
    <xf numFmtId="190" fontId="22" fillId="0" borderId="308" xfId="0" applyNumberFormat="1" applyFont="1" applyBorder="1"/>
    <xf numFmtId="168" fontId="22" fillId="0" borderId="12" xfId="1" applyNumberFormat="1" applyFont="1" applyFill="1" applyBorder="1" applyAlignment="1">
      <alignment horizontal="left" vertical="top"/>
    </xf>
    <xf numFmtId="168" fontId="22" fillId="0" borderId="0" xfId="11081" applyNumberFormat="1" applyFont="1" applyFill="1" applyBorder="1"/>
    <xf numFmtId="0" fontId="234" fillId="0" borderId="0" xfId="0" applyFont="1"/>
    <xf numFmtId="0" fontId="233" fillId="0" borderId="46" xfId="0" applyFont="1" applyBorder="1"/>
    <xf numFmtId="0" fontId="233" fillId="0" borderId="0" xfId="0" applyFont="1" applyAlignment="1">
      <alignment horizontal="left" indent="3"/>
    </xf>
    <xf numFmtId="168" fontId="233" fillId="0" borderId="12" xfId="1" applyNumberFormat="1" applyFont="1" applyFill="1" applyBorder="1" applyAlignment="1">
      <alignment horizontal="left" vertical="top"/>
    </xf>
    <xf numFmtId="168" fontId="233" fillId="0" borderId="0" xfId="11081" applyNumberFormat="1" applyFont="1" applyFill="1" applyBorder="1"/>
    <xf numFmtId="168" fontId="233" fillId="0" borderId="12" xfId="1" applyNumberFormat="1" applyFont="1" applyFill="1" applyBorder="1"/>
    <xf numFmtId="168" fontId="233" fillId="0" borderId="0" xfId="1" applyNumberFormat="1" applyFont="1" applyFill="1" applyBorder="1"/>
    <xf numFmtId="168" fontId="194" fillId="0" borderId="0" xfId="1" applyNumberFormat="1" applyFont="1" applyFill="1" applyBorder="1"/>
    <xf numFmtId="168" fontId="60" fillId="0" borderId="0" xfId="1" applyNumberFormat="1" applyFont="1" applyFill="1"/>
    <xf numFmtId="168" fontId="22" fillId="0" borderId="46" xfId="1" applyNumberFormat="1" applyFont="1" applyFill="1" applyBorder="1"/>
    <xf numFmtId="168" fontId="68" fillId="0" borderId="12" xfId="1" applyNumberFormat="1" applyFont="1" applyFill="1" applyBorder="1"/>
    <xf numFmtId="169" fontId="286" fillId="0" borderId="46" xfId="3" applyNumberFormat="1" applyFont="1" applyFill="1" applyBorder="1"/>
    <xf numFmtId="169" fontId="288" fillId="0" borderId="0" xfId="3" applyNumberFormat="1" applyFont="1" applyFill="1"/>
    <xf numFmtId="0" fontId="22" fillId="0" borderId="12" xfId="0" applyFont="1" applyBorder="1"/>
    <xf numFmtId="0" fontId="87" fillId="0" borderId="46" xfId="0" applyFont="1" applyBorder="1"/>
    <xf numFmtId="169" fontId="22" fillId="0" borderId="12" xfId="3" applyNumberFormat="1" applyFont="1" applyFill="1" applyBorder="1"/>
    <xf numFmtId="43" fontId="22" fillId="0" borderId="0" xfId="1" applyFont="1" applyFill="1" applyBorder="1"/>
    <xf numFmtId="9" fontId="22" fillId="0" borderId="0" xfId="3" applyFont="1" applyFill="1" applyBorder="1"/>
    <xf numFmtId="168" fontId="2" fillId="0" borderId="12" xfId="1" applyNumberFormat="1" applyFont="1" applyFill="1" applyBorder="1"/>
    <xf numFmtId="41" fontId="22" fillId="0" borderId="0" xfId="0" applyNumberFormat="1" applyFont="1"/>
    <xf numFmtId="41" fontId="2" fillId="0" borderId="0" xfId="0" applyNumberFormat="1" applyFont="1"/>
    <xf numFmtId="41" fontId="269" fillId="0" borderId="0" xfId="0" applyNumberFormat="1" applyFont="1"/>
    <xf numFmtId="41" fontId="268" fillId="0" borderId="0" xfId="0" applyNumberFormat="1" applyFont="1"/>
    <xf numFmtId="41" fontId="213" fillId="0" borderId="0" xfId="0" applyNumberFormat="1" applyFont="1"/>
    <xf numFmtId="169" fontId="2" fillId="0" borderId="0" xfId="3" applyNumberFormat="1" applyFont="1" applyFill="1" applyBorder="1"/>
    <xf numFmtId="168" fontId="3" fillId="0" borderId="12" xfId="1" applyNumberFormat="1" applyFont="1" applyFill="1" applyBorder="1"/>
    <xf numFmtId="0" fontId="286" fillId="0" borderId="46" xfId="0" applyFont="1" applyBorder="1"/>
    <xf numFmtId="0" fontId="286" fillId="0" borderId="0" xfId="0" applyFont="1"/>
    <xf numFmtId="169" fontId="286" fillId="0" borderId="12" xfId="0" applyNumberFormat="1" applyFont="1" applyBorder="1"/>
    <xf numFmtId="169" fontId="256" fillId="0" borderId="0" xfId="0" applyNumberFormat="1" applyFont="1"/>
    <xf numFmtId="0" fontId="66" fillId="0" borderId="46" xfId="0" applyFont="1" applyBorder="1"/>
    <xf numFmtId="0" fontId="66" fillId="0" borderId="0" xfId="0" applyFont="1"/>
    <xf numFmtId="168" fontId="66" fillId="0" borderId="12" xfId="0" applyNumberFormat="1" applyFont="1" applyBorder="1"/>
    <xf numFmtId="169" fontId="66" fillId="0" borderId="0" xfId="0" applyNumberFormat="1" applyFont="1"/>
    <xf numFmtId="169" fontId="66" fillId="0" borderId="12" xfId="0" applyNumberFormat="1" applyFont="1" applyBorder="1"/>
    <xf numFmtId="169" fontId="6" fillId="0" borderId="0" xfId="0" applyNumberFormat="1" applyFont="1"/>
    <xf numFmtId="10" fontId="66" fillId="0" borderId="12" xfId="0" applyNumberFormat="1" applyFont="1" applyBorder="1"/>
    <xf numFmtId="43" fontId="6" fillId="0" borderId="0" xfId="1" applyFont="1" applyFill="1" applyBorder="1"/>
    <xf numFmtId="43" fontId="66" fillId="0" borderId="0" xfId="1" applyFont="1" applyFill="1" applyBorder="1"/>
    <xf numFmtId="10" fontId="6" fillId="0" borderId="0" xfId="0" applyNumberFormat="1" applyFont="1"/>
    <xf numFmtId="171" fontId="22" fillId="0" borderId="12" xfId="1" applyNumberFormat="1" applyFont="1" applyFill="1" applyBorder="1"/>
    <xf numFmtId="0" fontId="60" fillId="0" borderId="46" xfId="0" applyFont="1" applyBorder="1"/>
    <xf numFmtId="0" fontId="232" fillId="0" borderId="0" xfId="0" applyFont="1"/>
    <xf numFmtId="0" fontId="22" fillId="0" borderId="20" xfId="0" applyFont="1" applyBorder="1"/>
    <xf numFmtId="0" fontId="68" fillId="0" borderId="117" xfId="0" applyFont="1" applyBorder="1"/>
    <xf numFmtId="168" fontId="68" fillId="0" borderId="14" xfId="0" applyNumberFormat="1" applyFont="1" applyBorder="1"/>
    <xf numFmtId="168" fontId="3" fillId="0" borderId="14" xfId="0" applyNumberFormat="1" applyFont="1" applyBorder="1"/>
    <xf numFmtId="171" fontId="68" fillId="0" borderId="127" xfId="1" applyNumberFormat="1" applyFont="1" applyFill="1" applyBorder="1"/>
    <xf numFmtId="171" fontId="68" fillId="0" borderId="308" xfId="1" applyNumberFormat="1" applyFont="1" applyFill="1" applyBorder="1"/>
    <xf numFmtId="171" fontId="68" fillId="0" borderId="125" xfId="1" applyNumberFormat="1" applyFont="1" applyFill="1" applyBorder="1"/>
    <xf numFmtId="171" fontId="22" fillId="0" borderId="0" xfId="0" applyNumberFormat="1" applyFont="1"/>
    <xf numFmtId="171" fontId="22" fillId="0" borderId="12" xfId="0" applyNumberFormat="1" applyFont="1" applyBorder="1"/>
    <xf numFmtId="168" fontId="22" fillId="0" borderId="20" xfId="1" applyNumberFormat="1" applyFont="1" applyFill="1" applyBorder="1"/>
    <xf numFmtId="168" fontId="2" fillId="0" borderId="41" xfId="0" applyNumberFormat="1" applyFont="1" applyBorder="1"/>
    <xf numFmtId="168" fontId="6" fillId="0" borderId="0" xfId="0" applyNumberFormat="1" applyFont="1"/>
    <xf numFmtId="203" fontId="60" fillId="0" borderId="0" xfId="1" applyNumberFormat="1" applyFont="1" applyFill="1"/>
    <xf numFmtId="190" fontId="60" fillId="0" borderId="0" xfId="1" applyNumberFormat="1" applyFont="1" applyFill="1"/>
    <xf numFmtId="43" fontId="69" fillId="0" borderId="0" xfId="1" applyFont="1" applyFill="1"/>
    <xf numFmtId="169" fontId="69" fillId="0" borderId="0" xfId="3" applyNumberFormat="1" applyFont="1" applyFill="1"/>
    <xf numFmtId="169" fontId="232" fillId="0" borderId="0" xfId="3" applyNumberFormat="1" applyFont="1" applyFill="1"/>
    <xf numFmtId="191" fontId="22" fillId="0" borderId="0" xfId="1" applyNumberFormat="1" applyFont="1" applyFill="1"/>
    <xf numFmtId="191" fontId="268" fillId="0" borderId="0" xfId="1" applyNumberFormat="1" applyFont="1" applyFill="1"/>
    <xf numFmtId="169" fontId="213" fillId="0" borderId="0" xfId="0" applyNumberFormat="1" applyFont="1"/>
    <xf numFmtId="169" fontId="268" fillId="0" borderId="0" xfId="0" applyNumberFormat="1" applyFont="1"/>
    <xf numFmtId="43" fontId="60" fillId="0" borderId="0" xfId="1" applyFont="1" applyFill="1"/>
    <xf numFmtId="2" fontId="60" fillId="0" borderId="0" xfId="0" applyNumberFormat="1" applyFont="1"/>
    <xf numFmtId="169" fontId="295" fillId="0" borderId="0" xfId="3" applyNumberFormat="1" applyFont="1" applyBorder="1"/>
    <xf numFmtId="168" fontId="267" fillId="0" borderId="124" xfId="0" applyNumberFormat="1" applyFont="1" applyBorder="1"/>
    <xf numFmtId="276" fontId="61" fillId="0" borderId="0" xfId="386" applyNumberFormat="1" applyFont="1" applyAlignment="1">
      <alignment horizontal="center"/>
    </xf>
    <xf numFmtId="276" fontId="252" fillId="0" borderId="0" xfId="9" quotePrefix="1" applyNumberFormat="1" applyFont="1" applyFill="1" applyBorder="1" applyAlignment="1" applyProtection="1">
      <alignment horizontal="center"/>
    </xf>
    <xf numFmtId="276" fontId="252" fillId="0" borderId="0" xfId="21" applyNumberFormat="1" applyFont="1" applyFill="1" applyBorder="1" applyAlignment="1" applyProtection="1">
      <alignment horizontal="center"/>
    </xf>
    <xf numFmtId="276" fontId="61" fillId="0" borderId="0" xfId="9" applyNumberFormat="1" applyFont="1" applyFill="1" applyBorder="1" applyAlignment="1">
      <alignment horizontal="center"/>
    </xf>
    <xf numFmtId="276" fontId="61" fillId="0" borderId="0" xfId="9" applyNumberFormat="1" applyFont="1" applyFill="1" applyBorder="1" applyAlignment="1" applyProtection="1">
      <alignment horizontal="center"/>
    </xf>
    <xf numFmtId="276" fontId="61" fillId="0" borderId="0" xfId="205" applyNumberFormat="1" applyFont="1" applyAlignment="1">
      <alignment horizontal="center"/>
    </xf>
    <xf numFmtId="276" fontId="244" fillId="0" borderId="0" xfId="9" applyNumberFormat="1" applyFont="1" applyFill="1" applyBorder="1" applyAlignment="1" applyProtection="1">
      <alignment horizontal="center"/>
    </xf>
    <xf numFmtId="276" fontId="61" fillId="0" borderId="0" xfId="21" applyNumberFormat="1" applyFont="1" applyFill="1" applyBorder="1" applyAlignment="1" applyProtection="1">
      <alignment horizontal="center"/>
    </xf>
    <xf numFmtId="276" fontId="24" fillId="0" borderId="0" xfId="9" applyNumberFormat="1" applyFont="1" applyFill="1" applyBorder="1" applyAlignment="1" applyProtection="1">
      <alignment horizontal="center"/>
    </xf>
    <xf numFmtId="276" fontId="252" fillId="0" borderId="0" xfId="386" applyNumberFormat="1" applyFont="1" applyAlignment="1">
      <alignment horizontal="center"/>
    </xf>
    <xf numFmtId="276" fontId="61" fillId="0" borderId="0" xfId="8" applyNumberFormat="1" applyFont="1" applyFill="1" applyBorder="1" applyAlignment="1">
      <alignment horizontal="center"/>
    </xf>
    <xf numFmtId="267" fontId="24" fillId="0" borderId="0" xfId="386" applyNumberFormat="1" applyFont="1" applyAlignment="1">
      <alignment horizontal="right"/>
    </xf>
    <xf numFmtId="169" fontId="61" fillId="0" borderId="0" xfId="21" applyNumberFormat="1" applyFont="1" applyFill="1" applyBorder="1" applyAlignment="1" applyProtection="1">
      <alignment horizontal="center"/>
    </xf>
    <xf numFmtId="169" fontId="244" fillId="0" borderId="0" xfId="21" applyNumberFormat="1" applyFont="1" applyFill="1" applyBorder="1"/>
    <xf numFmtId="0" fontId="248" fillId="0" borderId="0" xfId="0" applyFont="1" applyAlignment="1">
      <alignment horizontal="center"/>
    </xf>
    <xf numFmtId="0" fontId="61" fillId="53" borderId="0" xfId="0" applyFont="1" applyFill="1" applyAlignment="1">
      <alignment horizontal="center"/>
    </xf>
    <xf numFmtId="276" fontId="61" fillId="53" borderId="0" xfId="21" applyNumberFormat="1" applyFont="1" applyFill="1" applyBorder="1" applyAlignment="1">
      <alignment horizontal="right"/>
    </xf>
    <xf numFmtId="169" fontId="0" fillId="0" borderId="0" xfId="3" applyNumberFormat="1" applyFont="1"/>
    <xf numFmtId="168" fontId="9" fillId="0" borderId="0" xfId="386" applyNumberFormat="1"/>
    <xf numFmtId="0" fontId="71" fillId="92" borderId="124" xfId="0" applyFont="1" applyFill="1" applyBorder="1"/>
    <xf numFmtId="0" fontId="71" fillId="92" borderId="129" xfId="0" applyFont="1" applyFill="1" applyBorder="1"/>
    <xf numFmtId="0" fontId="71" fillId="92" borderId="129" xfId="2" applyNumberFormat="1" applyFont="1" applyFill="1" applyBorder="1" applyAlignment="1">
      <alignment horizontal="center"/>
    </xf>
    <xf numFmtId="0" fontId="71" fillId="92" borderId="117" xfId="2" applyNumberFormat="1" applyFont="1" applyFill="1" applyBorder="1" applyAlignment="1">
      <alignment horizontal="center"/>
    </xf>
    <xf numFmtId="0" fontId="71" fillId="92" borderId="14" xfId="2" applyNumberFormat="1" applyFont="1" applyFill="1" applyBorder="1" applyAlignment="1">
      <alignment horizontal="center"/>
    </xf>
    <xf numFmtId="0" fontId="71" fillId="92" borderId="124" xfId="2" applyNumberFormat="1" applyFont="1" applyFill="1" applyBorder="1" applyAlignment="1">
      <alignment horizontal="center"/>
    </xf>
    <xf numFmtId="0" fontId="71" fillId="92" borderId="123" xfId="2" applyNumberFormat="1" applyFont="1" applyFill="1" applyBorder="1" applyAlignment="1">
      <alignment horizontal="center"/>
    </xf>
    <xf numFmtId="0" fontId="214" fillId="92" borderId="317" xfId="0" applyFont="1" applyFill="1" applyBorder="1"/>
    <xf numFmtId="0" fontId="214" fillId="92" borderId="304" xfId="0" applyFont="1" applyFill="1" applyBorder="1"/>
    <xf numFmtId="0" fontId="214" fillId="92" borderId="304" xfId="0" applyFont="1" applyFill="1" applyBorder="1" applyAlignment="1">
      <alignment horizontal="center"/>
    </xf>
    <xf numFmtId="0" fontId="248" fillId="92" borderId="325" xfId="0" applyFont="1" applyFill="1" applyBorder="1" applyAlignment="1">
      <alignment horizontal="center"/>
    </xf>
    <xf numFmtId="0" fontId="71" fillId="92" borderId="336" xfId="2" applyNumberFormat="1" applyFont="1" applyFill="1" applyBorder="1" applyAlignment="1">
      <alignment horizontal="left"/>
    </xf>
    <xf numFmtId="0" fontId="71" fillId="92" borderId="109" xfId="2" applyNumberFormat="1" applyFont="1" applyFill="1" applyBorder="1" applyAlignment="1">
      <alignment horizontal="center"/>
    </xf>
    <xf numFmtId="0" fontId="71" fillId="92" borderId="335" xfId="2" applyNumberFormat="1" applyFont="1" applyFill="1" applyBorder="1" applyAlignment="1">
      <alignment horizontal="center"/>
    </xf>
    <xf numFmtId="168" fontId="63" fillId="0" borderId="335" xfId="0" applyNumberFormat="1" applyFont="1" applyBorder="1"/>
    <xf numFmtId="10" fontId="60" fillId="0" borderId="0" xfId="0" applyNumberFormat="1" applyFont="1"/>
    <xf numFmtId="169" fontId="62" fillId="0" borderId="12" xfId="3" applyNumberFormat="1" applyFont="1" applyBorder="1"/>
    <xf numFmtId="0" fontId="60" fillId="53" borderId="0" xfId="0" applyFont="1" applyFill="1"/>
    <xf numFmtId="168" fontId="60" fillId="53" borderId="0" xfId="0" applyNumberFormat="1" applyFont="1" applyFill="1"/>
    <xf numFmtId="0" fontId="214" fillId="92" borderId="317" xfId="36372" applyFont="1" applyFill="1" applyBorder="1" applyAlignment="1">
      <alignment wrapText="1"/>
    </xf>
    <xf numFmtId="0" fontId="214" fillId="92" borderId="277" xfId="36372" applyFont="1" applyFill="1" applyBorder="1" applyAlignment="1">
      <alignment horizontal="center" wrapText="1"/>
    </xf>
    <xf numFmtId="0" fontId="214" fillId="92" borderId="325" xfId="36372" applyFont="1" applyFill="1" applyBorder="1" applyAlignment="1">
      <alignment horizontal="center" wrapText="1"/>
    </xf>
    <xf numFmtId="0" fontId="214" fillId="92" borderId="322" xfId="36372" applyFont="1" applyFill="1" applyBorder="1" applyAlignment="1">
      <alignment horizontal="center" wrapText="1"/>
    </xf>
    <xf numFmtId="0" fontId="63" fillId="53" borderId="326" xfId="36372" applyFont="1" applyFill="1" applyBorder="1" applyAlignment="1">
      <alignment wrapText="1"/>
    </xf>
    <xf numFmtId="171" fontId="11" fillId="53" borderId="0" xfId="342" applyNumberFormat="1" applyFont="1" applyFill="1" applyBorder="1" applyAlignment="1" applyProtection="1">
      <alignment horizontal="center" wrapText="1"/>
    </xf>
    <xf numFmtId="171" fontId="11" fillId="53" borderId="4" xfId="342" applyNumberFormat="1" applyFont="1" applyFill="1" applyBorder="1" applyAlignment="1" applyProtection="1">
      <alignment wrapText="1"/>
    </xf>
    <xf numFmtId="171" fontId="11" fillId="53" borderId="326" xfId="342" applyNumberFormat="1" applyFont="1" applyFill="1" applyBorder="1" applyAlignment="1" applyProtection="1">
      <alignment horizontal="center" wrapText="1"/>
    </xf>
    <xf numFmtId="0" fontId="291" fillId="53" borderId="326" xfId="36372" applyFont="1" applyFill="1" applyBorder="1" applyAlignment="1">
      <alignment horizontal="left" wrapText="1"/>
    </xf>
    <xf numFmtId="169" fontId="291" fillId="53" borderId="0" xfId="36372" applyNumberFormat="1" applyFont="1" applyFill="1" applyAlignment="1">
      <alignment wrapText="1"/>
    </xf>
    <xf numFmtId="171" fontId="291" fillId="53" borderId="4" xfId="36372" applyNumberFormat="1" applyFont="1" applyFill="1" applyBorder="1" applyAlignment="1">
      <alignment wrapText="1"/>
    </xf>
    <xf numFmtId="169" fontId="291" fillId="53" borderId="326" xfId="36372" applyNumberFormat="1" applyFont="1" applyFill="1" applyBorder="1" applyAlignment="1">
      <alignment wrapText="1"/>
    </xf>
    <xf numFmtId="169" fontId="291" fillId="53" borderId="4" xfId="36372" applyNumberFormat="1" applyFont="1" applyFill="1" applyBorder="1" applyAlignment="1">
      <alignment wrapText="1"/>
    </xf>
    <xf numFmtId="0" fontId="63" fillId="53" borderId="9" xfId="36372" applyFont="1" applyFill="1" applyBorder="1" applyAlignment="1">
      <alignment wrapText="1"/>
    </xf>
    <xf numFmtId="169" fontId="11" fillId="53" borderId="10" xfId="3" applyNumberFormat="1" applyFont="1" applyFill="1" applyBorder="1" applyAlignment="1" applyProtection="1">
      <alignment wrapText="1"/>
    </xf>
    <xf numFmtId="169" fontId="63" fillId="53" borderId="9" xfId="36372" applyNumberFormat="1" applyFont="1" applyFill="1" applyBorder="1" applyAlignment="1">
      <alignment wrapText="1"/>
    </xf>
    <xf numFmtId="10" fontId="60" fillId="0" borderId="0" xfId="3" applyNumberFormat="1" applyFont="1"/>
    <xf numFmtId="169" fontId="63" fillId="53" borderId="11" xfId="36372" applyNumberFormat="1" applyFont="1" applyFill="1" applyBorder="1" applyAlignment="1">
      <alignment wrapText="1"/>
    </xf>
    <xf numFmtId="168" fontId="269" fillId="0" borderId="0" xfId="1" applyNumberFormat="1" applyFont="1" applyFill="1" applyBorder="1" applyAlignment="1"/>
    <xf numFmtId="9" fontId="22" fillId="53" borderId="0" xfId="0" applyNumberFormat="1" applyFont="1" applyFill="1" applyAlignment="1">
      <alignment horizontal="right"/>
    </xf>
    <xf numFmtId="168" fontId="22" fillId="53" borderId="0" xfId="0" applyNumberFormat="1" applyFont="1" applyFill="1"/>
    <xf numFmtId="168" fontId="3" fillId="53" borderId="0" xfId="0" applyNumberFormat="1" applyFont="1" applyFill="1"/>
    <xf numFmtId="168" fontId="3" fillId="53" borderId="12" xfId="1" applyNumberFormat="1" applyFont="1" applyFill="1" applyBorder="1"/>
    <xf numFmtId="3" fontId="68" fillId="53" borderId="12" xfId="0" applyNumberFormat="1" applyFont="1" applyFill="1" applyBorder="1"/>
    <xf numFmtId="0" fontId="68" fillId="53" borderId="12" xfId="0" applyFont="1" applyFill="1" applyBorder="1"/>
    <xf numFmtId="168" fontId="296" fillId="53" borderId="0" xfId="1" applyNumberFormat="1" applyFont="1" applyFill="1" applyBorder="1"/>
    <xf numFmtId="169" fontId="68" fillId="53" borderId="12" xfId="3" applyNumberFormat="1" applyFont="1" applyFill="1" applyBorder="1"/>
    <xf numFmtId="168" fontId="296" fillId="53" borderId="12" xfId="1" applyNumberFormat="1" applyFont="1" applyFill="1" applyBorder="1"/>
    <xf numFmtId="9" fontId="68" fillId="53" borderId="0" xfId="3" applyFont="1" applyFill="1" applyBorder="1"/>
    <xf numFmtId="9" fontId="68" fillId="53" borderId="12" xfId="3" applyFont="1" applyFill="1" applyBorder="1"/>
    <xf numFmtId="0" fontId="60" fillId="0" borderId="0" xfId="0" quotePrefix="1" applyFont="1"/>
    <xf numFmtId="164" fontId="0" fillId="0" borderId="0" xfId="2" applyNumberFormat="1" applyFont="1"/>
    <xf numFmtId="9" fontId="22" fillId="53" borderId="0" xfId="3" applyFont="1" applyFill="1" applyBorder="1"/>
    <xf numFmtId="0" fontId="214" fillId="92" borderId="277" xfId="36372" applyFont="1" applyFill="1" applyBorder="1" applyAlignment="1">
      <alignment horizontal="right" wrapText="1"/>
    </xf>
    <xf numFmtId="0" fontId="214" fillId="92" borderId="325" xfId="36372" applyFont="1" applyFill="1" applyBorder="1" applyAlignment="1">
      <alignment horizontal="right" wrapText="1"/>
    </xf>
    <xf numFmtId="9" fontId="291" fillId="53" borderId="0" xfId="1" applyNumberFormat="1" applyFont="1" applyFill="1" applyBorder="1"/>
    <xf numFmtId="0" fontId="71" fillId="92" borderId="310" xfId="0" applyFont="1" applyFill="1" applyBorder="1"/>
    <xf numFmtId="0" fontId="71" fillId="92" borderId="308" xfId="0" applyFont="1" applyFill="1" applyBorder="1" applyAlignment="1">
      <alignment horizontal="center"/>
    </xf>
    <xf numFmtId="0" fontId="71" fillId="92" borderId="321" xfId="0" applyFont="1" applyFill="1" applyBorder="1" applyAlignment="1">
      <alignment horizontal="center"/>
    </xf>
    <xf numFmtId="277" fontId="22" fillId="0" borderId="0" xfId="3" applyNumberFormat="1" applyFont="1" applyFill="1" applyBorder="1" applyAlignment="1">
      <alignment horizontal="right"/>
    </xf>
    <xf numFmtId="277" fontId="22" fillId="0" borderId="16" xfId="3" applyNumberFormat="1" applyFont="1" applyFill="1" applyBorder="1" applyAlignment="1">
      <alignment horizontal="right"/>
    </xf>
    <xf numFmtId="277" fontId="233" fillId="0" borderId="0" xfId="3" applyNumberFormat="1" applyFont="1" applyFill="1" applyBorder="1" applyAlignment="1">
      <alignment horizontal="right"/>
    </xf>
    <xf numFmtId="277" fontId="233" fillId="0" borderId="16" xfId="3" applyNumberFormat="1" applyFont="1" applyFill="1" applyBorder="1" applyAlignment="1">
      <alignment horizontal="right"/>
    </xf>
    <xf numFmtId="0" fontId="233" fillId="0" borderId="17" xfId="0" applyFont="1" applyBorder="1"/>
    <xf numFmtId="277" fontId="233" fillId="0" borderId="41" xfId="3" applyNumberFormat="1" applyFont="1" applyFill="1" applyBorder="1" applyAlignment="1">
      <alignment horizontal="right"/>
    </xf>
    <xf numFmtId="277" fontId="233" fillId="0" borderId="19" xfId="3" applyNumberFormat="1" applyFont="1" applyFill="1" applyBorder="1" applyAlignment="1">
      <alignment horizontal="right"/>
    </xf>
    <xf numFmtId="0" fontId="0" fillId="0" borderId="0" xfId="0" applyAlignment="1">
      <alignment horizontal="right"/>
    </xf>
    <xf numFmtId="0" fontId="24" fillId="0" borderId="0" xfId="386" applyFont="1" applyAlignment="1">
      <alignment horizontal="center"/>
    </xf>
    <xf numFmtId="168" fontId="68" fillId="53" borderId="0" xfId="1" applyNumberFormat="1" applyFont="1" applyFill="1" applyBorder="1" applyAlignment="1">
      <alignment horizontal="right"/>
    </xf>
    <xf numFmtId="9" fontId="68" fillId="53" borderId="0" xfId="3" applyFont="1" applyFill="1" applyBorder="1" applyAlignment="1">
      <alignment horizontal="right"/>
    </xf>
    <xf numFmtId="168" fontId="22" fillId="53" borderId="0" xfId="1" applyNumberFormat="1" applyFont="1" applyFill="1" applyBorder="1" applyAlignment="1">
      <alignment horizontal="right"/>
    </xf>
    <xf numFmtId="168" fontId="291" fillId="53" borderId="0" xfId="1" applyNumberFormat="1" applyFont="1" applyFill="1" applyBorder="1" applyAlignment="1">
      <alignment horizontal="right"/>
    </xf>
    <xf numFmtId="9" fontId="22" fillId="53" borderId="0" xfId="1" applyNumberFormat="1" applyFont="1" applyFill="1" applyBorder="1" applyAlignment="1">
      <alignment horizontal="right"/>
    </xf>
    <xf numFmtId="169" fontId="22" fillId="53" borderId="0" xfId="1" applyNumberFormat="1" applyFont="1" applyFill="1" applyBorder="1" applyAlignment="1">
      <alignment horizontal="right"/>
    </xf>
    <xf numFmtId="169" fontId="291" fillId="53" borderId="0" xfId="1" applyNumberFormat="1" applyFont="1" applyFill="1" applyBorder="1" applyAlignment="1">
      <alignment horizontal="right"/>
    </xf>
    <xf numFmtId="9" fontId="62" fillId="53" borderId="0" xfId="3" applyFont="1" applyFill="1" applyBorder="1" applyAlignment="1">
      <alignment horizontal="right"/>
    </xf>
    <xf numFmtId="168" fontId="68" fillId="53" borderId="0" xfId="0" applyNumberFormat="1" applyFont="1" applyFill="1" applyAlignment="1">
      <alignment horizontal="right"/>
    </xf>
    <xf numFmtId="0" fontId="68" fillId="53" borderId="11" xfId="0" applyFont="1" applyFill="1" applyBorder="1" applyAlignment="1">
      <alignment horizontal="right"/>
    </xf>
    <xf numFmtId="9" fontId="22" fillId="53" borderId="11" xfId="3" applyFont="1" applyFill="1" applyBorder="1" applyAlignment="1">
      <alignment horizontal="right"/>
    </xf>
    <xf numFmtId="9" fontId="291" fillId="53" borderId="0" xfId="1" applyNumberFormat="1" applyFont="1" applyFill="1" applyBorder="1" applyAlignment="1">
      <alignment horizontal="right"/>
    </xf>
    <xf numFmtId="41" fontId="22" fillId="0" borderId="0" xfId="2" applyNumberFormat="1" applyFont="1"/>
    <xf numFmtId="168" fontId="68" fillId="0" borderId="12" xfId="0" applyNumberFormat="1" applyFont="1" applyBorder="1"/>
    <xf numFmtId="170" fontId="68" fillId="0" borderId="0" xfId="0" applyNumberFormat="1" applyFont="1"/>
    <xf numFmtId="168" fontId="68" fillId="0" borderId="46" xfId="1" applyNumberFormat="1" applyFont="1" applyBorder="1"/>
    <xf numFmtId="0" fontId="11" fillId="2" borderId="49" xfId="0" applyFont="1" applyFill="1" applyBorder="1" applyAlignment="1">
      <alignment horizontal="center"/>
    </xf>
    <xf numFmtId="0" fontId="11" fillId="2" borderId="47" xfId="0" applyFont="1" applyFill="1" applyBorder="1" applyAlignment="1">
      <alignment horizontal="center"/>
    </xf>
    <xf numFmtId="0" fontId="11" fillId="2" borderId="48" xfId="0" applyFont="1" applyFill="1" applyBorder="1" applyAlignment="1">
      <alignment horizontal="center"/>
    </xf>
    <xf numFmtId="43" fontId="63" fillId="0" borderId="13" xfId="1" applyFont="1" applyBorder="1" applyAlignment="1">
      <alignment horizontal="center"/>
    </xf>
    <xf numFmtId="43" fontId="63" fillId="0" borderId="14" xfId="1" applyFont="1" applyBorder="1" applyAlignment="1">
      <alignment horizontal="center"/>
    </xf>
    <xf numFmtId="43" fontId="63" fillId="0" borderId="15" xfId="1" applyFont="1" applyBorder="1" applyAlignment="1">
      <alignment horizontal="center"/>
    </xf>
    <xf numFmtId="0" fontId="11" fillId="2" borderId="13" xfId="0" applyFont="1" applyFill="1" applyBorder="1" applyAlignment="1">
      <alignment horizontal="center"/>
    </xf>
    <xf numFmtId="0" fontId="11" fillId="2" borderId="14" xfId="0" applyFont="1" applyFill="1" applyBorder="1" applyAlignment="1">
      <alignment horizontal="center"/>
    </xf>
    <xf numFmtId="0" fontId="11" fillId="2" borderId="15" xfId="0" applyFont="1" applyFill="1" applyBorder="1" applyAlignment="1">
      <alignment horizontal="center"/>
    </xf>
    <xf numFmtId="0" fontId="71" fillId="53" borderId="0" xfId="0" applyFont="1" applyFill="1" applyAlignment="1">
      <alignment horizontal="center"/>
    </xf>
    <xf numFmtId="0" fontId="71" fillId="80" borderId="316" xfId="0" applyFont="1" applyFill="1" applyBorder="1" applyAlignment="1">
      <alignment horizontal="center" vertical="center"/>
    </xf>
    <xf numFmtId="0" fontId="71" fillId="80" borderId="328" xfId="0" applyFont="1" applyFill="1" applyBorder="1" applyAlignment="1">
      <alignment horizontal="center" vertical="center"/>
    </xf>
    <xf numFmtId="0" fontId="71" fillId="80" borderId="320" xfId="0" applyFont="1" applyFill="1" applyBorder="1" applyAlignment="1">
      <alignment horizontal="center" vertical="center" textRotation="90"/>
    </xf>
    <xf numFmtId="0" fontId="71" fillId="80" borderId="8" xfId="0" applyFont="1" applyFill="1" applyBorder="1" applyAlignment="1">
      <alignment horizontal="center" vertical="center" textRotation="90"/>
    </xf>
    <xf numFmtId="0" fontId="71" fillId="80" borderId="0" xfId="0" applyFont="1" applyFill="1" applyAlignment="1">
      <alignment horizontal="center"/>
    </xf>
    <xf numFmtId="0" fontId="22" fillId="80" borderId="0" xfId="0" applyFont="1" applyFill="1" applyAlignment="1">
      <alignment horizontal="center"/>
    </xf>
    <xf numFmtId="0" fontId="71" fillId="80" borderId="326" xfId="0" applyFont="1" applyFill="1" applyBorder="1" applyAlignment="1">
      <alignment horizontal="center" vertical="center" textRotation="90"/>
    </xf>
    <xf numFmtId="0" fontId="71" fillId="80" borderId="9" xfId="0" applyFont="1" applyFill="1" applyBorder="1" applyAlignment="1">
      <alignment horizontal="center" vertical="center" textRotation="90"/>
    </xf>
  </cellXfs>
  <cellStyles count="36955">
    <cellStyle name="&quot;A&quot;-style" xfId="1784" xr:uid="{00000000-0005-0000-0000-000000000000}"/>
    <cellStyle name="&quot;A&quot;-style 2" xfId="11082" xr:uid="{00000000-0005-0000-0000-000001000000}"/>
    <cellStyle name="&quot;A&quot;-style 2 2" xfId="11294" xr:uid="{00000000-0005-0000-0000-000002000000}"/>
    <cellStyle name="&quot;A&quot;-style 3" xfId="11224" xr:uid="{00000000-0005-0000-0000-000003000000}"/>
    <cellStyle name="#" xfId="409" xr:uid="{00000000-0005-0000-0000-000004000000}"/>
    <cellStyle name="#-" xfId="410" xr:uid="{00000000-0005-0000-0000-000005000000}"/>
    <cellStyle name="$" xfId="411" xr:uid="{00000000-0005-0000-0000-000006000000}"/>
    <cellStyle name="$-" xfId="412" xr:uid="{00000000-0005-0000-0000-000007000000}"/>
    <cellStyle name="$ &amp; ¢" xfId="1786" xr:uid="{00000000-0005-0000-0000-000008000000}"/>
    <cellStyle name="$ &amp; ¢ 2" xfId="1975" xr:uid="{00000000-0005-0000-0000-000009000000}"/>
    <cellStyle name="$ &amp; ¢ 2 2" xfId="11340" xr:uid="{00000000-0005-0000-0000-00000A000000}"/>
    <cellStyle name="$ &amp; ¢ 3" xfId="1994" xr:uid="{00000000-0005-0000-0000-00000B000000}"/>
    <cellStyle name="$ &amp; ¢ 3 2" xfId="11503" xr:uid="{00000000-0005-0000-0000-00000C000000}"/>
    <cellStyle name="$ 10" xfId="1993" xr:uid="{00000000-0005-0000-0000-00000D000000}"/>
    <cellStyle name="$ 10 2" xfId="11502" xr:uid="{00000000-0005-0000-0000-00000E000000}"/>
    <cellStyle name="$ 11" xfId="2067" xr:uid="{00000000-0005-0000-0000-00000F000000}"/>
    <cellStyle name="$ 11 2" xfId="11614" xr:uid="{00000000-0005-0000-0000-000010000000}"/>
    <cellStyle name="$ 12" xfId="1998" xr:uid="{00000000-0005-0000-0000-000011000000}"/>
    <cellStyle name="$ 12 2" xfId="11519" xr:uid="{00000000-0005-0000-0000-000012000000}"/>
    <cellStyle name="$ 13" xfId="2074" xr:uid="{00000000-0005-0000-0000-000013000000}"/>
    <cellStyle name="$ 13 2" xfId="11657" xr:uid="{00000000-0005-0000-0000-000014000000}"/>
    <cellStyle name="$ 14" xfId="2001" xr:uid="{00000000-0005-0000-0000-000015000000}"/>
    <cellStyle name="$ 14 2" xfId="11527" xr:uid="{00000000-0005-0000-0000-000016000000}"/>
    <cellStyle name="$ 15" xfId="2071" xr:uid="{00000000-0005-0000-0000-000017000000}"/>
    <cellStyle name="$ 15 2" xfId="11640" xr:uid="{00000000-0005-0000-0000-000018000000}"/>
    <cellStyle name="$ 16" xfId="2078" xr:uid="{00000000-0005-0000-0000-000019000000}"/>
    <cellStyle name="$ 16 2" xfId="11678" xr:uid="{00000000-0005-0000-0000-00001A000000}"/>
    <cellStyle name="$ 17" xfId="2081" xr:uid="{00000000-0005-0000-0000-00001B000000}"/>
    <cellStyle name="$ 17 2" xfId="11694" xr:uid="{00000000-0005-0000-0000-00001C000000}"/>
    <cellStyle name="$ 18" xfId="2084" xr:uid="{00000000-0005-0000-0000-00001D000000}"/>
    <cellStyle name="$ 18 2" xfId="11710" xr:uid="{00000000-0005-0000-0000-00001E000000}"/>
    <cellStyle name="$ 19" xfId="2087" xr:uid="{00000000-0005-0000-0000-00001F000000}"/>
    <cellStyle name="$ 19 2" xfId="11727" xr:uid="{00000000-0005-0000-0000-000020000000}"/>
    <cellStyle name="$ 2" xfId="1974" xr:uid="{00000000-0005-0000-0000-000021000000}"/>
    <cellStyle name="$ 2 2" xfId="11339" xr:uid="{00000000-0005-0000-0000-000022000000}"/>
    <cellStyle name="$ 20" xfId="2090" xr:uid="{00000000-0005-0000-0000-000023000000}"/>
    <cellStyle name="$ 20 2" xfId="11743" xr:uid="{00000000-0005-0000-0000-000024000000}"/>
    <cellStyle name="$ 21" xfId="2094" xr:uid="{00000000-0005-0000-0000-000025000000}"/>
    <cellStyle name="$ 21 2" xfId="11759" xr:uid="{00000000-0005-0000-0000-000026000000}"/>
    <cellStyle name="$ 22" xfId="2098" xr:uid="{00000000-0005-0000-0000-000027000000}"/>
    <cellStyle name="$ 22 2" xfId="11774" xr:uid="{00000000-0005-0000-0000-000028000000}"/>
    <cellStyle name="$ 23" xfId="2102" xr:uid="{00000000-0005-0000-0000-000029000000}"/>
    <cellStyle name="$ 23 2" xfId="11790" xr:uid="{00000000-0005-0000-0000-00002A000000}"/>
    <cellStyle name="$ 24" xfId="2106" xr:uid="{00000000-0005-0000-0000-00002B000000}"/>
    <cellStyle name="$ 24 2" xfId="11806" xr:uid="{00000000-0005-0000-0000-00002C000000}"/>
    <cellStyle name="$ 25" xfId="2109" xr:uid="{00000000-0005-0000-0000-00002D000000}"/>
    <cellStyle name="$ 25 2" xfId="11822" xr:uid="{00000000-0005-0000-0000-00002E000000}"/>
    <cellStyle name="$ 26" xfId="2112" xr:uid="{00000000-0005-0000-0000-00002F000000}"/>
    <cellStyle name="$ 26 2" xfId="11838" xr:uid="{00000000-0005-0000-0000-000030000000}"/>
    <cellStyle name="$ 27" xfId="2115" xr:uid="{00000000-0005-0000-0000-000031000000}"/>
    <cellStyle name="$ 27 2" xfId="11853" xr:uid="{00000000-0005-0000-0000-000032000000}"/>
    <cellStyle name="$ 28" xfId="2120" xr:uid="{00000000-0005-0000-0000-000033000000}"/>
    <cellStyle name="$ 28 2" xfId="11867" xr:uid="{00000000-0005-0000-0000-000034000000}"/>
    <cellStyle name="$ 29" xfId="2125" xr:uid="{00000000-0005-0000-0000-000035000000}"/>
    <cellStyle name="$ 29 2" xfId="11882" xr:uid="{00000000-0005-0000-0000-000036000000}"/>
    <cellStyle name="$ 3" xfId="1984" xr:uid="{00000000-0005-0000-0000-000037000000}"/>
    <cellStyle name="$ 3 2" xfId="11349" xr:uid="{00000000-0005-0000-0000-000038000000}"/>
    <cellStyle name="$ 30" xfId="2128" xr:uid="{00000000-0005-0000-0000-000039000000}"/>
    <cellStyle name="$ 30 2" xfId="11897" xr:uid="{00000000-0005-0000-0000-00003A000000}"/>
    <cellStyle name="$ 31" xfId="2132" xr:uid="{00000000-0005-0000-0000-00003B000000}"/>
    <cellStyle name="$ 31 2" xfId="11912" xr:uid="{00000000-0005-0000-0000-00003C000000}"/>
    <cellStyle name="$ 32" xfId="1785" xr:uid="{00000000-0005-0000-0000-00003D000000}"/>
    <cellStyle name="$ 33" xfId="10928" xr:uid="{00000000-0005-0000-0000-00003E000000}"/>
    <cellStyle name="$ 34" xfId="11083" xr:uid="{00000000-0005-0000-0000-00003F000000}"/>
    <cellStyle name="$ 35" xfId="11293" xr:uid="{00000000-0005-0000-0000-000040000000}"/>
    <cellStyle name="$ 4" xfId="1986" xr:uid="{00000000-0005-0000-0000-000041000000}"/>
    <cellStyle name="$ 4 2" xfId="11385" xr:uid="{00000000-0005-0000-0000-000042000000}"/>
    <cellStyle name="$ 5" xfId="1990" xr:uid="{00000000-0005-0000-0000-000043000000}"/>
    <cellStyle name="$ 5 2" xfId="11396" xr:uid="{00000000-0005-0000-0000-000044000000}"/>
    <cellStyle name="$ 6" xfId="1988" xr:uid="{00000000-0005-0000-0000-000045000000}"/>
    <cellStyle name="$ 6 2" xfId="11387" xr:uid="{00000000-0005-0000-0000-000046000000}"/>
    <cellStyle name="$ 7" xfId="1987" xr:uid="{00000000-0005-0000-0000-000047000000}"/>
    <cellStyle name="$ 7 2" xfId="11386" xr:uid="{00000000-0005-0000-0000-000048000000}"/>
    <cellStyle name="$ 8" xfId="1989" xr:uid="{00000000-0005-0000-0000-000049000000}"/>
    <cellStyle name="$ 8 2" xfId="11388" xr:uid="{00000000-0005-0000-0000-00004A000000}"/>
    <cellStyle name="$ 9" xfId="1991" xr:uid="{00000000-0005-0000-0000-00004B000000}"/>
    <cellStyle name="$ 9 2" xfId="11468" xr:uid="{00000000-0005-0000-0000-00004C000000}"/>
    <cellStyle name="$_Hershey_Model_0.54" xfId="413" xr:uid="{00000000-0005-0000-0000-00004D000000}"/>
    <cellStyle name="$_HSY_2006_Board_Memo_Supportv1.0" xfId="414" xr:uid="{00000000-0005-0000-0000-00004E000000}"/>
    <cellStyle name="$0.00" xfId="82" xr:uid="{00000000-0005-0000-0000-00004F000000}"/>
    <cellStyle name="$0.00 2" xfId="10403" xr:uid="{00000000-0005-0000-0000-000050000000}"/>
    <cellStyle name="$0.00 2 2" xfId="11231" xr:uid="{00000000-0005-0000-0000-000051000000}"/>
    <cellStyle name="$0.00 3" xfId="11096" xr:uid="{00000000-0005-0000-0000-000052000000}"/>
    <cellStyle name="$0.95" xfId="83" xr:uid="{00000000-0005-0000-0000-000053000000}"/>
    <cellStyle name="$0.95 2" xfId="10404" xr:uid="{00000000-0005-0000-0000-000054000000}"/>
    <cellStyle name="$0.95 2 2" xfId="11232" xr:uid="{00000000-0005-0000-0000-000055000000}"/>
    <cellStyle name="$0.95 3" xfId="11097" xr:uid="{00000000-0005-0000-0000-000056000000}"/>
    <cellStyle name="$0.99" xfId="84" xr:uid="{00000000-0005-0000-0000-000057000000}"/>
    <cellStyle name="$0.99 2" xfId="10405" xr:uid="{00000000-0005-0000-0000-000058000000}"/>
    <cellStyle name="$0.99 2 2" xfId="11233" xr:uid="{00000000-0005-0000-0000-000059000000}"/>
    <cellStyle name="$0.99 3" xfId="11098" xr:uid="{00000000-0005-0000-0000-00005A000000}"/>
    <cellStyle name="$m" xfId="415" xr:uid="{00000000-0005-0000-0000-00005B000000}"/>
    <cellStyle name="$q" xfId="416" xr:uid="{00000000-0005-0000-0000-00005C000000}"/>
    <cellStyle name="$q*" xfId="417" xr:uid="{00000000-0005-0000-0000-00005D000000}"/>
    <cellStyle name="$q_AVP" xfId="418" xr:uid="{00000000-0005-0000-0000-00005E000000}"/>
    <cellStyle name="$qA" xfId="419" xr:uid="{00000000-0005-0000-0000-00005F000000}"/>
    <cellStyle name="$qRange" xfId="420" xr:uid="{00000000-0005-0000-0000-000060000000}"/>
    <cellStyle name="%" xfId="421" xr:uid="{00000000-0005-0000-0000-000061000000}"/>
    <cellStyle name="%-" xfId="422" xr:uid="{00000000-0005-0000-0000-000062000000}"/>
    <cellStyle name="% 2" xfId="1976" xr:uid="{00000000-0005-0000-0000-000063000000}"/>
    <cellStyle name="% 2 2" xfId="11341" xr:uid="{00000000-0005-0000-0000-000064000000}"/>
    <cellStyle name="% 3" xfId="1995" xr:uid="{00000000-0005-0000-0000-000065000000}"/>
    <cellStyle name="% 3 2" xfId="11504" xr:uid="{00000000-0005-0000-0000-000066000000}"/>
    <cellStyle name="% 4" xfId="1787" xr:uid="{00000000-0005-0000-0000-000067000000}"/>
    <cellStyle name="% 5" xfId="10925" xr:uid="{00000000-0005-0000-0000-000068000000}"/>
    <cellStyle name="% 6" xfId="11084" xr:uid="{00000000-0005-0000-0000-000069000000}"/>
    <cellStyle name="% 7" xfId="11292" xr:uid="{00000000-0005-0000-0000-00006A000000}"/>
    <cellStyle name="%.00" xfId="423" xr:uid="{00000000-0005-0000-0000-00006B000000}"/>
    <cellStyle name="%.00 2" xfId="1977" xr:uid="{00000000-0005-0000-0000-00006C000000}"/>
    <cellStyle name="%.00 2 2" xfId="11342" xr:uid="{00000000-0005-0000-0000-00006D000000}"/>
    <cellStyle name="%.00 3" xfId="1996" xr:uid="{00000000-0005-0000-0000-00006E000000}"/>
    <cellStyle name="%.00 3 2" xfId="11505" xr:uid="{00000000-0005-0000-0000-00006F000000}"/>
    <cellStyle name="%.00 4" xfId="1788" xr:uid="{00000000-0005-0000-0000-000070000000}"/>
    <cellStyle name="%[0]" xfId="330" xr:uid="{00000000-0005-0000-0000-000071000000}"/>
    <cellStyle name="%[1]" xfId="331" xr:uid="{00000000-0005-0000-0000-000072000000}"/>
    <cellStyle name="%[2]" xfId="332" xr:uid="{00000000-0005-0000-0000-000073000000}"/>
    <cellStyle name="%0" xfId="424" xr:uid="{00000000-0005-0000-0000-000074000000}"/>
    <cellStyle name="%1" xfId="425" xr:uid="{00000000-0005-0000-0000-000075000000}"/>
    <cellStyle name="%2" xfId="426" xr:uid="{00000000-0005-0000-0000-000076000000}"/>
    <cellStyle name="******************************************" xfId="427" xr:uid="{00000000-0005-0000-0000-000077000000}"/>
    <cellStyle name=";;;" xfId="428" xr:uid="{00000000-0005-0000-0000-000078000000}"/>
    <cellStyle name="’Ê‰Ý [0.00]_GE 3 MINIMUM" xfId="1789" xr:uid="{00000000-0005-0000-0000-000079000000}"/>
    <cellStyle name="’Ê‰Ý_GE 3 MINIMUM" xfId="1790" xr:uid="{00000000-0005-0000-0000-00007A000000}"/>
    <cellStyle name="£ BP" xfId="429" xr:uid="{00000000-0005-0000-0000-00007B000000}"/>
    <cellStyle name="£ BP 2" xfId="1791" xr:uid="{00000000-0005-0000-0000-00007C000000}"/>
    <cellStyle name="£Currency [0]" xfId="430" xr:uid="{00000000-0005-0000-0000-00007D000000}"/>
    <cellStyle name="£Currency [1]" xfId="431" xr:uid="{00000000-0005-0000-0000-00007E000000}"/>
    <cellStyle name="£Currency [2]" xfId="432" xr:uid="{00000000-0005-0000-0000-00007F000000}"/>
    <cellStyle name="£Currency [p]" xfId="433" xr:uid="{00000000-0005-0000-0000-000080000000}"/>
    <cellStyle name="£Currency [p2]" xfId="434" xr:uid="{00000000-0005-0000-0000-000081000000}"/>
    <cellStyle name="£Pounds" xfId="435" xr:uid="{00000000-0005-0000-0000-000082000000}"/>
    <cellStyle name="¥ JY" xfId="436" xr:uid="{00000000-0005-0000-0000-000083000000}"/>
    <cellStyle name="¥ JY 2" xfId="1792" xr:uid="{00000000-0005-0000-0000-000084000000}"/>
    <cellStyle name="=C:\WINNT\SYSTEM32\COMMAND.COM" xfId="1793" xr:uid="{00000000-0005-0000-0000-000085000000}"/>
    <cellStyle name="•W_GE 3 MINIMUM" xfId="1794" xr:uid="{00000000-0005-0000-0000-000086000000}"/>
    <cellStyle name="0.0" xfId="437" xr:uid="{00000000-0005-0000-0000-000087000000}"/>
    <cellStyle name="0.0%" xfId="438" xr:uid="{00000000-0005-0000-0000-000088000000}"/>
    <cellStyle name="0.00" xfId="439" xr:uid="{00000000-0005-0000-0000-000089000000}"/>
    <cellStyle name="0000" xfId="440" xr:uid="{00000000-0005-0000-0000-00008A000000}"/>
    <cellStyle name="20% - Accent1" xfId="1756" builtinId="30" customBuiltin="1"/>
    <cellStyle name="20% - Accent1 10" xfId="19802" xr:uid="{00000000-0005-0000-0000-00008C000000}"/>
    <cellStyle name="20% - Accent1 2" xfId="30" xr:uid="{00000000-0005-0000-0000-00008D000000}"/>
    <cellStyle name="20% - Accent1 2 2" xfId="85" xr:uid="{00000000-0005-0000-0000-00008E000000}"/>
    <cellStyle name="20% - Accent1 2 2 2" xfId="2248" xr:uid="{00000000-0005-0000-0000-00008F000000}"/>
    <cellStyle name="20% - Accent1 2 2 2 2" xfId="2247" xr:uid="{00000000-0005-0000-0000-000090000000}"/>
    <cellStyle name="20% - Accent1 2 2 2 2 2" xfId="12067" xr:uid="{00000000-0005-0000-0000-000091000000}"/>
    <cellStyle name="20% - Accent1 2 2 2 2 2 2" xfId="28580" xr:uid="{00000000-0005-0000-0000-000092000000}"/>
    <cellStyle name="20% - Accent1 2 2 2 2 3" xfId="20538" xr:uid="{00000000-0005-0000-0000-000093000000}"/>
    <cellStyle name="20% - Accent1 2 2 2 3" xfId="12068" xr:uid="{00000000-0005-0000-0000-000094000000}"/>
    <cellStyle name="20% - Accent1 2 2 2 3 2" xfId="28581" xr:uid="{00000000-0005-0000-0000-000095000000}"/>
    <cellStyle name="20% - Accent1 2 2 2 4" xfId="20539" xr:uid="{00000000-0005-0000-0000-000096000000}"/>
    <cellStyle name="20% - Accent1 2 2 2 5" xfId="36822" xr:uid="{00000000-0005-0000-0000-000097000000}"/>
    <cellStyle name="20% - Accent1 2 2 3" xfId="2246" xr:uid="{00000000-0005-0000-0000-000098000000}"/>
    <cellStyle name="20% - Accent1 2 2 3 2" xfId="12066" xr:uid="{00000000-0005-0000-0000-000099000000}"/>
    <cellStyle name="20% - Accent1 2 2 3 2 2" xfId="28579" xr:uid="{00000000-0005-0000-0000-00009A000000}"/>
    <cellStyle name="20% - Accent1 2 2 3 3" xfId="20537" xr:uid="{00000000-0005-0000-0000-00009B000000}"/>
    <cellStyle name="20% - Accent1 2 2 4" xfId="2249" xr:uid="{00000000-0005-0000-0000-00009C000000}"/>
    <cellStyle name="20% - Accent1 2 2 4 2" xfId="28582" xr:uid="{00000000-0005-0000-0000-00009D000000}"/>
    <cellStyle name="20% - Accent1 2 2 5" xfId="20540" xr:uid="{00000000-0005-0000-0000-00009E000000}"/>
    <cellStyle name="20% - Accent1 2 3" xfId="2245" xr:uid="{00000000-0005-0000-0000-00009F000000}"/>
    <cellStyle name="20% - Accent1 2 3 2" xfId="2244" xr:uid="{00000000-0005-0000-0000-0000A0000000}"/>
    <cellStyle name="20% - Accent1 2 3 2 2" xfId="12064" xr:uid="{00000000-0005-0000-0000-0000A1000000}"/>
    <cellStyle name="20% - Accent1 2 3 2 2 2" xfId="28577" xr:uid="{00000000-0005-0000-0000-0000A2000000}"/>
    <cellStyle name="20% - Accent1 2 3 2 3" xfId="20535" xr:uid="{00000000-0005-0000-0000-0000A3000000}"/>
    <cellStyle name="20% - Accent1 2 3 3" xfId="12065" xr:uid="{00000000-0005-0000-0000-0000A4000000}"/>
    <cellStyle name="20% - Accent1 2 3 3 2" xfId="28578" xr:uid="{00000000-0005-0000-0000-0000A5000000}"/>
    <cellStyle name="20% - Accent1 2 3 4" xfId="20536" xr:uid="{00000000-0005-0000-0000-0000A6000000}"/>
    <cellStyle name="20% - Accent1 2 3 5" xfId="36823" xr:uid="{00000000-0005-0000-0000-0000A7000000}"/>
    <cellStyle name="20% - Accent1 2 4" xfId="2243" xr:uid="{00000000-0005-0000-0000-0000A8000000}"/>
    <cellStyle name="20% - Accent1 2 4 2" xfId="12063" xr:uid="{00000000-0005-0000-0000-0000A9000000}"/>
    <cellStyle name="20% - Accent1 2 4 2 2" xfId="28576" xr:uid="{00000000-0005-0000-0000-0000AA000000}"/>
    <cellStyle name="20% - Accent1 2 4 3" xfId="20534" xr:uid="{00000000-0005-0000-0000-0000AB000000}"/>
    <cellStyle name="20% - Accent1 2 5" xfId="10878" xr:uid="{00000000-0005-0000-0000-0000AC000000}"/>
    <cellStyle name="20% - Accent1 2 5 2" xfId="28583" xr:uid="{00000000-0005-0000-0000-0000AD000000}"/>
    <cellStyle name="20% - Accent1 2 6" xfId="2250" xr:uid="{00000000-0005-0000-0000-0000AE000000}"/>
    <cellStyle name="20% - Accent1 3" xfId="86" xr:uid="{00000000-0005-0000-0000-0000AF000000}"/>
    <cellStyle name="20% - Accent1 3 2" xfId="87" xr:uid="{00000000-0005-0000-0000-0000B0000000}"/>
    <cellStyle name="20% - Accent1 3 2 2" xfId="2242" xr:uid="{00000000-0005-0000-0000-0000B1000000}"/>
    <cellStyle name="20% - Accent1 3 2 2 2" xfId="12060" xr:uid="{00000000-0005-0000-0000-0000B2000000}"/>
    <cellStyle name="20% - Accent1 3 2 2 2 2" xfId="28573" xr:uid="{00000000-0005-0000-0000-0000B3000000}"/>
    <cellStyle name="20% - Accent1 3 2 2 3" xfId="20531" xr:uid="{00000000-0005-0000-0000-0000B4000000}"/>
    <cellStyle name="20% - Accent1 3 2 2 4" xfId="36825" xr:uid="{00000000-0005-0000-0000-0000B5000000}"/>
    <cellStyle name="20% - Accent1 3 2 3" xfId="12061" xr:uid="{00000000-0005-0000-0000-0000B6000000}"/>
    <cellStyle name="20% - Accent1 3 2 3 2" xfId="28574" xr:uid="{00000000-0005-0000-0000-0000B7000000}"/>
    <cellStyle name="20% - Accent1 3 2 4" xfId="20532" xr:uid="{00000000-0005-0000-0000-0000B8000000}"/>
    <cellStyle name="20% - Accent1 3 3" xfId="2241" xr:uid="{00000000-0005-0000-0000-0000B9000000}"/>
    <cellStyle name="20% - Accent1 3 3 2" xfId="12059" xr:uid="{00000000-0005-0000-0000-0000BA000000}"/>
    <cellStyle name="20% - Accent1 3 3 2 2" xfId="28572" xr:uid="{00000000-0005-0000-0000-0000BB000000}"/>
    <cellStyle name="20% - Accent1 3 3 3" xfId="20530" xr:uid="{00000000-0005-0000-0000-0000BC000000}"/>
    <cellStyle name="20% - Accent1 3 3 4" xfId="36824" xr:uid="{00000000-0005-0000-0000-0000BD000000}"/>
    <cellStyle name="20% - Accent1 3 4" xfId="12062" xr:uid="{00000000-0005-0000-0000-0000BE000000}"/>
    <cellStyle name="20% - Accent1 3 4 2" xfId="28575" xr:uid="{00000000-0005-0000-0000-0000BF000000}"/>
    <cellStyle name="20% - Accent1 3 5" xfId="20533" xr:uid="{00000000-0005-0000-0000-0000C0000000}"/>
    <cellStyle name="20% - Accent1 4" xfId="88" xr:uid="{00000000-0005-0000-0000-0000C1000000}"/>
    <cellStyle name="20% - Accent1 4 2" xfId="2240" xr:uid="{00000000-0005-0000-0000-0000C2000000}"/>
    <cellStyle name="20% - Accent1 4 2 2" xfId="12057" xr:uid="{00000000-0005-0000-0000-0000C3000000}"/>
    <cellStyle name="20% - Accent1 4 2 2 2" xfId="28570" xr:uid="{00000000-0005-0000-0000-0000C4000000}"/>
    <cellStyle name="20% - Accent1 4 2 3" xfId="20528" xr:uid="{00000000-0005-0000-0000-0000C5000000}"/>
    <cellStyle name="20% - Accent1 4 2 4" xfId="36826" xr:uid="{00000000-0005-0000-0000-0000C6000000}"/>
    <cellStyle name="20% - Accent1 4 3" xfId="12058" xr:uid="{00000000-0005-0000-0000-0000C7000000}"/>
    <cellStyle name="20% - Accent1 4 3 2" xfId="28571" xr:uid="{00000000-0005-0000-0000-0000C8000000}"/>
    <cellStyle name="20% - Accent1 4 4" xfId="20529" xr:uid="{00000000-0005-0000-0000-0000C9000000}"/>
    <cellStyle name="20% - Accent1 5" xfId="441" xr:uid="{00000000-0005-0000-0000-0000CA000000}"/>
    <cellStyle name="20% - Accent1 5 2" xfId="2238" xr:uid="{00000000-0005-0000-0000-0000CB000000}"/>
    <cellStyle name="20% - Accent1 5 2 2" xfId="12056" xr:uid="{00000000-0005-0000-0000-0000CC000000}"/>
    <cellStyle name="20% - Accent1 5 2 2 2" xfId="28568" xr:uid="{00000000-0005-0000-0000-0000CD000000}"/>
    <cellStyle name="20% - Accent1 5 2 3" xfId="20526" xr:uid="{00000000-0005-0000-0000-0000CE000000}"/>
    <cellStyle name="20% - Accent1 5 3" xfId="2239" xr:uid="{00000000-0005-0000-0000-0000CF000000}"/>
    <cellStyle name="20% - Accent1 5 3 2" xfId="28569" xr:uid="{00000000-0005-0000-0000-0000D0000000}"/>
    <cellStyle name="20% - Accent1 5 4" xfId="20527" xr:uid="{00000000-0005-0000-0000-0000D1000000}"/>
    <cellStyle name="20% - Accent1 6" xfId="2237" xr:uid="{00000000-0005-0000-0000-0000D2000000}"/>
    <cellStyle name="20% - Accent1 6 2" xfId="12055" xr:uid="{00000000-0005-0000-0000-0000D3000000}"/>
    <cellStyle name="20% - Accent1 6 2 2" xfId="28567" xr:uid="{00000000-0005-0000-0000-0000D4000000}"/>
    <cellStyle name="20% - Accent1 6 3" xfId="20525" xr:uid="{00000000-0005-0000-0000-0000D5000000}"/>
    <cellStyle name="20% - Accent1 7" xfId="2236" xr:uid="{00000000-0005-0000-0000-0000D6000000}"/>
    <cellStyle name="20% - Accent1 7 2" xfId="12054" xr:uid="{00000000-0005-0000-0000-0000D7000000}"/>
    <cellStyle name="20% - Accent1 7 2 2" xfId="28566" xr:uid="{00000000-0005-0000-0000-0000D8000000}"/>
    <cellStyle name="20% - Accent1 7 3" xfId="20524" xr:uid="{00000000-0005-0000-0000-0000D9000000}"/>
    <cellStyle name="20% - Accent1 8" xfId="2235" xr:uid="{00000000-0005-0000-0000-0000DA000000}"/>
    <cellStyle name="20% - Accent1 8 2" xfId="12053" xr:uid="{00000000-0005-0000-0000-0000DB000000}"/>
    <cellStyle name="20% - Accent1 8 2 2" xfId="28565" xr:uid="{00000000-0005-0000-0000-0000DC000000}"/>
    <cellStyle name="20% - Accent1 8 3" xfId="20523" xr:uid="{00000000-0005-0000-0000-0000DD000000}"/>
    <cellStyle name="20% - Accent1 9" xfId="11469" xr:uid="{00000000-0005-0000-0000-0000DE000000}"/>
    <cellStyle name="20% - Accent1 9 2" xfId="28330" xr:uid="{00000000-0005-0000-0000-0000DF000000}"/>
    <cellStyle name="20% - Accent2" xfId="1760" builtinId="34" customBuiltin="1"/>
    <cellStyle name="20% - Accent2 10" xfId="19804" xr:uid="{00000000-0005-0000-0000-0000E1000000}"/>
    <cellStyle name="20% - Accent2 2" xfId="31" xr:uid="{00000000-0005-0000-0000-0000E2000000}"/>
    <cellStyle name="20% - Accent2 2 2" xfId="89" xr:uid="{00000000-0005-0000-0000-0000E3000000}"/>
    <cellStyle name="20% - Accent2 2 2 2" xfId="2232" xr:uid="{00000000-0005-0000-0000-0000E4000000}"/>
    <cellStyle name="20% - Accent2 2 2 2 2" xfId="2231" xr:uid="{00000000-0005-0000-0000-0000E5000000}"/>
    <cellStyle name="20% - Accent2 2 2 2 2 2" xfId="12051" xr:uid="{00000000-0005-0000-0000-0000E6000000}"/>
    <cellStyle name="20% - Accent2 2 2 2 2 2 2" xfId="28561" xr:uid="{00000000-0005-0000-0000-0000E7000000}"/>
    <cellStyle name="20% - Accent2 2 2 2 2 3" xfId="20520" xr:uid="{00000000-0005-0000-0000-0000E8000000}"/>
    <cellStyle name="20% - Accent2 2 2 2 3" xfId="12052" xr:uid="{00000000-0005-0000-0000-0000E9000000}"/>
    <cellStyle name="20% - Accent2 2 2 2 3 2" xfId="28562" xr:uid="{00000000-0005-0000-0000-0000EA000000}"/>
    <cellStyle name="20% - Accent2 2 2 2 4" xfId="20521" xr:uid="{00000000-0005-0000-0000-0000EB000000}"/>
    <cellStyle name="20% - Accent2 2 2 2 5" xfId="36827" xr:uid="{00000000-0005-0000-0000-0000EC000000}"/>
    <cellStyle name="20% - Accent2 2 2 3" xfId="2230" xr:uid="{00000000-0005-0000-0000-0000ED000000}"/>
    <cellStyle name="20% - Accent2 2 2 3 2" xfId="12050" xr:uid="{00000000-0005-0000-0000-0000EE000000}"/>
    <cellStyle name="20% - Accent2 2 2 3 2 2" xfId="28560" xr:uid="{00000000-0005-0000-0000-0000EF000000}"/>
    <cellStyle name="20% - Accent2 2 2 3 3" xfId="20519" xr:uid="{00000000-0005-0000-0000-0000F0000000}"/>
    <cellStyle name="20% - Accent2 2 2 4" xfId="2233" xr:uid="{00000000-0005-0000-0000-0000F1000000}"/>
    <cellStyle name="20% - Accent2 2 2 4 2" xfId="28563" xr:uid="{00000000-0005-0000-0000-0000F2000000}"/>
    <cellStyle name="20% - Accent2 2 2 5" xfId="20522" xr:uid="{00000000-0005-0000-0000-0000F3000000}"/>
    <cellStyle name="20% - Accent2 2 3" xfId="2229" xr:uid="{00000000-0005-0000-0000-0000F4000000}"/>
    <cellStyle name="20% - Accent2 2 3 2" xfId="2228" xr:uid="{00000000-0005-0000-0000-0000F5000000}"/>
    <cellStyle name="20% - Accent2 2 3 2 2" xfId="12048" xr:uid="{00000000-0005-0000-0000-0000F6000000}"/>
    <cellStyle name="20% - Accent2 2 3 2 2 2" xfId="28558" xr:uid="{00000000-0005-0000-0000-0000F7000000}"/>
    <cellStyle name="20% - Accent2 2 3 2 3" xfId="20517" xr:uid="{00000000-0005-0000-0000-0000F8000000}"/>
    <cellStyle name="20% - Accent2 2 3 3" xfId="12049" xr:uid="{00000000-0005-0000-0000-0000F9000000}"/>
    <cellStyle name="20% - Accent2 2 3 3 2" xfId="28559" xr:uid="{00000000-0005-0000-0000-0000FA000000}"/>
    <cellStyle name="20% - Accent2 2 3 4" xfId="20518" xr:uid="{00000000-0005-0000-0000-0000FB000000}"/>
    <cellStyle name="20% - Accent2 2 3 5" xfId="36828" xr:uid="{00000000-0005-0000-0000-0000FC000000}"/>
    <cellStyle name="20% - Accent2 2 4" xfId="2227" xr:uid="{00000000-0005-0000-0000-0000FD000000}"/>
    <cellStyle name="20% - Accent2 2 4 2" xfId="12047" xr:uid="{00000000-0005-0000-0000-0000FE000000}"/>
    <cellStyle name="20% - Accent2 2 4 2 2" xfId="28557" xr:uid="{00000000-0005-0000-0000-0000FF000000}"/>
    <cellStyle name="20% - Accent2 2 4 3" xfId="20516" xr:uid="{00000000-0005-0000-0000-000000010000}"/>
    <cellStyle name="20% - Accent2 2 5" xfId="10879" xr:uid="{00000000-0005-0000-0000-000001010000}"/>
    <cellStyle name="20% - Accent2 2 5 2" xfId="28564" xr:uid="{00000000-0005-0000-0000-000002010000}"/>
    <cellStyle name="20% - Accent2 2 6" xfId="2234" xr:uid="{00000000-0005-0000-0000-000003010000}"/>
    <cellStyle name="20% - Accent2 3" xfId="90" xr:uid="{00000000-0005-0000-0000-000004010000}"/>
    <cellStyle name="20% - Accent2 3 2" xfId="91" xr:uid="{00000000-0005-0000-0000-000005010000}"/>
    <cellStyle name="20% - Accent2 3 2 2" xfId="2226" xr:uid="{00000000-0005-0000-0000-000006010000}"/>
    <cellStyle name="20% - Accent2 3 2 2 2" xfId="12044" xr:uid="{00000000-0005-0000-0000-000007010000}"/>
    <cellStyle name="20% - Accent2 3 2 2 2 2" xfId="28554" xr:uid="{00000000-0005-0000-0000-000008010000}"/>
    <cellStyle name="20% - Accent2 3 2 2 3" xfId="20513" xr:uid="{00000000-0005-0000-0000-000009010000}"/>
    <cellStyle name="20% - Accent2 3 2 2 4" xfId="36830" xr:uid="{00000000-0005-0000-0000-00000A010000}"/>
    <cellStyle name="20% - Accent2 3 2 3" xfId="12045" xr:uid="{00000000-0005-0000-0000-00000B010000}"/>
    <cellStyle name="20% - Accent2 3 2 3 2" xfId="28555" xr:uid="{00000000-0005-0000-0000-00000C010000}"/>
    <cellStyle name="20% - Accent2 3 2 4" xfId="20514" xr:uid="{00000000-0005-0000-0000-00000D010000}"/>
    <cellStyle name="20% - Accent2 3 3" xfId="2225" xr:uid="{00000000-0005-0000-0000-00000E010000}"/>
    <cellStyle name="20% - Accent2 3 3 2" xfId="12043" xr:uid="{00000000-0005-0000-0000-00000F010000}"/>
    <cellStyle name="20% - Accent2 3 3 2 2" xfId="28553" xr:uid="{00000000-0005-0000-0000-000010010000}"/>
    <cellStyle name="20% - Accent2 3 3 3" xfId="20512" xr:uid="{00000000-0005-0000-0000-000011010000}"/>
    <cellStyle name="20% - Accent2 3 3 4" xfId="36829" xr:uid="{00000000-0005-0000-0000-000012010000}"/>
    <cellStyle name="20% - Accent2 3 4" xfId="12046" xr:uid="{00000000-0005-0000-0000-000013010000}"/>
    <cellStyle name="20% - Accent2 3 4 2" xfId="28556" xr:uid="{00000000-0005-0000-0000-000014010000}"/>
    <cellStyle name="20% - Accent2 3 5" xfId="20515" xr:uid="{00000000-0005-0000-0000-000015010000}"/>
    <cellStyle name="20% - Accent2 4" xfId="92" xr:uid="{00000000-0005-0000-0000-000016010000}"/>
    <cellStyle name="20% - Accent2 4 2" xfId="2224" xr:uid="{00000000-0005-0000-0000-000017010000}"/>
    <cellStyle name="20% - Accent2 4 2 2" xfId="12041" xr:uid="{00000000-0005-0000-0000-000018010000}"/>
    <cellStyle name="20% - Accent2 4 2 2 2" xfId="28551" xr:uid="{00000000-0005-0000-0000-000019010000}"/>
    <cellStyle name="20% - Accent2 4 2 3" xfId="20510" xr:uid="{00000000-0005-0000-0000-00001A010000}"/>
    <cellStyle name="20% - Accent2 4 2 4" xfId="36831" xr:uid="{00000000-0005-0000-0000-00001B010000}"/>
    <cellStyle name="20% - Accent2 4 3" xfId="12042" xr:uid="{00000000-0005-0000-0000-00001C010000}"/>
    <cellStyle name="20% - Accent2 4 3 2" xfId="28552" xr:uid="{00000000-0005-0000-0000-00001D010000}"/>
    <cellStyle name="20% - Accent2 4 4" xfId="20511" xr:uid="{00000000-0005-0000-0000-00001E010000}"/>
    <cellStyle name="20% - Accent2 5" xfId="442" xr:uid="{00000000-0005-0000-0000-00001F010000}"/>
    <cellStyle name="20% - Accent2 5 2" xfId="2222" xr:uid="{00000000-0005-0000-0000-000020010000}"/>
    <cellStyle name="20% - Accent2 5 2 2" xfId="12040" xr:uid="{00000000-0005-0000-0000-000021010000}"/>
    <cellStyle name="20% - Accent2 5 2 2 2" xfId="28549" xr:uid="{00000000-0005-0000-0000-000022010000}"/>
    <cellStyle name="20% - Accent2 5 2 3" xfId="20508" xr:uid="{00000000-0005-0000-0000-000023010000}"/>
    <cellStyle name="20% - Accent2 5 3" xfId="2223" xr:uid="{00000000-0005-0000-0000-000024010000}"/>
    <cellStyle name="20% - Accent2 5 3 2" xfId="28550" xr:uid="{00000000-0005-0000-0000-000025010000}"/>
    <cellStyle name="20% - Accent2 5 4" xfId="20509" xr:uid="{00000000-0005-0000-0000-000026010000}"/>
    <cellStyle name="20% - Accent2 6" xfId="2221" xr:uid="{00000000-0005-0000-0000-000027010000}"/>
    <cellStyle name="20% - Accent2 6 2" xfId="12039" xr:uid="{00000000-0005-0000-0000-000028010000}"/>
    <cellStyle name="20% - Accent2 6 2 2" xfId="28548" xr:uid="{00000000-0005-0000-0000-000029010000}"/>
    <cellStyle name="20% - Accent2 6 3" xfId="20507" xr:uid="{00000000-0005-0000-0000-00002A010000}"/>
    <cellStyle name="20% - Accent2 7" xfId="2220" xr:uid="{00000000-0005-0000-0000-00002B010000}"/>
    <cellStyle name="20% - Accent2 7 2" xfId="12038" xr:uid="{00000000-0005-0000-0000-00002C010000}"/>
    <cellStyle name="20% - Accent2 7 2 2" xfId="28547" xr:uid="{00000000-0005-0000-0000-00002D010000}"/>
    <cellStyle name="20% - Accent2 7 3" xfId="20506" xr:uid="{00000000-0005-0000-0000-00002E010000}"/>
    <cellStyle name="20% - Accent2 8" xfId="2219" xr:uid="{00000000-0005-0000-0000-00002F010000}"/>
    <cellStyle name="20% - Accent2 8 2" xfId="12037" xr:uid="{00000000-0005-0000-0000-000030010000}"/>
    <cellStyle name="20% - Accent2 8 2 2" xfId="28546" xr:uid="{00000000-0005-0000-0000-000031010000}"/>
    <cellStyle name="20% - Accent2 8 3" xfId="20505" xr:uid="{00000000-0005-0000-0000-000032010000}"/>
    <cellStyle name="20% - Accent2 9" xfId="11471" xr:uid="{00000000-0005-0000-0000-000033010000}"/>
    <cellStyle name="20% - Accent2 9 2" xfId="28332" xr:uid="{00000000-0005-0000-0000-000034010000}"/>
    <cellStyle name="20% - Accent3" xfId="1764" builtinId="38" customBuiltin="1"/>
    <cellStyle name="20% - Accent3 10" xfId="19806" xr:uid="{00000000-0005-0000-0000-000036010000}"/>
    <cellStyle name="20% - Accent3 2" xfId="32" xr:uid="{00000000-0005-0000-0000-000037010000}"/>
    <cellStyle name="20% - Accent3 2 2" xfId="93" xr:uid="{00000000-0005-0000-0000-000038010000}"/>
    <cellStyle name="20% - Accent3 2 2 2" xfId="2216" xr:uid="{00000000-0005-0000-0000-000039010000}"/>
    <cellStyle name="20% - Accent3 2 2 2 2" xfId="2215" xr:uid="{00000000-0005-0000-0000-00003A010000}"/>
    <cellStyle name="20% - Accent3 2 2 2 2 2" xfId="12035" xr:uid="{00000000-0005-0000-0000-00003B010000}"/>
    <cellStyle name="20% - Accent3 2 2 2 2 2 2" xfId="28542" xr:uid="{00000000-0005-0000-0000-00003C010000}"/>
    <cellStyle name="20% - Accent3 2 2 2 2 3" xfId="20502" xr:uid="{00000000-0005-0000-0000-00003D010000}"/>
    <cellStyle name="20% - Accent3 2 2 2 3" xfId="12036" xr:uid="{00000000-0005-0000-0000-00003E010000}"/>
    <cellStyle name="20% - Accent3 2 2 2 3 2" xfId="28543" xr:uid="{00000000-0005-0000-0000-00003F010000}"/>
    <cellStyle name="20% - Accent3 2 2 2 4" xfId="20503" xr:uid="{00000000-0005-0000-0000-000040010000}"/>
    <cellStyle name="20% - Accent3 2 2 2 5" xfId="36832" xr:uid="{00000000-0005-0000-0000-000041010000}"/>
    <cellStyle name="20% - Accent3 2 2 3" xfId="2214" xr:uid="{00000000-0005-0000-0000-000042010000}"/>
    <cellStyle name="20% - Accent3 2 2 3 2" xfId="12034" xr:uid="{00000000-0005-0000-0000-000043010000}"/>
    <cellStyle name="20% - Accent3 2 2 3 2 2" xfId="28541" xr:uid="{00000000-0005-0000-0000-000044010000}"/>
    <cellStyle name="20% - Accent3 2 2 3 3" xfId="20501" xr:uid="{00000000-0005-0000-0000-000045010000}"/>
    <cellStyle name="20% - Accent3 2 2 4" xfId="2217" xr:uid="{00000000-0005-0000-0000-000046010000}"/>
    <cellStyle name="20% - Accent3 2 2 4 2" xfId="28544" xr:uid="{00000000-0005-0000-0000-000047010000}"/>
    <cellStyle name="20% - Accent3 2 2 5" xfId="20504" xr:uid="{00000000-0005-0000-0000-000048010000}"/>
    <cellStyle name="20% - Accent3 2 3" xfId="2213" xr:uid="{00000000-0005-0000-0000-000049010000}"/>
    <cellStyle name="20% - Accent3 2 3 2" xfId="2212" xr:uid="{00000000-0005-0000-0000-00004A010000}"/>
    <cellStyle name="20% - Accent3 2 3 2 2" xfId="12032" xr:uid="{00000000-0005-0000-0000-00004B010000}"/>
    <cellStyle name="20% - Accent3 2 3 2 2 2" xfId="28539" xr:uid="{00000000-0005-0000-0000-00004C010000}"/>
    <cellStyle name="20% - Accent3 2 3 2 3" xfId="20499" xr:uid="{00000000-0005-0000-0000-00004D010000}"/>
    <cellStyle name="20% - Accent3 2 3 3" xfId="12033" xr:uid="{00000000-0005-0000-0000-00004E010000}"/>
    <cellStyle name="20% - Accent3 2 3 3 2" xfId="28540" xr:uid="{00000000-0005-0000-0000-00004F010000}"/>
    <cellStyle name="20% - Accent3 2 3 4" xfId="20500" xr:uid="{00000000-0005-0000-0000-000050010000}"/>
    <cellStyle name="20% - Accent3 2 3 5" xfId="36833" xr:uid="{00000000-0005-0000-0000-000051010000}"/>
    <cellStyle name="20% - Accent3 2 4" xfId="2211" xr:uid="{00000000-0005-0000-0000-000052010000}"/>
    <cellStyle name="20% - Accent3 2 4 2" xfId="12031" xr:uid="{00000000-0005-0000-0000-000053010000}"/>
    <cellStyle name="20% - Accent3 2 4 2 2" xfId="28538" xr:uid="{00000000-0005-0000-0000-000054010000}"/>
    <cellStyle name="20% - Accent3 2 4 3" xfId="20498" xr:uid="{00000000-0005-0000-0000-000055010000}"/>
    <cellStyle name="20% - Accent3 2 5" xfId="10880" xr:uid="{00000000-0005-0000-0000-000056010000}"/>
    <cellStyle name="20% - Accent3 2 5 2" xfId="28545" xr:uid="{00000000-0005-0000-0000-000057010000}"/>
    <cellStyle name="20% - Accent3 2 6" xfId="2218" xr:uid="{00000000-0005-0000-0000-000058010000}"/>
    <cellStyle name="20% - Accent3 3" xfId="94" xr:uid="{00000000-0005-0000-0000-000059010000}"/>
    <cellStyle name="20% - Accent3 3 2" xfId="95" xr:uid="{00000000-0005-0000-0000-00005A010000}"/>
    <cellStyle name="20% - Accent3 3 2 2" xfId="2210" xr:uid="{00000000-0005-0000-0000-00005B010000}"/>
    <cellStyle name="20% - Accent3 3 2 2 2" xfId="12028" xr:uid="{00000000-0005-0000-0000-00005C010000}"/>
    <cellStyle name="20% - Accent3 3 2 2 2 2" xfId="28535" xr:uid="{00000000-0005-0000-0000-00005D010000}"/>
    <cellStyle name="20% - Accent3 3 2 2 3" xfId="20495" xr:uid="{00000000-0005-0000-0000-00005E010000}"/>
    <cellStyle name="20% - Accent3 3 2 2 4" xfId="36835" xr:uid="{00000000-0005-0000-0000-00005F010000}"/>
    <cellStyle name="20% - Accent3 3 2 3" xfId="12029" xr:uid="{00000000-0005-0000-0000-000060010000}"/>
    <cellStyle name="20% - Accent3 3 2 3 2" xfId="28536" xr:uid="{00000000-0005-0000-0000-000061010000}"/>
    <cellStyle name="20% - Accent3 3 2 4" xfId="20496" xr:uid="{00000000-0005-0000-0000-000062010000}"/>
    <cellStyle name="20% - Accent3 3 3" xfId="2209" xr:uid="{00000000-0005-0000-0000-000063010000}"/>
    <cellStyle name="20% - Accent3 3 3 2" xfId="12027" xr:uid="{00000000-0005-0000-0000-000064010000}"/>
    <cellStyle name="20% - Accent3 3 3 2 2" xfId="28534" xr:uid="{00000000-0005-0000-0000-000065010000}"/>
    <cellStyle name="20% - Accent3 3 3 3" xfId="20494" xr:uid="{00000000-0005-0000-0000-000066010000}"/>
    <cellStyle name="20% - Accent3 3 3 4" xfId="36834" xr:uid="{00000000-0005-0000-0000-000067010000}"/>
    <cellStyle name="20% - Accent3 3 4" xfId="12030" xr:uid="{00000000-0005-0000-0000-000068010000}"/>
    <cellStyle name="20% - Accent3 3 4 2" xfId="28537" xr:uid="{00000000-0005-0000-0000-000069010000}"/>
    <cellStyle name="20% - Accent3 3 5" xfId="20497" xr:uid="{00000000-0005-0000-0000-00006A010000}"/>
    <cellStyle name="20% - Accent3 4" xfId="96" xr:uid="{00000000-0005-0000-0000-00006B010000}"/>
    <cellStyle name="20% - Accent3 4 2" xfId="2208" xr:uid="{00000000-0005-0000-0000-00006C010000}"/>
    <cellStyle name="20% - Accent3 4 2 2" xfId="12025" xr:uid="{00000000-0005-0000-0000-00006D010000}"/>
    <cellStyle name="20% - Accent3 4 2 2 2" xfId="28532" xr:uid="{00000000-0005-0000-0000-00006E010000}"/>
    <cellStyle name="20% - Accent3 4 2 3" xfId="20492" xr:uid="{00000000-0005-0000-0000-00006F010000}"/>
    <cellStyle name="20% - Accent3 4 2 4" xfId="36836" xr:uid="{00000000-0005-0000-0000-000070010000}"/>
    <cellStyle name="20% - Accent3 4 3" xfId="12026" xr:uid="{00000000-0005-0000-0000-000071010000}"/>
    <cellStyle name="20% - Accent3 4 3 2" xfId="28533" xr:uid="{00000000-0005-0000-0000-000072010000}"/>
    <cellStyle name="20% - Accent3 4 4" xfId="20493" xr:uid="{00000000-0005-0000-0000-000073010000}"/>
    <cellStyle name="20% - Accent3 5" xfId="443" xr:uid="{00000000-0005-0000-0000-000074010000}"/>
    <cellStyle name="20% - Accent3 5 2" xfId="2206" xr:uid="{00000000-0005-0000-0000-000075010000}"/>
    <cellStyle name="20% - Accent3 5 2 2" xfId="12024" xr:uid="{00000000-0005-0000-0000-000076010000}"/>
    <cellStyle name="20% - Accent3 5 2 2 2" xfId="28530" xr:uid="{00000000-0005-0000-0000-000077010000}"/>
    <cellStyle name="20% - Accent3 5 2 3" xfId="20490" xr:uid="{00000000-0005-0000-0000-000078010000}"/>
    <cellStyle name="20% - Accent3 5 3" xfId="2207" xr:uid="{00000000-0005-0000-0000-000079010000}"/>
    <cellStyle name="20% - Accent3 5 3 2" xfId="28531" xr:uid="{00000000-0005-0000-0000-00007A010000}"/>
    <cellStyle name="20% - Accent3 5 4" xfId="20491" xr:uid="{00000000-0005-0000-0000-00007B010000}"/>
    <cellStyle name="20% - Accent3 6" xfId="2205" xr:uid="{00000000-0005-0000-0000-00007C010000}"/>
    <cellStyle name="20% - Accent3 6 2" xfId="12023" xr:uid="{00000000-0005-0000-0000-00007D010000}"/>
    <cellStyle name="20% - Accent3 6 2 2" xfId="28529" xr:uid="{00000000-0005-0000-0000-00007E010000}"/>
    <cellStyle name="20% - Accent3 6 3" xfId="20489" xr:uid="{00000000-0005-0000-0000-00007F010000}"/>
    <cellStyle name="20% - Accent3 7" xfId="2204" xr:uid="{00000000-0005-0000-0000-000080010000}"/>
    <cellStyle name="20% - Accent3 7 2" xfId="12022" xr:uid="{00000000-0005-0000-0000-000081010000}"/>
    <cellStyle name="20% - Accent3 7 2 2" xfId="28528" xr:uid="{00000000-0005-0000-0000-000082010000}"/>
    <cellStyle name="20% - Accent3 7 3" xfId="20488" xr:uid="{00000000-0005-0000-0000-000083010000}"/>
    <cellStyle name="20% - Accent3 8" xfId="2203" xr:uid="{00000000-0005-0000-0000-000084010000}"/>
    <cellStyle name="20% - Accent3 8 2" xfId="12021" xr:uid="{00000000-0005-0000-0000-000085010000}"/>
    <cellStyle name="20% - Accent3 8 2 2" xfId="28527" xr:uid="{00000000-0005-0000-0000-000086010000}"/>
    <cellStyle name="20% - Accent3 8 3" xfId="20487" xr:uid="{00000000-0005-0000-0000-000087010000}"/>
    <cellStyle name="20% - Accent3 9" xfId="11473" xr:uid="{00000000-0005-0000-0000-000088010000}"/>
    <cellStyle name="20% - Accent3 9 2" xfId="28334" xr:uid="{00000000-0005-0000-0000-000089010000}"/>
    <cellStyle name="20% - Accent4" xfId="1768" builtinId="42" customBuiltin="1"/>
    <cellStyle name="20% - Accent4 10" xfId="19808" xr:uid="{00000000-0005-0000-0000-00008B010000}"/>
    <cellStyle name="20% - Accent4 2" xfId="33" xr:uid="{00000000-0005-0000-0000-00008C010000}"/>
    <cellStyle name="20% - Accent4 2 2" xfId="97" xr:uid="{00000000-0005-0000-0000-00008D010000}"/>
    <cellStyle name="20% - Accent4 2 2 2" xfId="2200" xr:uid="{00000000-0005-0000-0000-00008E010000}"/>
    <cellStyle name="20% - Accent4 2 2 2 2" xfId="2199" xr:uid="{00000000-0005-0000-0000-00008F010000}"/>
    <cellStyle name="20% - Accent4 2 2 2 2 2" xfId="12019" xr:uid="{00000000-0005-0000-0000-000090010000}"/>
    <cellStyle name="20% - Accent4 2 2 2 2 2 2" xfId="28523" xr:uid="{00000000-0005-0000-0000-000091010000}"/>
    <cellStyle name="20% - Accent4 2 2 2 2 3" xfId="20484" xr:uid="{00000000-0005-0000-0000-000092010000}"/>
    <cellStyle name="20% - Accent4 2 2 2 3" xfId="12020" xr:uid="{00000000-0005-0000-0000-000093010000}"/>
    <cellStyle name="20% - Accent4 2 2 2 3 2" xfId="28524" xr:uid="{00000000-0005-0000-0000-000094010000}"/>
    <cellStyle name="20% - Accent4 2 2 2 4" xfId="20485" xr:uid="{00000000-0005-0000-0000-000095010000}"/>
    <cellStyle name="20% - Accent4 2 2 2 5" xfId="36837" xr:uid="{00000000-0005-0000-0000-000096010000}"/>
    <cellStyle name="20% - Accent4 2 2 3" xfId="2198" xr:uid="{00000000-0005-0000-0000-000097010000}"/>
    <cellStyle name="20% - Accent4 2 2 3 2" xfId="12018" xr:uid="{00000000-0005-0000-0000-000098010000}"/>
    <cellStyle name="20% - Accent4 2 2 3 2 2" xfId="28522" xr:uid="{00000000-0005-0000-0000-000099010000}"/>
    <cellStyle name="20% - Accent4 2 2 3 3" xfId="20483" xr:uid="{00000000-0005-0000-0000-00009A010000}"/>
    <cellStyle name="20% - Accent4 2 2 4" xfId="2201" xr:uid="{00000000-0005-0000-0000-00009B010000}"/>
    <cellStyle name="20% - Accent4 2 2 4 2" xfId="28525" xr:uid="{00000000-0005-0000-0000-00009C010000}"/>
    <cellStyle name="20% - Accent4 2 2 5" xfId="20486" xr:uid="{00000000-0005-0000-0000-00009D010000}"/>
    <cellStyle name="20% - Accent4 2 3" xfId="2197" xr:uid="{00000000-0005-0000-0000-00009E010000}"/>
    <cellStyle name="20% - Accent4 2 3 2" xfId="2196" xr:uid="{00000000-0005-0000-0000-00009F010000}"/>
    <cellStyle name="20% - Accent4 2 3 2 2" xfId="12016" xr:uid="{00000000-0005-0000-0000-0000A0010000}"/>
    <cellStyle name="20% - Accent4 2 3 2 2 2" xfId="28520" xr:uid="{00000000-0005-0000-0000-0000A1010000}"/>
    <cellStyle name="20% - Accent4 2 3 2 3" xfId="20481" xr:uid="{00000000-0005-0000-0000-0000A2010000}"/>
    <cellStyle name="20% - Accent4 2 3 3" xfId="12017" xr:uid="{00000000-0005-0000-0000-0000A3010000}"/>
    <cellStyle name="20% - Accent4 2 3 3 2" xfId="28521" xr:uid="{00000000-0005-0000-0000-0000A4010000}"/>
    <cellStyle name="20% - Accent4 2 3 4" xfId="20482" xr:uid="{00000000-0005-0000-0000-0000A5010000}"/>
    <cellStyle name="20% - Accent4 2 3 5" xfId="36838" xr:uid="{00000000-0005-0000-0000-0000A6010000}"/>
    <cellStyle name="20% - Accent4 2 4" xfId="2195" xr:uid="{00000000-0005-0000-0000-0000A7010000}"/>
    <cellStyle name="20% - Accent4 2 4 2" xfId="12015" xr:uid="{00000000-0005-0000-0000-0000A8010000}"/>
    <cellStyle name="20% - Accent4 2 4 2 2" xfId="28519" xr:uid="{00000000-0005-0000-0000-0000A9010000}"/>
    <cellStyle name="20% - Accent4 2 4 3" xfId="20480" xr:uid="{00000000-0005-0000-0000-0000AA010000}"/>
    <cellStyle name="20% - Accent4 2 5" xfId="10881" xr:uid="{00000000-0005-0000-0000-0000AB010000}"/>
    <cellStyle name="20% - Accent4 2 5 2" xfId="28526" xr:uid="{00000000-0005-0000-0000-0000AC010000}"/>
    <cellStyle name="20% - Accent4 2 6" xfId="2202" xr:uid="{00000000-0005-0000-0000-0000AD010000}"/>
    <cellStyle name="20% - Accent4 3" xfId="98" xr:uid="{00000000-0005-0000-0000-0000AE010000}"/>
    <cellStyle name="20% - Accent4 3 2" xfId="99" xr:uid="{00000000-0005-0000-0000-0000AF010000}"/>
    <cellStyle name="20% - Accent4 3 2 2" xfId="2194" xr:uid="{00000000-0005-0000-0000-0000B0010000}"/>
    <cellStyle name="20% - Accent4 3 2 2 2" xfId="12012" xr:uid="{00000000-0005-0000-0000-0000B1010000}"/>
    <cellStyle name="20% - Accent4 3 2 2 2 2" xfId="28516" xr:uid="{00000000-0005-0000-0000-0000B2010000}"/>
    <cellStyle name="20% - Accent4 3 2 2 3" xfId="20477" xr:uid="{00000000-0005-0000-0000-0000B3010000}"/>
    <cellStyle name="20% - Accent4 3 2 2 4" xfId="36840" xr:uid="{00000000-0005-0000-0000-0000B4010000}"/>
    <cellStyle name="20% - Accent4 3 2 3" xfId="12013" xr:uid="{00000000-0005-0000-0000-0000B5010000}"/>
    <cellStyle name="20% - Accent4 3 2 3 2" xfId="28517" xr:uid="{00000000-0005-0000-0000-0000B6010000}"/>
    <cellStyle name="20% - Accent4 3 2 4" xfId="20478" xr:uid="{00000000-0005-0000-0000-0000B7010000}"/>
    <cellStyle name="20% - Accent4 3 3" xfId="2193" xr:uid="{00000000-0005-0000-0000-0000B8010000}"/>
    <cellStyle name="20% - Accent4 3 3 2" xfId="12011" xr:uid="{00000000-0005-0000-0000-0000B9010000}"/>
    <cellStyle name="20% - Accent4 3 3 2 2" xfId="28515" xr:uid="{00000000-0005-0000-0000-0000BA010000}"/>
    <cellStyle name="20% - Accent4 3 3 3" xfId="20476" xr:uid="{00000000-0005-0000-0000-0000BB010000}"/>
    <cellStyle name="20% - Accent4 3 3 4" xfId="36839" xr:uid="{00000000-0005-0000-0000-0000BC010000}"/>
    <cellStyle name="20% - Accent4 3 4" xfId="12014" xr:uid="{00000000-0005-0000-0000-0000BD010000}"/>
    <cellStyle name="20% - Accent4 3 4 2" xfId="28518" xr:uid="{00000000-0005-0000-0000-0000BE010000}"/>
    <cellStyle name="20% - Accent4 3 5" xfId="20479" xr:uid="{00000000-0005-0000-0000-0000BF010000}"/>
    <cellStyle name="20% - Accent4 4" xfId="100" xr:uid="{00000000-0005-0000-0000-0000C0010000}"/>
    <cellStyle name="20% - Accent4 4 2" xfId="2192" xr:uid="{00000000-0005-0000-0000-0000C1010000}"/>
    <cellStyle name="20% - Accent4 4 2 2" xfId="12009" xr:uid="{00000000-0005-0000-0000-0000C2010000}"/>
    <cellStyle name="20% - Accent4 4 2 2 2" xfId="28513" xr:uid="{00000000-0005-0000-0000-0000C3010000}"/>
    <cellStyle name="20% - Accent4 4 2 3" xfId="20474" xr:uid="{00000000-0005-0000-0000-0000C4010000}"/>
    <cellStyle name="20% - Accent4 4 2 4" xfId="36841" xr:uid="{00000000-0005-0000-0000-0000C5010000}"/>
    <cellStyle name="20% - Accent4 4 3" xfId="12010" xr:uid="{00000000-0005-0000-0000-0000C6010000}"/>
    <cellStyle name="20% - Accent4 4 3 2" xfId="28514" xr:uid="{00000000-0005-0000-0000-0000C7010000}"/>
    <cellStyle name="20% - Accent4 4 4" xfId="20475" xr:uid="{00000000-0005-0000-0000-0000C8010000}"/>
    <cellStyle name="20% - Accent4 5" xfId="444" xr:uid="{00000000-0005-0000-0000-0000C9010000}"/>
    <cellStyle name="20% - Accent4 5 2" xfId="2190" xr:uid="{00000000-0005-0000-0000-0000CA010000}"/>
    <cellStyle name="20% - Accent4 5 2 2" xfId="12008" xr:uid="{00000000-0005-0000-0000-0000CB010000}"/>
    <cellStyle name="20% - Accent4 5 2 2 2" xfId="28511" xr:uid="{00000000-0005-0000-0000-0000CC010000}"/>
    <cellStyle name="20% - Accent4 5 2 3" xfId="20472" xr:uid="{00000000-0005-0000-0000-0000CD010000}"/>
    <cellStyle name="20% - Accent4 5 3" xfId="2191" xr:uid="{00000000-0005-0000-0000-0000CE010000}"/>
    <cellStyle name="20% - Accent4 5 3 2" xfId="28512" xr:uid="{00000000-0005-0000-0000-0000CF010000}"/>
    <cellStyle name="20% - Accent4 5 4" xfId="20473" xr:uid="{00000000-0005-0000-0000-0000D0010000}"/>
    <cellStyle name="20% - Accent4 6" xfId="2189" xr:uid="{00000000-0005-0000-0000-0000D1010000}"/>
    <cellStyle name="20% - Accent4 6 2" xfId="12007" xr:uid="{00000000-0005-0000-0000-0000D2010000}"/>
    <cellStyle name="20% - Accent4 6 2 2" xfId="28510" xr:uid="{00000000-0005-0000-0000-0000D3010000}"/>
    <cellStyle name="20% - Accent4 6 3" xfId="20471" xr:uid="{00000000-0005-0000-0000-0000D4010000}"/>
    <cellStyle name="20% - Accent4 7" xfId="2188" xr:uid="{00000000-0005-0000-0000-0000D5010000}"/>
    <cellStyle name="20% - Accent4 7 2" xfId="12006" xr:uid="{00000000-0005-0000-0000-0000D6010000}"/>
    <cellStyle name="20% - Accent4 7 2 2" xfId="28509" xr:uid="{00000000-0005-0000-0000-0000D7010000}"/>
    <cellStyle name="20% - Accent4 7 3" xfId="20470" xr:uid="{00000000-0005-0000-0000-0000D8010000}"/>
    <cellStyle name="20% - Accent4 8" xfId="2187" xr:uid="{00000000-0005-0000-0000-0000D9010000}"/>
    <cellStyle name="20% - Accent4 8 2" xfId="12005" xr:uid="{00000000-0005-0000-0000-0000DA010000}"/>
    <cellStyle name="20% - Accent4 8 2 2" xfId="28508" xr:uid="{00000000-0005-0000-0000-0000DB010000}"/>
    <cellStyle name="20% - Accent4 8 3" xfId="20469" xr:uid="{00000000-0005-0000-0000-0000DC010000}"/>
    <cellStyle name="20% - Accent4 9" xfId="11475" xr:uid="{00000000-0005-0000-0000-0000DD010000}"/>
    <cellStyle name="20% - Accent4 9 2" xfId="28336" xr:uid="{00000000-0005-0000-0000-0000DE010000}"/>
    <cellStyle name="20% - Accent5" xfId="1772" builtinId="46" customBuiltin="1"/>
    <cellStyle name="20% - Accent5 10" xfId="19810" xr:uid="{00000000-0005-0000-0000-0000E0010000}"/>
    <cellStyle name="20% - Accent5 2" xfId="34" xr:uid="{00000000-0005-0000-0000-0000E1010000}"/>
    <cellStyle name="20% - Accent5 2 2" xfId="2185" xr:uid="{00000000-0005-0000-0000-0000E2010000}"/>
    <cellStyle name="20% - Accent5 2 2 2" xfId="2184" xr:uid="{00000000-0005-0000-0000-0000E3010000}"/>
    <cellStyle name="20% - Accent5 2 2 2 2" xfId="2183" xr:uid="{00000000-0005-0000-0000-0000E4010000}"/>
    <cellStyle name="20% - Accent5 2 2 2 2 2" xfId="12002" xr:uid="{00000000-0005-0000-0000-0000E5010000}"/>
    <cellStyle name="20% - Accent5 2 2 2 2 2 2" xfId="28504" xr:uid="{00000000-0005-0000-0000-0000E6010000}"/>
    <cellStyle name="20% - Accent5 2 2 2 2 3" xfId="20466" xr:uid="{00000000-0005-0000-0000-0000E7010000}"/>
    <cellStyle name="20% - Accent5 2 2 2 3" xfId="12003" xr:uid="{00000000-0005-0000-0000-0000E8010000}"/>
    <cellStyle name="20% - Accent5 2 2 2 3 2" xfId="28505" xr:uid="{00000000-0005-0000-0000-0000E9010000}"/>
    <cellStyle name="20% - Accent5 2 2 2 4" xfId="20467" xr:uid="{00000000-0005-0000-0000-0000EA010000}"/>
    <cellStyle name="20% - Accent5 2 2 3" xfId="2182" xr:uid="{00000000-0005-0000-0000-0000EB010000}"/>
    <cellStyle name="20% - Accent5 2 2 3 2" xfId="12001" xr:uid="{00000000-0005-0000-0000-0000EC010000}"/>
    <cellStyle name="20% - Accent5 2 2 3 2 2" xfId="28503" xr:uid="{00000000-0005-0000-0000-0000ED010000}"/>
    <cellStyle name="20% - Accent5 2 2 3 3" xfId="20465" xr:uid="{00000000-0005-0000-0000-0000EE010000}"/>
    <cellStyle name="20% - Accent5 2 2 4" xfId="12004" xr:uid="{00000000-0005-0000-0000-0000EF010000}"/>
    <cellStyle name="20% - Accent5 2 2 4 2" xfId="28506" xr:uid="{00000000-0005-0000-0000-0000F0010000}"/>
    <cellStyle name="20% - Accent5 2 2 5" xfId="20468" xr:uid="{00000000-0005-0000-0000-0000F1010000}"/>
    <cellStyle name="20% - Accent5 2 2 6" xfId="36842" xr:uid="{00000000-0005-0000-0000-0000F2010000}"/>
    <cellStyle name="20% - Accent5 2 3" xfId="2181" xr:uid="{00000000-0005-0000-0000-0000F3010000}"/>
    <cellStyle name="20% - Accent5 2 3 2" xfId="2180" xr:uid="{00000000-0005-0000-0000-0000F4010000}"/>
    <cellStyle name="20% - Accent5 2 3 2 2" xfId="11999" xr:uid="{00000000-0005-0000-0000-0000F5010000}"/>
    <cellStyle name="20% - Accent5 2 3 2 2 2" xfId="28501" xr:uid="{00000000-0005-0000-0000-0000F6010000}"/>
    <cellStyle name="20% - Accent5 2 3 2 3" xfId="20463" xr:uid="{00000000-0005-0000-0000-0000F7010000}"/>
    <cellStyle name="20% - Accent5 2 3 3" xfId="12000" xr:uid="{00000000-0005-0000-0000-0000F8010000}"/>
    <cellStyle name="20% - Accent5 2 3 3 2" xfId="28502" xr:uid="{00000000-0005-0000-0000-0000F9010000}"/>
    <cellStyle name="20% - Accent5 2 3 4" xfId="20464" xr:uid="{00000000-0005-0000-0000-0000FA010000}"/>
    <cellStyle name="20% - Accent5 2 4" xfId="2179" xr:uid="{00000000-0005-0000-0000-0000FB010000}"/>
    <cellStyle name="20% - Accent5 2 4 2" xfId="11998" xr:uid="{00000000-0005-0000-0000-0000FC010000}"/>
    <cellStyle name="20% - Accent5 2 4 2 2" xfId="28500" xr:uid="{00000000-0005-0000-0000-0000FD010000}"/>
    <cellStyle name="20% - Accent5 2 4 3" xfId="20462" xr:uid="{00000000-0005-0000-0000-0000FE010000}"/>
    <cellStyle name="20% - Accent5 2 5" xfId="10882" xr:uid="{00000000-0005-0000-0000-0000FF010000}"/>
    <cellStyle name="20% - Accent5 2 5 2" xfId="28507" xr:uid="{00000000-0005-0000-0000-000000020000}"/>
    <cellStyle name="20% - Accent5 2 6" xfId="2186" xr:uid="{00000000-0005-0000-0000-000001020000}"/>
    <cellStyle name="20% - Accent5 3" xfId="101" xr:uid="{00000000-0005-0000-0000-000002020000}"/>
    <cellStyle name="20% - Accent5 3 2" xfId="102" xr:uid="{00000000-0005-0000-0000-000003020000}"/>
    <cellStyle name="20% - Accent5 3 2 2" xfId="2178" xr:uid="{00000000-0005-0000-0000-000004020000}"/>
    <cellStyle name="20% - Accent5 3 2 2 2" xfId="11995" xr:uid="{00000000-0005-0000-0000-000005020000}"/>
    <cellStyle name="20% - Accent5 3 2 2 2 2" xfId="28497" xr:uid="{00000000-0005-0000-0000-000006020000}"/>
    <cellStyle name="20% - Accent5 3 2 2 3" xfId="20459" xr:uid="{00000000-0005-0000-0000-000007020000}"/>
    <cellStyle name="20% - Accent5 3 2 3" xfId="11996" xr:uid="{00000000-0005-0000-0000-000008020000}"/>
    <cellStyle name="20% - Accent5 3 2 3 2" xfId="28498" xr:uid="{00000000-0005-0000-0000-000009020000}"/>
    <cellStyle name="20% - Accent5 3 2 4" xfId="20460" xr:uid="{00000000-0005-0000-0000-00000A020000}"/>
    <cellStyle name="20% - Accent5 3 3" xfId="2177" xr:uid="{00000000-0005-0000-0000-00000B020000}"/>
    <cellStyle name="20% - Accent5 3 3 2" xfId="11994" xr:uid="{00000000-0005-0000-0000-00000C020000}"/>
    <cellStyle name="20% - Accent5 3 3 2 2" xfId="28496" xr:uid="{00000000-0005-0000-0000-00000D020000}"/>
    <cellStyle name="20% - Accent5 3 3 3" xfId="20458" xr:uid="{00000000-0005-0000-0000-00000E020000}"/>
    <cellStyle name="20% - Accent5 3 4" xfId="11997" xr:uid="{00000000-0005-0000-0000-00000F020000}"/>
    <cellStyle name="20% - Accent5 3 4 2" xfId="28499" xr:uid="{00000000-0005-0000-0000-000010020000}"/>
    <cellStyle name="20% - Accent5 3 5" xfId="20461" xr:uid="{00000000-0005-0000-0000-000011020000}"/>
    <cellStyle name="20% - Accent5 4" xfId="103" xr:uid="{00000000-0005-0000-0000-000012020000}"/>
    <cellStyle name="20% - Accent5 4 2" xfId="2176" xr:uid="{00000000-0005-0000-0000-000013020000}"/>
    <cellStyle name="20% - Accent5 4 2 2" xfId="11992" xr:uid="{00000000-0005-0000-0000-000014020000}"/>
    <cellStyle name="20% - Accent5 4 2 2 2" xfId="28494" xr:uid="{00000000-0005-0000-0000-000015020000}"/>
    <cellStyle name="20% - Accent5 4 2 3" xfId="20456" xr:uid="{00000000-0005-0000-0000-000016020000}"/>
    <cellStyle name="20% - Accent5 4 3" xfId="11993" xr:uid="{00000000-0005-0000-0000-000017020000}"/>
    <cellStyle name="20% - Accent5 4 3 2" xfId="28495" xr:uid="{00000000-0005-0000-0000-000018020000}"/>
    <cellStyle name="20% - Accent5 4 4" xfId="20457" xr:uid="{00000000-0005-0000-0000-000019020000}"/>
    <cellStyle name="20% - Accent5 5" xfId="445" xr:uid="{00000000-0005-0000-0000-00001A020000}"/>
    <cellStyle name="20% - Accent5 5 2" xfId="2174" xr:uid="{00000000-0005-0000-0000-00001B020000}"/>
    <cellStyle name="20% - Accent5 5 2 2" xfId="11991" xr:uid="{00000000-0005-0000-0000-00001C020000}"/>
    <cellStyle name="20% - Accent5 5 2 2 2" xfId="28492" xr:uid="{00000000-0005-0000-0000-00001D020000}"/>
    <cellStyle name="20% - Accent5 5 2 3" xfId="20454" xr:uid="{00000000-0005-0000-0000-00001E020000}"/>
    <cellStyle name="20% - Accent5 5 3" xfId="2175" xr:uid="{00000000-0005-0000-0000-00001F020000}"/>
    <cellStyle name="20% - Accent5 5 3 2" xfId="28493" xr:uid="{00000000-0005-0000-0000-000020020000}"/>
    <cellStyle name="20% - Accent5 5 4" xfId="20455" xr:uid="{00000000-0005-0000-0000-000021020000}"/>
    <cellStyle name="20% - Accent5 6" xfId="2173" xr:uid="{00000000-0005-0000-0000-000022020000}"/>
    <cellStyle name="20% - Accent5 6 2" xfId="11990" xr:uid="{00000000-0005-0000-0000-000023020000}"/>
    <cellStyle name="20% - Accent5 6 2 2" xfId="28491" xr:uid="{00000000-0005-0000-0000-000024020000}"/>
    <cellStyle name="20% - Accent5 6 3" xfId="20453" xr:uid="{00000000-0005-0000-0000-000025020000}"/>
    <cellStyle name="20% - Accent5 7" xfId="2172" xr:uid="{00000000-0005-0000-0000-000026020000}"/>
    <cellStyle name="20% - Accent5 7 2" xfId="11989" xr:uid="{00000000-0005-0000-0000-000027020000}"/>
    <cellStyle name="20% - Accent5 7 2 2" xfId="28490" xr:uid="{00000000-0005-0000-0000-000028020000}"/>
    <cellStyle name="20% - Accent5 7 3" xfId="20452" xr:uid="{00000000-0005-0000-0000-000029020000}"/>
    <cellStyle name="20% - Accent5 8" xfId="2171" xr:uid="{00000000-0005-0000-0000-00002A020000}"/>
    <cellStyle name="20% - Accent5 8 2" xfId="11988" xr:uid="{00000000-0005-0000-0000-00002B020000}"/>
    <cellStyle name="20% - Accent5 8 2 2" xfId="28489" xr:uid="{00000000-0005-0000-0000-00002C020000}"/>
    <cellStyle name="20% - Accent5 8 3" xfId="20451" xr:uid="{00000000-0005-0000-0000-00002D020000}"/>
    <cellStyle name="20% - Accent5 9" xfId="11477" xr:uid="{00000000-0005-0000-0000-00002E020000}"/>
    <cellStyle name="20% - Accent5 9 2" xfId="28338" xr:uid="{00000000-0005-0000-0000-00002F020000}"/>
    <cellStyle name="20% - Accent6" xfId="1776" builtinId="50" customBuiltin="1"/>
    <cellStyle name="20% - Accent6 10" xfId="19812" xr:uid="{00000000-0005-0000-0000-000031020000}"/>
    <cellStyle name="20% - Accent6 2" xfId="35" xr:uid="{00000000-0005-0000-0000-000032020000}"/>
    <cellStyle name="20% - Accent6 2 2" xfId="104" xr:uid="{00000000-0005-0000-0000-000033020000}"/>
    <cellStyle name="20% - Accent6 2 2 2" xfId="2168" xr:uid="{00000000-0005-0000-0000-000034020000}"/>
    <cellStyle name="20% - Accent6 2 2 2 2" xfId="2167" xr:uid="{00000000-0005-0000-0000-000035020000}"/>
    <cellStyle name="20% - Accent6 2 2 2 2 2" xfId="11986" xr:uid="{00000000-0005-0000-0000-000036020000}"/>
    <cellStyle name="20% - Accent6 2 2 2 2 2 2" xfId="28485" xr:uid="{00000000-0005-0000-0000-000037020000}"/>
    <cellStyle name="20% - Accent6 2 2 2 2 3" xfId="20448" xr:uid="{00000000-0005-0000-0000-000038020000}"/>
    <cellStyle name="20% - Accent6 2 2 2 3" xfId="11987" xr:uid="{00000000-0005-0000-0000-000039020000}"/>
    <cellStyle name="20% - Accent6 2 2 2 3 2" xfId="28486" xr:uid="{00000000-0005-0000-0000-00003A020000}"/>
    <cellStyle name="20% - Accent6 2 2 2 4" xfId="20449" xr:uid="{00000000-0005-0000-0000-00003B020000}"/>
    <cellStyle name="20% - Accent6 2 2 2 5" xfId="36843" xr:uid="{00000000-0005-0000-0000-00003C020000}"/>
    <cellStyle name="20% - Accent6 2 2 3" xfId="2166" xr:uid="{00000000-0005-0000-0000-00003D020000}"/>
    <cellStyle name="20% - Accent6 2 2 3 2" xfId="11985" xr:uid="{00000000-0005-0000-0000-00003E020000}"/>
    <cellStyle name="20% - Accent6 2 2 3 2 2" xfId="28484" xr:uid="{00000000-0005-0000-0000-00003F020000}"/>
    <cellStyle name="20% - Accent6 2 2 3 3" xfId="20447" xr:uid="{00000000-0005-0000-0000-000040020000}"/>
    <cellStyle name="20% - Accent6 2 2 4" xfId="2169" xr:uid="{00000000-0005-0000-0000-000041020000}"/>
    <cellStyle name="20% - Accent6 2 2 4 2" xfId="28487" xr:uid="{00000000-0005-0000-0000-000042020000}"/>
    <cellStyle name="20% - Accent6 2 2 5" xfId="20450" xr:uid="{00000000-0005-0000-0000-000043020000}"/>
    <cellStyle name="20% - Accent6 2 3" xfId="2165" xr:uid="{00000000-0005-0000-0000-000044020000}"/>
    <cellStyle name="20% - Accent6 2 3 2" xfId="2164" xr:uid="{00000000-0005-0000-0000-000045020000}"/>
    <cellStyle name="20% - Accent6 2 3 2 2" xfId="11983" xr:uid="{00000000-0005-0000-0000-000046020000}"/>
    <cellStyle name="20% - Accent6 2 3 2 2 2" xfId="28482" xr:uid="{00000000-0005-0000-0000-000047020000}"/>
    <cellStyle name="20% - Accent6 2 3 2 3" xfId="20445" xr:uid="{00000000-0005-0000-0000-000048020000}"/>
    <cellStyle name="20% - Accent6 2 3 3" xfId="11984" xr:uid="{00000000-0005-0000-0000-000049020000}"/>
    <cellStyle name="20% - Accent6 2 3 3 2" xfId="28483" xr:uid="{00000000-0005-0000-0000-00004A020000}"/>
    <cellStyle name="20% - Accent6 2 3 4" xfId="20446" xr:uid="{00000000-0005-0000-0000-00004B020000}"/>
    <cellStyle name="20% - Accent6 2 3 5" xfId="36844" xr:uid="{00000000-0005-0000-0000-00004C020000}"/>
    <cellStyle name="20% - Accent6 2 4" xfId="2163" xr:uid="{00000000-0005-0000-0000-00004D020000}"/>
    <cellStyle name="20% - Accent6 2 4 2" xfId="11982" xr:uid="{00000000-0005-0000-0000-00004E020000}"/>
    <cellStyle name="20% - Accent6 2 4 2 2" xfId="28481" xr:uid="{00000000-0005-0000-0000-00004F020000}"/>
    <cellStyle name="20% - Accent6 2 4 3" xfId="20444" xr:uid="{00000000-0005-0000-0000-000050020000}"/>
    <cellStyle name="20% - Accent6 2 5" xfId="10883" xr:uid="{00000000-0005-0000-0000-000051020000}"/>
    <cellStyle name="20% - Accent6 2 5 2" xfId="28488" xr:uid="{00000000-0005-0000-0000-000052020000}"/>
    <cellStyle name="20% - Accent6 2 6" xfId="2170" xr:uid="{00000000-0005-0000-0000-000053020000}"/>
    <cellStyle name="20% - Accent6 3" xfId="105" xr:uid="{00000000-0005-0000-0000-000054020000}"/>
    <cellStyle name="20% - Accent6 3 2" xfId="106" xr:uid="{00000000-0005-0000-0000-000055020000}"/>
    <cellStyle name="20% - Accent6 3 2 2" xfId="2162" xr:uid="{00000000-0005-0000-0000-000056020000}"/>
    <cellStyle name="20% - Accent6 3 2 2 2" xfId="11979" xr:uid="{00000000-0005-0000-0000-000057020000}"/>
    <cellStyle name="20% - Accent6 3 2 2 2 2" xfId="28478" xr:uid="{00000000-0005-0000-0000-000058020000}"/>
    <cellStyle name="20% - Accent6 3 2 2 3" xfId="20441" xr:uid="{00000000-0005-0000-0000-000059020000}"/>
    <cellStyle name="20% - Accent6 3 2 3" xfId="11980" xr:uid="{00000000-0005-0000-0000-00005A020000}"/>
    <cellStyle name="20% - Accent6 3 2 3 2" xfId="28479" xr:uid="{00000000-0005-0000-0000-00005B020000}"/>
    <cellStyle name="20% - Accent6 3 2 4" xfId="20442" xr:uid="{00000000-0005-0000-0000-00005C020000}"/>
    <cellStyle name="20% - Accent6 3 3" xfId="2161" xr:uid="{00000000-0005-0000-0000-00005D020000}"/>
    <cellStyle name="20% - Accent6 3 3 2" xfId="11978" xr:uid="{00000000-0005-0000-0000-00005E020000}"/>
    <cellStyle name="20% - Accent6 3 3 2 2" xfId="28477" xr:uid="{00000000-0005-0000-0000-00005F020000}"/>
    <cellStyle name="20% - Accent6 3 3 3" xfId="20440" xr:uid="{00000000-0005-0000-0000-000060020000}"/>
    <cellStyle name="20% - Accent6 3 4" xfId="11981" xr:uid="{00000000-0005-0000-0000-000061020000}"/>
    <cellStyle name="20% - Accent6 3 4 2" xfId="28480" xr:uid="{00000000-0005-0000-0000-000062020000}"/>
    <cellStyle name="20% - Accent6 3 5" xfId="20443" xr:uid="{00000000-0005-0000-0000-000063020000}"/>
    <cellStyle name="20% - Accent6 4" xfId="107" xr:uid="{00000000-0005-0000-0000-000064020000}"/>
    <cellStyle name="20% - Accent6 4 2" xfId="2160" xr:uid="{00000000-0005-0000-0000-000065020000}"/>
    <cellStyle name="20% - Accent6 4 2 2" xfId="11976" xr:uid="{00000000-0005-0000-0000-000066020000}"/>
    <cellStyle name="20% - Accent6 4 2 2 2" xfId="28475" xr:uid="{00000000-0005-0000-0000-000067020000}"/>
    <cellStyle name="20% - Accent6 4 2 3" xfId="20438" xr:uid="{00000000-0005-0000-0000-000068020000}"/>
    <cellStyle name="20% - Accent6 4 3" xfId="11977" xr:uid="{00000000-0005-0000-0000-000069020000}"/>
    <cellStyle name="20% - Accent6 4 3 2" xfId="28476" xr:uid="{00000000-0005-0000-0000-00006A020000}"/>
    <cellStyle name="20% - Accent6 4 4" xfId="20439" xr:uid="{00000000-0005-0000-0000-00006B020000}"/>
    <cellStyle name="20% - Accent6 5" xfId="446" xr:uid="{00000000-0005-0000-0000-00006C020000}"/>
    <cellStyle name="20% - Accent6 5 2" xfId="2158" xr:uid="{00000000-0005-0000-0000-00006D020000}"/>
    <cellStyle name="20% - Accent6 5 2 2" xfId="11975" xr:uid="{00000000-0005-0000-0000-00006E020000}"/>
    <cellStyle name="20% - Accent6 5 2 2 2" xfId="28473" xr:uid="{00000000-0005-0000-0000-00006F020000}"/>
    <cellStyle name="20% - Accent6 5 2 3" xfId="20436" xr:uid="{00000000-0005-0000-0000-000070020000}"/>
    <cellStyle name="20% - Accent6 5 3" xfId="2159" xr:uid="{00000000-0005-0000-0000-000071020000}"/>
    <cellStyle name="20% - Accent6 5 3 2" xfId="28474" xr:uid="{00000000-0005-0000-0000-000072020000}"/>
    <cellStyle name="20% - Accent6 5 4" xfId="20437" xr:uid="{00000000-0005-0000-0000-000073020000}"/>
    <cellStyle name="20% - Accent6 6" xfId="2157" xr:uid="{00000000-0005-0000-0000-000074020000}"/>
    <cellStyle name="20% - Accent6 6 2" xfId="11974" xr:uid="{00000000-0005-0000-0000-000075020000}"/>
    <cellStyle name="20% - Accent6 6 2 2" xfId="28472" xr:uid="{00000000-0005-0000-0000-000076020000}"/>
    <cellStyle name="20% - Accent6 6 3" xfId="20435" xr:uid="{00000000-0005-0000-0000-000077020000}"/>
    <cellStyle name="20% - Accent6 7" xfId="2156" xr:uid="{00000000-0005-0000-0000-000078020000}"/>
    <cellStyle name="20% - Accent6 7 2" xfId="11973" xr:uid="{00000000-0005-0000-0000-000079020000}"/>
    <cellStyle name="20% - Accent6 7 2 2" xfId="28471" xr:uid="{00000000-0005-0000-0000-00007A020000}"/>
    <cellStyle name="20% - Accent6 7 3" xfId="20434" xr:uid="{00000000-0005-0000-0000-00007B020000}"/>
    <cellStyle name="20% - Accent6 8" xfId="2154" xr:uid="{00000000-0005-0000-0000-00007C020000}"/>
    <cellStyle name="20% - Accent6 8 2" xfId="11972" xr:uid="{00000000-0005-0000-0000-00007D020000}"/>
    <cellStyle name="20% - Accent6 8 2 2" xfId="28470" xr:uid="{00000000-0005-0000-0000-00007E020000}"/>
    <cellStyle name="20% - Accent6 8 3" xfId="20433" xr:uid="{00000000-0005-0000-0000-00007F020000}"/>
    <cellStyle name="20% - Accent6 9" xfId="11479" xr:uid="{00000000-0005-0000-0000-000080020000}"/>
    <cellStyle name="20% - Accent6 9 2" xfId="28340" xr:uid="{00000000-0005-0000-0000-000081020000}"/>
    <cellStyle name="20% - Ênfase1" xfId="1795" xr:uid="{00000000-0005-0000-0000-000082020000}"/>
    <cellStyle name="20% - Ênfase2" xfId="1796" xr:uid="{00000000-0005-0000-0000-000083020000}"/>
    <cellStyle name="20% - Ênfase3" xfId="1797" xr:uid="{00000000-0005-0000-0000-000084020000}"/>
    <cellStyle name="20% - Ênfase4" xfId="1798" xr:uid="{00000000-0005-0000-0000-000085020000}"/>
    <cellStyle name="20% - Ênfase5" xfId="1799" xr:uid="{00000000-0005-0000-0000-000086020000}"/>
    <cellStyle name="20% - Ênfase6" xfId="1800" xr:uid="{00000000-0005-0000-0000-000087020000}"/>
    <cellStyle name="20% - Énfasis1" xfId="1801" xr:uid="{00000000-0005-0000-0000-000088020000}"/>
    <cellStyle name="20% - Énfasis2" xfId="1802" xr:uid="{00000000-0005-0000-0000-000089020000}"/>
    <cellStyle name="20% - Énfasis3" xfId="1803" xr:uid="{00000000-0005-0000-0000-00008A020000}"/>
    <cellStyle name="20% - Énfasis4" xfId="1804" xr:uid="{00000000-0005-0000-0000-00008B020000}"/>
    <cellStyle name="20% - Énfasis5" xfId="1805" xr:uid="{00000000-0005-0000-0000-00008C020000}"/>
    <cellStyle name="20% - Énfasis6" xfId="1806" xr:uid="{00000000-0005-0000-0000-00008D020000}"/>
    <cellStyle name="40% - Accent1" xfId="1757" builtinId="31" customBuiltin="1"/>
    <cellStyle name="40% - Accent1 10" xfId="19803" xr:uid="{00000000-0005-0000-0000-00008F020000}"/>
    <cellStyle name="40% - Accent1 2" xfId="36" xr:uid="{00000000-0005-0000-0000-000090020000}"/>
    <cellStyle name="40% - Accent1 2 2" xfId="108" xr:uid="{00000000-0005-0000-0000-000091020000}"/>
    <cellStyle name="40% - Accent1 2 2 2" xfId="2151" xr:uid="{00000000-0005-0000-0000-000092020000}"/>
    <cellStyle name="40% - Accent1 2 2 2 2" xfId="2150" xr:uid="{00000000-0005-0000-0000-000093020000}"/>
    <cellStyle name="40% - Accent1 2 2 2 2 2" xfId="11970" xr:uid="{00000000-0005-0000-0000-000094020000}"/>
    <cellStyle name="40% - Accent1 2 2 2 2 2 2" xfId="28466" xr:uid="{00000000-0005-0000-0000-000095020000}"/>
    <cellStyle name="40% - Accent1 2 2 2 2 3" xfId="20430" xr:uid="{00000000-0005-0000-0000-000096020000}"/>
    <cellStyle name="40% - Accent1 2 2 2 3" xfId="11971" xr:uid="{00000000-0005-0000-0000-000097020000}"/>
    <cellStyle name="40% - Accent1 2 2 2 3 2" xfId="28467" xr:uid="{00000000-0005-0000-0000-000098020000}"/>
    <cellStyle name="40% - Accent1 2 2 2 4" xfId="20431" xr:uid="{00000000-0005-0000-0000-000099020000}"/>
    <cellStyle name="40% - Accent1 2 2 2 5" xfId="36845" xr:uid="{00000000-0005-0000-0000-00009A020000}"/>
    <cellStyle name="40% - Accent1 2 2 3" xfId="2149" xr:uid="{00000000-0005-0000-0000-00009B020000}"/>
    <cellStyle name="40% - Accent1 2 2 3 2" xfId="11969" xr:uid="{00000000-0005-0000-0000-00009C020000}"/>
    <cellStyle name="40% - Accent1 2 2 3 2 2" xfId="28465" xr:uid="{00000000-0005-0000-0000-00009D020000}"/>
    <cellStyle name="40% - Accent1 2 2 3 3" xfId="20429" xr:uid="{00000000-0005-0000-0000-00009E020000}"/>
    <cellStyle name="40% - Accent1 2 2 4" xfId="2152" xr:uid="{00000000-0005-0000-0000-00009F020000}"/>
    <cellStyle name="40% - Accent1 2 2 4 2" xfId="28468" xr:uid="{00000000-0005-0000-0000-0000A0020000}"/>
    <cellStyle name="40% - Accent1 2 2 5" xfId="20432" xr:uid="{00000000-0005-0000-0000-0000A1020000}"/>
    <cellStyle name="40% - Accent1 2 3" xfId="2148" xr:uid="{00000000-0005-0000-0000-0000A2020000}"/>
    <cellStyle name="40% - Accent1 2 3 2" xfId="2147" xr:uid="{00000000-0005-0000-0000-0000A3020000}"/>
    <cellStyle name="40% - Accent1 2 3 2 2" xfId="11967" xr:uid="{00000000-0005-0000-0000-0000A4020000}"/>
    <cellStyle name="40% - Accent1 2 3 2 2 2" xfId="28463" xr:uid="{00000000-0005-0000-0000-0000A5020000}"/>
    <cellStyle name="40% - Accent1 2 3 2 3" xfId="20427" xr:uid="{00000000-0005-0000-0000-0000A6020000}"/>
    <cellStyle name="40% - Accent1 2 3 3" xfId="11968" xr:uid="{00000000-0005-0000-0000-0000A7020000}"/>
    <cellStyle name="40% - Accent1 2 3 3 2" xfId="28464" xr:uid="{00000000-0005-0000-0000-0000A8020000}"/>
    <cellStyle name="40% - Accent1 2 3 4" xfId="20428" xr:uid="{00000000-0005-0000-0000-0000A9020000}"/>
    <cellStyle name="40% - Accent1 2 3 5" xfId="36846" xr:uid="{00000000-0005-0000-0000-0000AA020000}"/>
    <cellStyle name="40% - Accent1 2 4" xfId="2146" xr:uid="{00000000-0005-0000-0000-0000AB020000}"/>
    <cellStyle name="40% - Accent1 2 4 2" xfId="11966" xr:uid="{00000000-0005-0000-0000-0000AC020000}"/>
    <cellStyle name="40% - Accent1 2 4 2 2" xfId="28462" xr:uid="{00000000-0005-0000-0000-0000AD020000}"/>
    <cellStyle name="40% - Accent1 2 4 3" xfId="20426" xr:uid="{00000000-0005-0000-0000-0000AE020000}"/>
    <cellStyle name="40% - Accent1 2 5" xfId="10884" xr:uid="{00000000-0005-0000-0000-0000AF020000}"/>
    <cellStyle name="40% - Accent1 2 5 2" xfId="28469" xr:uid="{00000000-0005-0000-0000-0000B0020000}"/>
    <cellStyle name="40% - Accent1 2 6" xfId="2153" xr:uid="{00000000-0005-0000-0000-0000B1020000}"/>
    <cellStyle name="40% - Accent1 3" xfId="109" xr:uid="{00000000-0005-0000-0000-0000B2020000}"/>
    <cellStyle name="40% - Accent1 3 2" xfId="110" xr:uid="{00000000-0005-0000-0000-0000B3020000}"/>
    <cellStyle name="40% - Accent1 3 2 2" xfId="2145" xr:uid="{00000000-0005-0000-0000-0000B4020000}"/>
    <cellStyle name="40% - Accent1 3 2 2 2" xfId="11963" xr:uid="{00000000-0005-0000-0000-0000B5020000}"/>
    <cellStyle name="40% - Accent1 3 2 2 2 2" xfId="28459" xr:uid="{00000000-0005-0000-0000-0000B6020000}"/>
    <cellStyle name="40% - Accent1 3 2 2 3" xfId="20423" xr:uid="{00000000-0005-0000-0000-0000B7020000}"/>
    <cellStyle name="40% - Accent1 3 2 2 4" xfId="36848" xr:uid="{00000000-0005-0000-0000-0000B8020000}"/>
    <cellStyle name="40% - Accent1 3 2 3" xfId="11964" xr:uid="{00000000-0005-0000-0000-0000B9020000}"/>
    <cellStyle name="40% - Accent1 3 2 3 2" xfId="28460" xr:uid="{00000000-0005-0000-0000-0000BA020000}"/>
    <cellStyle name="40% - Accent1 3 2 4" xfId="20424" xr:uid="{00000000-0005-0000-0000-0000BB020000}"/>
    <cellStyle name="40% - Accent1 3 3" xfId="2144" xr:uid="{00000000-0005-0000-0000-0000BC020000}"/>
    <cellStyle name="40% - Accent1 3 3 2" xfId="11962" xr:uid="{00000000-0005-0000-0000-0000BD020000}"/>
    <cellStyle name="40% - Accent1 3 3 2 2" xfId="28458" xr:uid="{00000000-0005-0000-0000-0000BE020000}"/>
    <cellStyle name="40% - Accent1 3 3 3" xfId="20422" xr:uid="{00000000-0005-0000-0000-0000BF020000}"/>
    <cellStyle name="40% - Accent1 3 3 4" xfId="36847" xr:uid="{00000000-0005-0000-0000-0000C0020000}"/>
    <cellStyle name="40% - Accent1 3 4" xfId="11965" xr:uid="{00000000-0005-0000-0000-0000C1020000}"/>
    <cellStyle name="40% - Accent1 3 4 2" xfId="28461" xr:uid="{00000000-0005-0000-0000-0000C2020000}"/>
    <cellStyle name="40% - Accent1 3 5" xfId="20425" xr:uid="{00000000-0005-0000-0000-0000C3020000}"/>
    <cellStyle name="40% - Accent1 4" xfId="111" xr:uid="{00000000-0005-0000-0000-0000C4020000}"/>
    <cellStyle name="40% - Accent1 4 2" xfId="2143" xr:uid="{00000000-0005-0000-0000-0000C5020000}"/>
    <cellStyle name="40% - Accent1 4 2 2" xfId="11960" xr:uid="{00000000-0005-0000-0000-0000C6020000}"/>
    <cellStyle name="40% - Accent1 4 2 2 2" xfId="28456" xr:uid="{00000000-0005-0000-0000-0000C7020000}"/>
    <cellStyle name="40% - Accent1 4 2 3" xfId="20420" xr:uid="{00000000-0005-0000-0000-0000C8020000}"/>
    <cellStyle name="40% - Accent1 4 2 4" xfId="36849" xr:uid="{00000000-0005-0000-0000-0000C9020000}"/>
    <cellStyle name="40% - Accent1 4 3" xfId="11961" xr:uid="{00000000-0005-0000-0000-0000CA020000}"/>
    <cellStyle name="40% - Accent1 4 3 2" xfId="28457" xr:uid="{00000000-0005-0000-0000-0000CB020000}"/>
    <cellStyle name="40% - Accent1 4 4" xfId="20421" xr:uid="{00000000-0005-0000-0000-0000CC020000}"/>
    <cellStyle name="40% - Accent1 5" xfId="447" xr:uid="{00000000-0005-0000-0000-0000CD020000}"/>
    <cellStyle name="40% - Accent1 5 2" xfId="2065" xr:uid="{00000000-0005-0000-0000-0000CE020000}"/>
    <cellStyle name="40% - Accent1 5 2 2" xfId="11605" xr:uid="{00000000-0005-0000-0000-0000CF020000}"/>
    <cellStyle name="40% - Accent1 5 2 2 2" xfId="28404" xr:uid="{00000000-0005-0000-0000-0000D0020000}"/>
    <cellStyle name="40% - Accent1 5 2 3" xfId="20078" xr:uid="{00000000-0005-0000-0000-0000D1020000}"/>
    <cellStyle name="40% - Accent1 5 3" xfId="2066" xr:uid="{00000000-0005-0000-0000-0000D2020000}"/>
    <cellStyle name="40% - Accent1 5 3 2" xfId="28405" xr:uid="{00000000-0005-0000-0000-0000D3020000}"/>
    <cellStyle name="40% - Accent1 5 4" xfId="20079" xr:uid="{00000000-0005-0000-0000-0000D4020000}"/>
    <cellStyle name="40% - Accent1 6" xfId="2092" xr:uid="{00000000-0005-0000-0000-0000D5020000}"/>
    <cellStyle name="40% - Accent1 6 2" xfId="11744" xr:uid="{00000000-0005-0000-0000-0000D6020000}"/>
    <cellStyle name="40% - Accent1 6 2 2" xfId="28419" xr:uid="{00000000-0005-0000-0000-0000D7020000}"/>
    <cellStyle name="40% - Accent1 6 3" xfId="20211" xr:uid="{00000000-0005-0000-0000-0000D8020000}"/>
    <cellStyle name="40% - Accent1 7" xfId="2124" xr:uid="{00000000-0005-0000-0000-0000D9020000}"/>
    <cellStyle name="40% - Accent1 7 2" xfId="11881" xr:uid="{00000000-0005-0000-0000-0000DA020000}"/>
    <cellStyle name="40% - Accent1 7 2 2" xfId="28436" xr:uid="{00000000-0005-0000-0000-0000DB020000}"/>
    <cellStyle name="40% - Accent1 7 3" xfId="20340" xr:uid="{00000000-0005-0000-0000-0000DC020000}"/>
    <cellStyle name="40% - Accent1 8" xfId="1997" xr:uid="{00000000-0005-0000-0000-0000DD020000}"/>
    <cellStyle name="40% - Accent1 8 2" xfId="11516" xr:uid="{00000000-0005-0000-0000-0000DE020000}"/>
    <cellStyle name="40% - Accent1 8 2 2" xfId="28344" xr:uid="{00000000-0005-0000-0000-0000DF020000}"/>
    <cellStyle name="40% - Accent1 8 3" xfId="19994" xr:uid="{00000000-0005-0000-0000-0000E0020000}"/>
    <cellStyle name="40% - Accent1 9" xfId="11470" xr:uid="{00000000-0005-0000-0000-0000E1020000}"/>
    <cellStyle name="40% - Accent1 9 2" xfId="28331" xr:uid="{00000000-0005-0000-0000-0000E2020000}"/>
    <cellStyle name="40% - Accent2" xfId="1761" builtinId="35" customBuiltin="1"/>
    <cellStyle name="40% - Accent2 10" xfId="19805" xr:uid="{00000000-0005-0000-0000-0000E4020000}"/>
    <cellStyle name="40% - Accent2 2" xfId="37" xr:uid="{00000000-0005-0000-0000-0000E5020000}"/>
    <cellStyle name="40% - Accent2 2 2" xfId="2069" xr:uid="{00000000-0005-0000-0000-0000E6020000}"/>
    <cellStyle name="40% - Accent2 2 2 2" xfId="2064" xr:uid="{00000000-0005-0000-0000-0000E7020000}"/>
    <cellStyle name="40% - Accent2 2 2 2 2" xfId="2138" xr:uid="{00000000-0005-0000-0000-0000E8020000}"/>
    <cellStyle name="40% - Accent2 2 2 2 2 2" xfId="11943" xr:uid="{00000000-0005-0000-0000-0000E9020000}"/>
    <cellStyle name="40% - Accent2 2 2 2 2 2 2" xfId="28451" xr:uid="{00000000-0005-0000-0000-0000EA020000}"/>
    <cellStyle name="40% - Accent2 2 2 2 2 3" xfId="20403" xr:uid="{00000000-0005-0000-0000-0000EB020000}"/>
    <cellStyle name="40% - Accent2 2 2 2 3" xfId="11604" xr:uid="{00000000-0005-0000-0000-0000EC020000}"/>
    <cellStyle name="40% - Accent2 2 2 2 3 2" xfId="28403" xr:uid="{00000000-0005-0000-0000-0000ED020000}"/>
    <cellStyle name="40% - Accent2 2 2 2 4" xfId="20077" xr:uid="{00000000-0005-0000-0000-0000EE020000}"/>
    <cellStyle name="40% - Accent2 2 2 3" xfId="2063" xr:uid="{00000000-0005-0000-0000-0000EF020000}"/>
    <cellStyle name="40% - Accent2 2 2 3 2" xfId="11603" xr:uid="{00000000-0005-0000-0000-0000F0020000}"/>
    <cellStyle name="40% - Accent2 2 2 3 2 2" xfId="28402" xr:uid="{00000000-0005-0000-0000-0000F1020000}"/>
    <cellStyle name="40% - Accent2 2 2 3 3" xfId="20076" xr:uid="{00000000-0005-0000-0000-0000F2020000}"/>
    <cellStyle name="40% - Accent2 2 2 4" xfId="11638" xr:uid="{00000000-0005-0000-0000-0000F3020000}"/>
    <cellStyle name="40% - Accent2 2 2 4 2" xfId="28406" xr:uid="{00000000-0005-0000-0000-0000F4020000}"/>
    <cellStyle name="40% - Accent2 2 2 5" xfId="20110" xr:uid="{00000000-0005-0000-0000-0000F5020000}"/>
    <cellStyle name="40% - Accent2 2 2 6" xfId="36850" xr:uid="{00000000-0005-0000-0000-0000F6020000}"/>
    <cellStyle name="40% - Accent2 2 3" xfId="2100" xr:uid="{00000000-0005-0000-0000-0000F7020000}"/>
    <cellStyle name="40% - Accent2 2 3 2" xfId="2131" xr:uid="{00000000-0005-0000-0000-0000F8020000}"/>
    <cellStyle name="40% - Accent2 2 3 2 2" xfId="11911" xr:uid="{00000000-0005-0000-0000-0000F9020000}"/>
    <cellStyle name="40% - Accent2 2 3 2 2 2" xfId="28443" xr:uid="{00000000-0005-0000-0000-0000FA020000}"/>
    <cellStyle name="40% - Accent2 2 3 2 3" xfId="20371" xr:uid="{00000000-0005-0000-0000-0000FB020000}"/>
    <cellStyle name="40% - Accent2 2 3 3" xfId="11776" xr:uid="{00000000-0005-0000-0000-0000FC020000}"/>
    <cellStyle name="40% - Accent2 2 3 3 2" xfId="28424" xr:uid="{00000000-0005-0000-0000-0000FD020000}"/>
    <cellStyle name="40% - Accent2 2 3 4" xfId="20241" xr:uid="{00000000-0005-0000-0000-0000FE020000}"/>
    <cellStyle name="40% - Accent2 2 4" xfId="1999" xr:uid="{00000000-0005-0000-0000-0000FF020000}"/>
    <cellStyle name="40% - Accent2 2 4 2" xfId="11523" xr:uid="{00000000-0005-0000-0000-000000030000}"/>
    <cellStyle name="40% - Accent2 2 4 2 2" xfId="28345" xr:uid="{00000000-0005-0000-0000-000001030000}"/>
    <cellStyle name="40% - Accent2 2 4 3" xfId="20000" xr:uid="{00000000-0005-0000-0000-000002030000}"/>
    <cellStyle name="40% - Accent2 2 5" xfId="10885" xr:uid="{00000000-0005-0000-0000-000003030000}"/>
    <cellStyle name="40% - Accent2 2 5 2" xfId="28433" xr:uid="{00000000-0005-0000-0000-000004030000}"/>
    <cellStyle name="40% - Accent2 2 6" xfId="2117" xr:uid="{00000000-0005-0000-0000-000005030000}"/>
    <cellStyle name="40% - Accent2 3" xfId="112" xr:uid="{00000000-0005-0000-0000-000006030000}"/>
    <cellStyle name="40% - Accent2 3 2" xfId="113" xr:uid="{00000000-0005-0000-0000-000007030000}"/>
    <cellStyle name="40% - Accent2 3 2 2" xfId="2062" xr:uid="{00000000-0005-0000-0000-000008030000}"/>
    <cellStyle name="40% - Accent2 3 2 2 2" xfId="11602" xr:uid="{00000000-0005-0000-0000-000009030000}"/>
    <cellStyle name="40% - Accent2 3 2 2 2 2" xfId="28401" xr:uid="{00000000-0005-0000-0000-00000A030000}"/>
    <cellStyle name="40% - Accent2 3 2 2 3" xfId="20075" xr:uid="{00000000-0005-0000-0000-00000B030000}"/>
    <cellStyle name="40% - Accent2 3 2 3" xfId="11483" xr:uid="{00000000-0005-0000-0000-00000C030000}"/>
    <cellStyle name="40% - Accent2 3 2 3 2" xfId="28343" xr:uid="{00000000-0005-0000-0000-00000D030000}"/>
    <cellStyle name="40% - Accent2 3 2 4" xfId="19965" xr:uid="{00000000-0005-0000-0000-00000E030000}"/>
    <cellStyle name="40% - Accent2 3 3" xfId="2107" xr:uid="{00000000-0005-0000-0000-00000F030000}"/>
    <cellStyle name="40% - Accent2 3 3 2" xfId="11808" xr:uid="{00000000-0005-0000-0000-000010030000}"/>
    <cellStyle name="40% - Accent2 3 3 2 2" xfId="28428" xr:uid="{00000000-0005-0000-0000-000011030000}"/>
    <cellStyle name="40% - Accent2 3 3 3" xfId="20271" xr:uid="{00000000-0005-0000-0000-000012030000}"/>
    <cellStyle name="40% - Accent2 3 4" xfId="11883" xr:uid="{00000000-0005-0000-0000-000013030000}"/>
    <cellStyle name="40% - Accent2 3 4 2" xfId="28438" xr:uid="{00000000-0005-0000-0000-000014030000}"/>
    <cellStyle name="40% - Accent2 3 5" xfId="20342" xr:uid="{00000000-0005-0000-0000-000015030000}"/>
    <cellStyle name="40% - Accent2 4" xfId="114" xr:uid="{00000000-0005-0000-0000-000016030000}"/>
    <cellStyle name="40% - Accent2 4 2" xfId="2002" xr:uid="{00000000-0005-0000-0000-000017030000}"/>
    <cellStyle name="40% - Accent2 4 2 2" xfId="11531" xr:uid="{00000000-0005-0000-0000-000018030000}"/>
    <cellStyle name="40% - Accent2 4 2 2 2" xfId="28347" xr:uid="{00000000-0005-0000-0000-000019030000}"/>
    <cellStyle name="40% - Accent2 4 2 3" xfId="20007" xr:uid="{00000000-0005-0000-0000-00001A030000}"/>
    <cellStyle name="40% - Accent2 4 3" xfId="11942" xr:uid="{00000000-0005-0000-0000-00001B030000}"/>
    <cellStyle name="40% - Accent2 4 3 2" xfId="28450" xr:uid="{00000000-0005-0000-0000-00001C030000}"/>
    <cellStyle name="40% - Accent2 4 4" xfId="20402" xr:uid="{00000000-0005-0000-0000-00001D030000}"/>
    <cellStyle name="40% - Accent2 5" xfId="448" xr:uid="{00000000-0005-0000-0000-00001E030000}"/>
    <cellStyle name="40% - Accent2 5 2" xfId="2060" xr:uid="{00000000-0005-0000-0000-00001F030000}"/>
    <cellStyle name="40% - Accent2 5 2 2" xfId="11600" xr:uid="{00000000-0005-0000-0000-000020030000}"/>
    <cellStyle name="40% - Accent2 5 2 2 2" xfId="28399" xr:uid="{00000000-0005-0000-0000-000021030000}"/>
    <cellStyle name="40% - Accent2 5 2 3" xfId="20074" xr:uid="{00000000-0005-0000-0000-000022030000}"/>
    <cellStyle name="40% - Accent2 5 3" xfId="2134" xr:uid="{00000000-0005-0000-0000-000023030000}"/>
    <cellStyle name="40% - Accent2 5 3 2" xfId="28445" xr:uid="{00000000-0005-0000-0000-000024030000}"/>
    <cellStyle name="40% - Accent2 5 4" xfId="20373" xr:uid="{00000000-0005-0000-0000-000025030000}"/>
    <cellStyle name="40% - Accent2 6" xfId="1992" xr:uid="{00000000-0005-0000-0000-000026030000}"/>
    <cellStyle name="40% - Accent2 6 2" xfId="11481" xr:uid="{00000000-0005-0000-0000-000027030000}"/>
    <cellStyle name="40% - Accent2 6 2 2" xfId="28342" xr:uid="{00000000-0005-0000-0000-000028030000}"/>
    <cellStyle name="40% - Accent2 6 3" xfId="19963" xr:uid="{00000000-0005-0000-0000-000029030000}"/>
    <cellStyle name="40% - Accent2 7" xfId="2140" xr:uid="{00000000-0005-0000-0000-00002A030000}"/>
    <cellStyle name="40% - Accent2 7 2" xfId="11945" xr:uid="{00000000-0005-0000-0000-00002B030000}"/>
    <cellStyle name="40% - Accent2 7 2 2" xfId="28453" xr:uid="{00000000-0005-0000-0000-00002C030000}"/>
    <cellStyle name="40% - Accent2 7 3" xfId="20405" xr:uid="{00000000-0005-0000-0000-00002D030000}"/>
    <cellStyle name="40% - Accent2 8" xfId="2059" xr:uid="{00000000-0005-0000-0000-00002E030000}"/>
    <cellStyle name="40% - Accent2 8 2" xfId="11599" xr:uid="{00000000-0005-0000-0000-00002F030000}"/>
    <cellStyle name="40% - Accent2 8 2 2" xfId="28398" xr:uid="{00000000-0005-0000-0000-000030030000}"/>
    <cellStyle name="40% - Accent2 8 3" xfId="20073" xr:uid="{00000000-0005-0000-0000-000031030000}"/>
    <cellStyle name="40% - Accent2 9" xfId="11472" xr:uid="{00000000-0005-0000-0000-000032030000}"/>
    <cellStyle name="40% - Accent2 9 2" xfId="28333" xr:uid="{00000000-0005-0000-0000-000033030000}"/>
    <cellStyle name="40% - Accent3" xfId="1765" builtinId="39" customBuiltin="1"/>
    <cellStyle name="40% - Accent3 10" xfId="19807" xr:uid="{00000000-0005-0000-0000-000035030000}"/>
    <cellStyle name="40% - Accent3 2" xfId="38" xr:uid="{00000000-0005-0000-0000-000036030000}"/>
    <cellStyle name="40% - Accent3 2 2" xfId="115" xr:uid="{00000000-0005-0000-0000-000037030000}"/>
    <cellStyle name="40% - Accent3 2 2 2" xfId="2056" xr:uid="{00000000-0005-0000-0000-000038030000}"/>
    <cellStyle name="40% - Accent3 2 2 2 2" xfId="2055" xr:uid="{00000000-0005-0000-0000-000039030000}"/>
    <cellStyle name="40% - Accent3 2 2 2 2 2" xfId="11597" xr:uid="{00000000-0005-0000-0000-00003A030000}"/>
    <cellStyle name="40% - Accent3 2 2 2 2 2 2" xfId="28394" xr:uid="{00000000-0005-0000-0000-00003B030000}"/>
    <cellStyle name="40% - Accent3 2 2 2 2 3" xfId="20070" xr:uid="{00000000-0005-0000-0000-00003C030000}"/>
    <cellStyle name="40% - Accent3 2 2 2 3" xfId="11598" xr:uid="{00000000-0005-0000-0000-00003D030000}"/>
    <cellStyle name="40% - Accent3 2 2 2 3 2" xfId="28395" xr:uid="{00000000-0005-0000-0000-00003E030000}"/>
    <cellStyle name="40% - Accent3 2 2 2 4" xfId="20071" xr:uid="{00000000-0005-0000-0000-00003F030000}"/>
    <cellStyle name="40% - Accent3 2 2 2 5" xfId="36851" xr:uid="{00000000-0005-0000-0000-000040030000}"/>
    <cellStyle name="40% - Accent3 2 2 3" xfId="2054" xr:uid="{00000000-0005-0000-0000-000041030000}"/>
    <cellStyle name="40% - Accent3 2 2 3 2" xfId="11596" xr:uid="{00000000-0005-0000-0000-000042030000}"/>
    <cellStyle name="40% - Accent3 2 2 3 2 2" xfId="28393" xr:uid="{00000000-0005-0000-0000-000043030000}"/>
    <cellStyle name="40% - Accent3 2 2 3 3" xfId="20069" xr:uid="{00000000-0005-0000-0000-000044030000}"/>
    <cellStyle name="40% - Accent3 2 2 4" xfId="2057" xr:uid="{00000000-0005-0000-0000-000045030000}"/>
    <cellStyle name="40% - Accent3 2 2 4 2" xfId="28396" xr:uid="{00000000-0005-0000-0000-000046030000}"/>
    <cellStyle name="40% - Accent3 2 2 5" xfId="20072" xr:uid="{00000000-0005-0000-0000-000047030000}"/>
    <cellStyle name="40% - Accent3 2 3" xfId="2052" xr:uid="{00000000-0005-0000-0000-000048030000}"/>
    <cellStyle name="40% - Accent3 2 3 2" xfId="2051" xr:uid="{00000000-0005-0000-0000-000049030000}"/>
    <cellStyle name="40% - Accent3 2 3 2 2" xfId="11593" xr:uid="{00000000-0005-0000-0000-00004A030000}"/>
    <cellStyle name="40% - Accent3 2 3 2 2 2" xfId="28391" xr:uid="{00000000-0005-0000-0000-00004B030000}"/>
    <cellStyle name="40% - Accent3 2 3 2 3" xfId="20067" xr:uid="{00000000-0005-0000-0000-00004C030000}"/>
    <cellStyle name="40% - Accent3 2 3 3" xfId="11594" xr:uid="{00000000-0005-0000-0000-00004D030000}"/>
    <cellStyle name="40% - Accent3 2 3 3 2" xfId="28392" xr:uid="{00000000-0005-0000-0000-00004E030000}"/>
    <cellStyle name="40% - Accent3 2 3 4" xfId="20068" xr:uid="{00000000-0005-0000-0000-00004F030000}"/>
    <cellStyle name="40% - Accent3 2 3 5" xfId="36852" xr:uid="{00000000-0005-0000-0000-000050030000}"/>
    <cellStyle name="40% - Accent3 2 4" xfId="2050" xr:uid="{00000000-0005-0000-0000-000051030000}"/>
    <cellStyle name="40% - Accent3 2 4 2" xfId="11592" xr:uid="{00000000-0005-0000-0000-000052030000}"/>
    <cellStyle name="40% - Accent3 2 4 2 2" xfId="28390" xr:uid="{00000000-0005-0000-0000-000053030000}"/>
    <cellStyle name="40% - Accent3 2 4 3" xfId="20066" xr:uid="{00000000-0005-0000-0000-000054030000}"/>
    <cellStyle name="40% - Accent3 2 5" xfId="10886" xr:uid="{00000000-0005-0000-0000-000055030000}"/>
    <cellStyle name="40% - Accent3 2 5 2" xfId="28397" xr:uid="{00000000-0005-0000-0000-000056030000}"/>
    <cellStyle name="40% - Accent3 2 6" xfId="2058" xr:uid="{00000000-0005-0000-0000-000057030000}"/>
    <cellStyle name="40% - Accent3 3" xfId="116" xr:uid="{00000000-0005-0000-0000-000058030000}"/>
    <cellStyle name="40% - Accent3 3 2" xfId="117" xr:uid="{00000000-0005-0000-0000-000059030000}"/>
    <cellStyle name="40% - Accent3 3 2 2" xfId="2049" xr:uid="{00000000-0005-0000-0000-00005A030000}"/>
    <cellStyle name="40% - Accent3 3 2 2 2" xfId="11589" xr:uid="{00000000-0005-0000-0000-00005B030000}"/>
    <cellStyle name="40% - Accent3 3 2 2 2 2" xfId="28387" xr:uid="{00000000-0005-0000-0000-00005C030000}"/>
    <cellStyle name="40% - Accent3 3 2 2 3" xfId="20063" xr:uid="{00000000-0005-0000-0000-00005D030000}"/>
    <cellStyle name="40% - Accent3 3 2 2 4" xfId="36854" xr:uid="{00000000-0005-0000-0000-00005E030000}"/>
    <cellStyle name="40% - Accent3 3 2 3" xfId="11590" xr:uid="{00000000-0005-0000-0000-00005F030000}"/>
    <cellStyle name="40% - Accent3 3 2 3 2" xfId="28388" xr:uid="{00000000-0005-0000-0000-000060030000}"/>
    <cellStyle name="40% - Accent3 3 2 4" xfId="20064" xr:uid="{00000000-0005-0000-0000-000061030000}"/>
    <cellStyle name="40% - Accent3 3 3" xfId="2048" xr:uid="{00000000-0005-0000-0000-000062030000}"/>
    <cellStyle name="40% - Accent3 3 3 2" xfId="11588" xr:uid="{00000000-0005-0000-0000-000063030000}"/>
    <cellStyle name="40% - Accent3 3 3 2 2" xfId="28386" xr:uid="{00000000-0005-0000-0000-000064030000}"/>
    <cellStyle name="40% - Accent3 3 3 3" xfId="20062" xr:uid="{00000000-0005-0000-0000-000065030000}"/>
    <cellStyle name="40% - Accent3 3 3 4" xfId="36853" xr:uid="{00000000-0005-0000-0000-000066030000}"/>
    <cellStyle name="40% - Accent3 3 4" xfId="11591" xr:uid="{00000000-0005-0000-0000-000067030000}"/>
    <cellStyle name="40% - Accent3 3 4 2" xfId="28389" xr:uid="{00000000-0005-0000-0000-000068030000}"/>
    <cellStyle name="40% - Accent3 3 5" xfId="20065" xr:uid="{00000000-0005-0000-0000-000069030000}"/>
    <cellStyle name="40% - Accent3 4" xfId="118" xr:uid="{00000000-0005-0000-0000-00006A030000}"/>
    <cellStyle name="40% - Accent3 4 2" xfId="2047" xr:uid="{00000000-0005-0000-0000-00006B030000}"/>
    <cellStyle name="40% - Accent3 4 2 2" xfId="11586" xr:uid="{00000000-0005-0000-0000-00006C030000}"/>
    <cellStyle name="40% - Accent3 4 2 2 2" xfId="28384" xr:uid="{00000000-0005-0000-0000-00006D030000}"/>
    <cellStyle name="40% - Accent3 4 2 3" xfId="20060" xr:uid="{00000000-0005-0000-0000-00006E030000}"/>
    <cellStyle name="40% - Accent3 4 2 4" xfId="36855" xr:uid="{00000000-0005-0000-0000-00006F030000}"/>
    <cellStyle name="40% - Accent3 4 3" xfId="11587" xr:uid="{00000000-0005-0000-0000-000070030000}"/>
    <cellStyle name="40% - Accent3 4 3 2" xfId="28385" xr:uid="{00000000-0005-0000-0000-000071030000}"/>
    <cellStyle name="40% - Accent3 4 4" xfId="20061" xr:uid="{00000000-0005-0000-0000-000072030000}"/>
    <cellStyle name="40% - Accent3 5" xfId="449" xr:uid="{00000000-0005-0000-0000-000073030000}"/>
    <cellStyle name="40% - Accent3 5 2" xfId="2045" xr:uid="{00000000-0005-0000-0000-000074030000}"/>
    <cellStyle name="40% - Accent3 5 2 2" xfId="11585" xr:uid="{00000000-0005-0000-0000-000075030000}"/>
    <cellStyle name="40% - Accent3 5 2 2 2" xfId="28382" xr:uid="{00000000-0005-0000-0000-000076030000}"/>
    <cellStyle name="40% - Accent3 5 2 3" xfId="20058" xr:uid="{00000000-0005-0000-0000-000077030000}"/>
    <cellStyle name="40% - Accent3 5 3" xfId="2046" xr:uid="{00000000-0005-0000-0000-000078030000}"/>
    <cellStyle name="40% - Accent3 5 3 2" xfId="28383" xr:uid="{00000000-0005-0000-0000-000079030000}"/>
    <cellStyle name="40% - Accent3 5 4" xfId="20059" xr:uid="{00000000-0005-0000-0000-00007A030000}"/>
    <cellStyle name="40% - Accent3 6" xfId="2044" xr:uid="{00000000-0005-0000-0000-00007B030000}"/>
    <cellStyle name="40% - Accent3 6 2" xfId="11584" xr:uid="{00000000-0005-0000-0000-00007C030000}"/>
    <cellStyle name="40% - Accent3 6 2 2" xfId="28381" xr:uid="{00000000-0005-0000-0000-00007D030000}"/>
    <cellStyle name="40% - Accent3 6 3" xfId="20057" xr:uid="{00000000-0005-0000-0000-00007E030000}"/>
    <cellStyle name="40% - Accent3 7" xfId="2043" xr:uid="{00000000-0005-0000-0000-00007F030000}"/>
    <cellStyle name="40% - Accent3 7 2" xfId="11583" xr:uid="{00000000-0005-0000-0000-000080030000}"/>
    <cellStyle name="40% - Accent3 7 2 2" xfId="28380" xr:uid="{00000000-0005-0000-0000-000081030000}"/>
    <cellStyle name="40% - Accent3 7 3" xfId="20056" xr:uid="{00000000-0005-0000-0000-000082030000}"/>
    <cellStyle name="40% - Accent3 8" xfId="2042" xr:uid="{00000000-0005-0000-0000-000083030000}"/>
    <cellStyle name="40% - Accent3 8 2" xfId="11582" xr:uid="{00000000-0005-0000-0000-000084030000}"/>
    <cellStyle name="40% - Accent3 8 2 2" xfId="28379" xr:uid="{00000000-0005-0000-0000-000085030000}"/>
    <cellStyle name="40% - Accent3 8 3" xfId="20055" xr:uid="{00000000-0005-0000-0000-000086030000}"/>
    <cellStyle name="40% - Accent3 9" xfId="11474" xr:uid="{00000000-0005-0000-0000-000087030000}"/>
    <cellStyle name="40% - Accent3 9 2" xfId="28335" xr:uid="{00000000-0005-0000-0000-000088030000}"/>
    <cellStyle name="40% - Accent4" xfId="1769" builtinId="43" customBuiltin="1"/>
    <cellStyle name="40% - Accent4 10" xfId="19809" xr:uid="{00000000-0005-0000-0000-00008A030000}"/>
    <cellStyle name="40% - Accent4 2" xfId="39" xr:uid="{00000000-0005-0000-0000-00008B030000}"/>
    <cellStyle name="40% - Accent4 2 2" xfId="119" xr:uid="{00000000-0005-0000-0000-00008C030000}"/>
    <cellStyle name="40% - Accent4 2 2 2" xfId="2039" xr:uid="{00000000-0005-0000-0000-00008D030000}"/>
    <cellStyle name="40% - Accent4 2 2 2 2" xfId="2038" xr:uid="{00000000-0005-0000-0000-00008E030000}"/>
    <cellStyle name="40% - Accent4 2 2 2 2 2" xfId="11580" xr:uid="{00000000-0005-0000-0000-00008F030000}"/>
    <cellStyle name="40% - Accent4 2 2 2 2 2 2" xfId="28375" xr:uid="{00000000-0005-0000-0000-000090030000}"/>
    <cellStyle name="40% - Accent4 2 2 2 2 3" xfId="20052" xr:uid="{00000000-0005-0000-0000-000091030000}"/>
    <cellStyle name="40% - Accent4 2 2 2 3" xfId="11581" xr:uid="{00000000-0005-0000-0000-000092030000}"/>
    <cellStyle name="40% - Accent4 2 2 2 3 2" xfId="28376" xr:uid="{00000000-0005-0000-0000-000093030000}"/>
    <cellStyle name="40% - Accent4 2 2 2 4" xfId="20053" xr:uid="{00000000-0005-0000-0000-000094030000}"/>
    <cellStyle name="40% - Accent4 2 2 2 5" xfId="36856" xr:uid="{00000000-0005-0000-0000-000095030000}"/>
    <cellStyle name="40% - Accent4 2 2 3" xfId="2037" xr:uid="{00000000-0005-0000-0000-000096030000}"/>
    <cellStyle name="40% - Accent4 2 2 3 2" xfId="11579" xr:uid="{00000000-0005-0000-0000-000097030000}"/>
    <cellStyle name="40% - Accent4 2 2 3 2 2" xfId="28374" xr:uid="{00000000-0005-0000-0000-000098030000}"/>
    <cellStyle name="40% - Accent4 2 2 3 3" xfId="20051" xr:uid="{00000000-0005-0000-0000-000099030000}"/>
    <cellStyle name="40% - Accent4 2 2 4" xfId="2040" xr:uid="{00000000-0005-0000-0000-00009A030000}"/>
    <cellStyle name="40% - Accent4 2 2 4 2" xfId="28377" xr:uid="{00000000-0005-0000-0000-00009B030000}"/>
    <cellStyle name="40% - Accent4 2 2 5" xfId="20054" xr:uid="{00000000-0005-0000-0000-00009C030000}"/>
    <cellStyle name="40% - Accent4 2 3" xfId="2036" xr:uid="{00000000-0005-0000-0000-00009D030000}"/>
    <cellStyle name="40% - Accent4 2 3 2" xfId="2035" xr:uid="{00000000-0005-0000-0000-00009E030000}"/>
    <cellStyle name="40% - Accent4 2 3 2 2" xfId="11577" xr:uid="{00000000-0005-0000-0000-00009F030000}"/>
    <cellStyle name="40% - Accent4 2 3 2 2 2" xfId="28372" xr:uid="{00000000-0005-0000-0000-0000A0030000}"/>
    <cellStyle name="40% - Accent4 2 3 2 3" xfId="20049" xr:uid="{00000000-0005-0000-0000-0000A1030000}"/>
    <cellStyle name="40% - Accent4 2 3 3" xfId="11578" xr:uid="{00000000-0005-0000-0000-0000A2030000}"/>
    <cellStyle name="40% - Accent4 2 3 3 2" xfId="28373" xr:uid="{00000000-0005-0000-0000-0000A3030000}"/>
    <cellStyle name="40% - Accent4 2 3 4" xfId="20050" xr:uid="{00000000-0005-0000-0000-0000A4030000}"/>
    <cellStyle name="40% - Accent4 2 3 5" xfId="36857" xr:uid="{00000000-0005-0000-0000-0000A5030000}"/>
    <cellStyle name="40% - Accent4 2 4" xfId="2034" xr:uid="{00000000-0005-0000-0000-0000A6030000}"/>
    <cellStyle name="40% - Accent4 2 4 2" xfId="11576" xr:uid="{00000000-0005-0000-0000-0000A7030000}"/>
    <cellStyle name="40% - Accent4 2 4 2 2" xfId="28371" xr:uid="{00000000-0005-0000-0000-0000A8030000}"/>
    <cellStyle name="40% - Accent4 2 4 3" xfId="20048" xr:uid="{00000000-0005-0000-0000-0000A9030000}"/>
    <cellStyle name="40% - Accent4 2 5" xfId="10887" xr:uid="{00000000-0005-0000-0000-0000AA030000}"/>
    <cellStyle name="40% - Accent4 2 5 2" xfId="28378" xr:uid="{00000000-0005-0000-0000-0000AB030000}"/>
    <cellStyle name="40% - Accent4 2 6" xfId="2041" xr:uid="{00000000-0005-0000-0000-0000AC030000}"/>
    <cellStyle name="40% - Accent4 3" xfId="120" xr:uid="{00000000-0005-0000-0000-0000AD030000}"/>
    <cellStyle name="40% - Accent4 3 2" xfId="121" xr:uid="{00000000-0005-0000-0000-0000AE030000}"/>
    <cellStyle name="40% - Accent4 3 2 2" xfId="2033" xr:uid="{00000000-0005-0000-0000-0000AF030000}"/>
    <cellStyle name="40% - Accent4 3 2 2 2" xfId="11573" xr:uid="{00000000-0005-0000-0000-0000B0030000}"/>
    <cellStyle name="40% - Accent4 3 2 2 2 2" xfId="28368" xr:uid="{00000000-0005-0000-0000-0000B1030000}"/>
    <cellStyle name="40% - Accent4 3 2 2 3" xfId="20045" xr:uid="{00000000-0005-0000-0000-0000B2030000}"/>
    <cellStyle name="40% - Accent4 3 2 2 4" xfId="36859" xr:uid="{00000000-0005-0000-0000-0000B3030000}"/>
    <cellStyle name="40% - Accent4 3 2 3" xfId="11574" xr:uid="{00000000-0005-0000-0000-0000B4030000}"/>
    <cellStyle name="40% - Accent4 3 2 3 2" xfId="28369" xr:uid="{00000000-0005-0000-0000-0000B5030000}"/>
    <cellStyle name="40% - Accent4 3 2 4" xfId="20046" xr:uid="{00000000-0005-0000-0000-0000B6030000}"/>
    <cellStyle name="40% - Accent4 3 3" xfId="2032" xr:uid="{00000000-0005-0000-0000-0000B7030000}"/>
    <cellStyle name="40% - Accent4 3 3 2" xfId="11572" xr:uid="{00000000-0005-0000-0000-0000B8030000}"/>
    <cellStyle name="40% - Accent4 3 3 2 2" xfId="28367" xr:uid="{00000000-0005-0000-0000-0000B9030000}"/>
    <cellStyle name="40% - Accent4 3 3 3" xfId="20044" xr:uid="{00000000-0005-0000-0000-0000BA030000}"/>
    <cellStyle name="40% - Accent4 3 3 4" xfId="36858" xr:uid="{00000000-0005-0000-0000-0000BB030000}"/>
    <cellStyle name="40% - Accent4 3 4" xfId="11575" xr:uid="{00000000-0005-0000-0000-0000BC030000}"/>
    <cellStyle name="40% - Accent4 3 4 2" xfId="28370" xr:uid="{00000000-0005-0000-0000-0000BD030000}"/>
    <cellStyle name="40% - Accent4 3 5" xfId="20047" xr:uid="{00000000-0005-0000-0000-0000BE030000}"/>
    <cellStyle name="40% - Accent4 4" xfId="122" xr:uid="{00000000-0005-0000-0000-0000BF030000}"/>
    <cellStyle name="40% - Accent4 4 2" xfId="2077" xr:uid="{00000000-0005-0000-0000-0000C0030000}"/>
    <cellStyle name="40% - Accent4 4 2 2" xfId="11676" xr:uid="{00000000-0005-0000-0000-0000C1030000}"/>
    <cellStyle name="40% - Accent4 4 2 2 2" xfId="28410" xr:uid="{00000000-0005-0000-0000-0000C2030000}"/>
    <cellStyle name="40% - Accent4 4 2 3" xfId="20146" xr:uid="{00000000-0005-0000-0000-0000C3030000}"/>
    <cellStyle name="40% - Accent4 4 2 4" xfId="36860" xr:uid="{00000000-0005-0000-0000-0000C4030000}"/>
    <cellStyle name="40% - Accent4 4 3" xfId="11571" xr:uid="{00000000-0005-0000-0000-0000C5030000}"/>
    <cellStyle name="40% - Accent4 4 3 2" xfId="28366" xr:uid="{00000000-0005-0000-0000-0000C6030000}"/>
    <cellStyle name="40% - Accent4 4 4" xfId="20043" xr:uid="{00000000-0005-0000-0000-0000C7030000}"/>
    <cellStyle name="40% - Accent4 5" xfId="450" xr:uid="{00000000-0005-0000-0000-0000C8030000}"/>
    <cellStyle name="40% - Accent4 5 2" xfId="2083" xr:uid="{00000000-0005-0000-0000-0000C9030000}"/>
    <cellStyle name="40% - Accent4 5 2 2" xfId="11708" xr:uid="{00000000-0005-0000-0000-0000CA030000}"/>
    <cellStyle name="40% - Accent4 5 2 2 2" xfId="28413" xr:uid="{00000000-0005-0000-0000-0000CB030000}"/>
    <cellStyle name="40% - Accent4 5 2 3" xfId="20177" xr:uid="{00000000-0005-0000-0000-0000CC030000}"/>
    <cellStyle name="40% - Accent4 5 3" xfId="2031" xr:uid="{00000000-0005-0000-0000-0000CD030000}"/>
    <cellStyle name="40% - Accent4 5 3 2" xfId="28365" xr:uid="{00000000-0005-0000-0000-0000CE030000}"/>
    <cellStyle name="40% - Accent4 5 4" xfId="20042" xr:uid="{00000000-0005-0000-0000-0000CF030000}"/>
    <cellStyle name="40% - Accent4 6" xfId="2030" xr:uid="{00000000-0005-0000-0000-0000D0030000}"/>
    <cellStyle name="40% - Accent4 6 2" xfId="11570" xr:uid="{00000000-0005-0000-0000-0000D1030000}"/>
    <cellStyle name="40% - Accent4 6 2 2" xfId="28364" xr:uid="{00000000-0005-0000-0000-0000D2030000}"/>
    <cellStyle name="40% - Accent4 6 3" xfId="20041" xr:uid="{00000000-0005-0000-0000-0000D3030000}"/>
    <cellStyle name="40% - Accent4 7" xfId="2089" xr:uid="{00000000-0005-0000-0000-0000D4030000}"/>
    <cellStyle name="40% - Accent4 7 2" xfId="11741" xr:uid="{00000000-0005-0000-0000-0000D5030000}"/>
    <cellStyle name="40% - Accent4 7 2 2" xfId="28417" xr:uid="{00000000-0005-0000-0000-0000D6030000}"/>
    <cellStyle name="40% - Accent4 7 3" xfId="20208" xr:uid="{00000000-0005-0000-0000-0000D7030000}"/>
    <cellStyle name="40% - Accent4 8" xfId="2029" xr:uid="{00000000-0005-0000-0000-0000D8030000}"/>
    <cellStyle name="40% - Accent4 8 2" xfId="11569" xr:uid="{00000000-0005-0000-0000-0000D9030000}"/>
    <cellStyle name="40% - Accent4 8 2 2" xfId="28363" xr:uid="{00000000-0005-0000-0000-0000DA030000}"/>
    <cellStyle name="40% - Accent4 8 3" xfId="20040" xr:uid="{00000000-0005-0000-0000-0000DB030000}"/>
    <cellStyle name="40% - Accent4 9" xfId="11476" xr:uid="{00000000-0005-0000-0000-0000DC030000}"/>
    <cellStyle name="40% - Accent4 9 2" xfId="28337" xr:uid="{00000000-0005-0000-0000-0000DD030000}"/>
    <cellStyle name="40% - Accent5" xfId="1773" builtinId="47" customBuiltin="1"/>
    <cellStyle name="40% - Accent5 10" xfId="19811" xr:uid="{00000000-0005-0000-0000-0000DF030000}"/>
    <cellStyle name="40% - Accent5 2" xfId="40" xr:uid="{00000000-0005-0000-0000-0000E0030000}"/>
    <cellStyle name="40% - Accent5 2 2" xfId="2028" xr:uid="{00000000-0005-0000-0000-0000E1030000}"/>
    <cellStyle name="40% - Accent5 2 2 2" xfId="2105" xr:uid="{00000000-0005-0000-0000-0000E2030000}"/>
    <cellStyle name="40% - Accent5 2 2 2 2" xfId="2027" xr:uid="{00000000-0005-0000-0000-0000E3030000}"/>
    <cellStyle name="40% - Accent5 2 2 2 2 2" xfId="11567" xr:uid="{00000000-0005-0000-0000-0000E4030000}"/>
    <cellStyle name="40% - Accent5 2 2 2 2 2 2" xfId="28361" xr:uid="{00000000-0005-0000-0000-0000E5030000}"/>
    <cellStyle name="40% - Accent5 2 2 2 2 3" xfId="20038" xr:uid="{00000000-0005-0000-0000-0000E6030000}"/>
    <cellStyle name="40% - Accent5 2 2 2 3" xfId="11804" xr:uid="{00000000-0005-0000-0000-0000E7030000}"/>
    <cellStyle name="40% - Accent5 2 2 2 3 2" xfId="28426" xr:uid="{00000000-0005-0000-0000-0000E8030000}"/>
    <cellStyle name="40% - Accent5 2 2 2 4" xfId="20268" xr:uid="{00000000-0005-0000-0000-0000E9030000}"/>
    <cellStyle name="40% - Accent5 2 2 3" xfId="2111" xr:uid="{00000000-0005-0000-0000-0000EA030000}"/>
    <cellStyle name="40% - Accent5 2 2 3 2" xfId="11836" xr:uid="{00000000-0005-0000-0000-0000EB030000}"/>
    <cellStyle name="40% - Accent5 2 2 3 2 2" xfId="28430" xr:uid="{00000000-0005-0000-0000-0000EC030000}"/>
    <cellStyle name="40% - Accent5 2 2 3 3" xfId="20298" xr:uid="{00000000-0005-0000-0000-0000ED030000}"/>
    <cellStyle name="40% - Accent5 2 2 4" xfId="11568" xr:uid="{00000000-0005-0000-0000-0000EE030000}"/>
    <cellStyle name="40% - Accent5 2 2 4 2" xfId="28362" xr:uid="{00000000-0005-0000-0000-0000EF030000}"/>
    <cellStyle name="40% - Accent5 2 2 5" xfId="20039" xr:uid="{00000000-0005-0000-0000-0000F0030000}"/>
    <cellStyle name="40% - Accent5 2 2 6" xfId="36861" xr:uid="{00000000-0005-0000-0000-0000F1030000}"/>
    <cellStyle name="40% - Accent5 2 3" xfId="2026" xr:uid="{00000000-0005-0000-0000-0000F2030000}"/>
    <cellStyle name="40% - Accent5 2 3 2" xfId="2119" xr:uid="{00000000-0005-0000-0000-0000F3030000}"/>
    <cellStyle name="40% - Accent5 2 3 2 2" xfId="11866" xr:uid="{00000000-0005-0000-0000-0000F4030000}"/>
    <cellStyle name="40% - Accent5 2 3 2 2 2" xfId="28434" xr:uid="{00000000-0005-0000-0000-0000F5030000}"/>
    <cellStyle name="40% - Accent5 2 3 2 3" xfId="20326" xr:uid="{00000000-0005-0000-0000-0000F6030000}"/>
    <cellStyle name="40% - Accent5 2 3 3" xfId="11566" xr:uid="{00000000-0005-0000-0000-0000F7030000}"/>
    <cellStyle name="40% - Accent5 2 3 3 2" xfId="28360" xr:uid="{00000000-0005-0000-0000-0000F8030000}"/>
    <cellStyle name="40% - Accent5 2 3 4" xfId="20037" xr:uid="{00000000-0005-0000-0000-0000F9030000}"/>
    <cellStyle name="40% - Accent5 2 4" xfId="2025" xr:uid="{00000000-0005-0000-0000-0000FA030000}"/>
    <cellStyle name="40% - Accent5 2 4 2" xfId="11565" xr:uid="{00000000-0005-0000-0000-0000FB030000}"/>
    <cellStyle name="40% - Accent5 2 4 2 2" xfId="28359" xr:uid="{00000000-0005-0000-0000-0000FC030000}"/>
    <cellStyle name="40% - Accent5 2 4 3" xfId="20036" xr:uid="{00000000-0005-0000-0000-0000FD030000}"/>
    <cellStyle name="40% - Accent5 2 5" xfId="10888" xr:uid="{00000000-0005-0000-0000-0000FE030000}"/>
    <cellStyle name="40% - Accent5 2 5 2" xfId="28422" xr:uid="{00000000-0005-0000-0000-0000FF030000}"/>
    <cellStyle name="40% - Accent5 2 6" xfId="2097" xr:uid="{00000000-0005-0000-0000-000000040000}"/>
    <cellStyle name="40% - Accent5 3" xfId="123" xr:uid="{00000000-0005-0000-0000-000001040000}"/>
    <cellStyle name="40% - Accent5 3 2" xfId="124" xr:uid="{00000000-0005-0000-0000-000002040000}"/>
    <cellStyle name="40% - Accent5 3 2 2" xfId="2135" xr:uid="{00000000-0005-0000-0000-000003040000}"/>
    <cellStyle name="40% - Accent5 3 2 2 2" xfId="11926" xr:uid="{00000000-0005-0000-0000-000004040000}"/>
    <cellStyle name="40% - Accent5 3 2 2 2 2" xfId="28446" xr:uid="{00000000-0005-0000-0000-000005040000}"/>
    <cellStyle name="40% - Accent5 3 2 2 3" xfId="20386" xr:uid="{00000000-0005-0000-0000-000006040000}"/>
    <cellStyle name="40% - Accent5 3 2 3" xfId="11564" xr:uid="{00000000-0005-0000-0000-000007040000}"/>
    <cellStyle name="40% - Accent5 3 2 3 2" xfId="28358" xr:uid="{00000000-0005-0000-0000-000008040000}"/>
    <cellStyle name="40% - Accent5 3 2 4" xfId="20035" xr:uid="{00000000-0005-0000-0000-000009040000}"/>
    <cellStyle name="40% - Accent5 3 3" xfId="2024" xr:uid="{00000000-0005-0000-0000-00000A040000}"/>
    <cellStyle name="40% - Accent5 3 3 2" xfId="11563" xr:uid="{00000000-0005-0000-0000-00000B040000}"/>
    <cellStyle name="40% - Accent5 3 3 2 2" xfId="28357" xr:uid="{00000000-0005-0000-0000-00000C040000}"/>
    <cellStyle name="40% - Accent5 3 3 3" xfId="20034" xr:uid="{00000000-0005-0000-0000-00000D040000}"/>
    <cellStyle name="40% - Accent5 3 4" xfId="11896" xr:uid="{00000000-0005-0000-0000-00000E040000}"/>
    <cellStyle name="40% - Accent5 3 4 2" xfId="28439" xr:uid="{00000000-0005-0000-0000-00000F040000}"/>
    <cellStyle name="40% - Accent5 3 5" xfId="20355" xr:uid="{00000000-0005-0000-0000-000010040000}"/>
    <cellStyle name="40% - Accent5 4" xfId="125" xr:uid="{00000000-0005-0000-0000-000011040000}"/>
    <cellStyle name="40% - Accent5 4 2" xfId="2072" xr:uid="{00000000-0005-0000-0000-000012040000}"/>
    <cellStyle name="40% - Accent5 4 2 2" xfId="11641" xr:uid="{00000000-0005-0000-0000-000013040000}"/>
    <cellStyle name="40% - Accent5 4 2 2 2" xfId="28407" xr:uid="{00000000-0005-0000-0000-000014040000}"/>
    <cellStyle name="40% - Accent5 4 2 3" xfId="20112" xr:uid="{00000000-0005-0000-0000-000015040000}"/>
    <cellStyle name="40% - Accent5 4 3" xfId="11958" xr:uid="{00000000-0005-0000-0000-000016040000}"/>
    <cellStyle name="40% - Accent5 4 3 2" xfId="28454" xr:uid="{00000000-0005-0000-0000-000017040000}"/>
    <cellStyle name="40% - Accent5 4 4" xfId="20418" xr:uid="{00000000-0005-0000-0000-000018040000}"/>
    <cellStyle name="40% - Accent5 5" xfId="451" xr:uid="{00000000-0005-0000-0000-000019040000}"/>
    <cellStyle name="40% - Accent5 5 2" xfId="2088" xr:uid="{00000000-0005-0000-0000-00001A040000}"/>
    <cellStyle name="40% - Accent5 5 2 2" xfId="11728" xr:uid="{00000000-0005-0000-0000-00001B040000}"/>
    <cellStyle name="40% - Accent5 5 2 2 2" xfId="28416" xr:uid="{00000000-0005-0000-0000-00001C040000}"/>
    <cellStyle name="40% - Accent5 5 2 3" xfId="20195" xr:uid="{00000000-0005-0000-0000-00001D040000}"/>
    <cellStyle name="40% - Accent5 5 3" xfId="2082" xr:uid="{00000000-0005-0000-0000-00001E040000}"/>
    <cellStyle name="40% - Accent5 5 3 2" xfId="28412" xr:uid="{00000000-0005-0000-0000-00001F040000}"/>
    <cellStyle name="40% - Accent5 5 4" xfId="20163" xr:uid="{00000000-0005-0000-0000-000020040000}"/>
    <cellStyle name="40% - Accent5 6" xfId="2095" xr:uid="{00000000-0005-0000-0000-000021040000}"/>
    <cellStyle name="40% - Accent5 6 2" xfId="11760" xr:uid="{00000000-0005-0000-0000-000022040000}"/>
    <cellStyle name="40% - Accent5 6 2 2" xfId="28421" xr:uid="{00000000-0005-0000-0000-000023040000}"/>
    <cellStyle name="40% - Accent5 6 3" xfId="20226" xr:uid="{00000000-0005-0000-0000-000024040000}"/>
    <cellStyle name="40% - Accent5 7" xfId="2103" xr:uid="{00000000-0005-0000-0000-000025040000}"/>
    <cellStyle name="40% - Accent5 7 2" xfId="11791" xr:uid="{00000000-0005-0000-0000-000026040000}"/>
    <cellStyle name="40% - Accent5 7 2 2" xfId="28425" xr:uid="{00000000-0005-0000-0000-000027040000}"/>
    <cellStyle name="40% - Accent5 7 3" xfId="20255" xr:uid="{00000000-0005-0000-0000-000028040000}"/>
    <cellStyle name="40% - Accent5 8" xfId="2110" xr:uid="{00000000-0005-0000-0000-000029040000}"/>
    <cellStyle name="40% - Accent5 8 2" xfId="11823" xr:uid="{00000000-0005-0000-0000-00002A040000}"/>
    <cellStyle name="40% - Accent5 8 2 2" xfId="28429" xr:uid="{00000000-0005-0000-0000-00002B040000}"/>
    <cellStyle name="40% - Accent5 8 3" xfId="20285" xr:uid="{00000000-0005-0000-0000-00002C040000}"/>
    <cellStyle name="40% - Accent5 9" xfId="11478" xr:uid="{00000000-0005-0000-0000-00002D040000}"/>
    <cellStyle name="40% - Accent5 9 2" xfId="28339" xr:uid="{00000000-0005-0000-0000-00002E040000}"/>
    <cellStyle name="40% - Accent6" xfId="1777" builtinId="51" customBuiltin="1"/>
    <cellStyle name="40% - Accent6 10" xfId="19813" xr:uid="{00000000-0005-0000-0000-000030040000}"/>
    <cellStyle name="40% - Accent6 2" xfId="41" xr:uid="{00000000-0005-0000-0000-000031040000}"/>
    <cellStyle name="40% - Accent6 2 2" xfId="126" xr:uid="{00000000-0005-0000-0000-000032040000}"/>
    <cellStyle name="40% - Accent6 2 2 2" xfId="2133" xr:uid="{00000000-0005-0000-0000-000033040000}"/>
    <cellStyle name="40% - Accent6 2 2 2 2" xfId="2139" xr:uid="{00000000-0005-0000-0000-000034040000}"/>
    <cellStyle name="40% - Accent6 2 2 2 2 2" xfId="11944" xr:uid="{00000000-0005-0000-0000-000035040000}"/>
    <cellStyle name="40% - Accent6 2 2 2 2 2 2" xfId="28452" xr:uid="{00000000-0005-0000-0000-000036040000}"/>
    <cellStyle name="40% - Accent6 2 2 2 2 3" xfId="20404" xr:uid="{00000000-0005-0000-0000-000037040000}"/>
    <cellStyle name="40% - Accent6 2 2 2 3" xfId="11913" xr:uid="{00000000-0005-0000-0000-000038040000}"/>
    <cellStyle name="40% - Accent6 2 2 2 3 2" xfId="28444" xr:uid="{00000000-0005-0000-0000-000039040000}"/>
    <cellStyle name="40% - Accent6 2 2 2 4" xfId="20372" xr:uid="{00000000-0005-0000-0000-00003A040000}"/>
    <cellStyle name="40% - Accent6 2 2 2 5" xfId="36862" xr:uid="{00000000-0005-0000-0000-00003B040000}"/>
    <cellStyle name="40% - Accent6 2 2 3" xfId="2023" xr:uid="{00000000-0005-0000-0000-00003C040000}"/>
    <cellStyle name="40% - Accent6 2 2 3 2" xfId="11562" xr:uid="{00000000-0005-0000-0000-00003D040000}"/>
    <cellStyle name="40% - Accent6 2 2 3 2 2" xfId="28356" xr:uid="{00000000-0005-0000-0000-00003E040000}"/>
    <cellStyle name="40% - Accent6 2 2 3 3" xfId="20033" xr:uid="{00000000-0005-0000-0000-00003F040000}"/>
    <cellStyle name="40% - Accent6 2 2 4" xfId="2126" xr:uid="{00000000-0005-0000-0000-000040040000}"/>
    <cellStyle name="40% - Accent6 2 2 4 2" xfId="28437" xr:uid="{00000000-0005-0000-0000-000041040000}"/>
    <cellStyle name="40% - Accent6 2 2 5" xfId="20341" xr:uid="{00000000-0005-0000-0000-000042040000}"/>
    <cellStyle name="40% - Accent6 2 3" xfId="2022" xr:uid="{00000000-0005-0000-0000-000043040000}"/>
    <cellStyle name="40% - Accent6 2 3 2" xfId="2021" xr:uid="{00000000-0005-0000-0000-000044040000}"/>
    <cellStyle name="40% - Accent6 2 3 2 2" xfId="11560" xr:uid="{00000000-0005-0000-0000-000045040000}"/>
    <cellStyle name="40% - Accent6 2 3 2 2 2" xfId="28354" xr:uid="{00000000-0005-0000-0000-000046040000}"/>
    <cellStyle name="40% - Accent6 2 3 2 3" xfId="20031" xr:uid="{00000000-0005-0000-0000-000047040000}"/>
    <cellStyle name="40% - Accent6 2 3 3" xfId="11561" xr:uid="{00000000-0005-0000-0000-000048040000}"/>
    <cellStyle name="40% - Accent6 2 3 3 2" xfId="28355" xr:uid="{00000000-0005-0000-0000-000049040000}"/>
    <cellStyle name="40% - Accent6 2 3 4" xfId="20032" xr:uid="{00000000-0005-0000-0000-00004A040000}"/>
    <cellStyle name="40% - Accent6 2 3 5" xfId="36863" xr:uid="{00000000-0005-0000-0000-00004B040000}"/>
    <cellStyle name="40% - Accent6 2 4" xfId="2142" xr:uid="{00000000-0005-0000-0000-00004C040000}"/>
    <cellStyle name="40% - Accent6 2 4 2" xfId="11959" xr:uid="{00000000-0005-0000-0000-00004D040000}"/>
    <cellStyle name="40% - Accent6 2 4 2 2" xfId="28455" xr:uid="{00000000-0005-0000-0000-00004E040000}"/>
    <cellStyle name="40% - Accent6 2 4 3" xfId="20419" xr:uid="{00000000-0005-0000-0000-00004F040000}"/>
    <cellStyle name="40% - Accent6 2 5" xfId="10889" xr:uid="{00000000-0005-0000-0000-000050040000}"/>
    <cellStyle name="40% - Accent6 2 5 2" xfId="28432" xr:uid="{00000000-0005-0000-0000-000051040000}"/>
    <cellStyle name="40% - Accent6 2 6" xfId="2116" xr:uid="{00000000-0005-0000-0000-000052040000}"/>
    <cellStyle name="40% - Accent6 3" xfId="127" xr:uid="{00000000-0005-0000-0000-000053040000}"/>
    <cellStyle name="40% - Accent6 3 2" xfId="128" xr:uid="{00000000-0005-0000-0000-000054040000}"/>
    <cellStyle name="40% - Accent6 3 2 2" xfId="2121" xr:uid="{00000000-0005-0000-0000-000055040000}"/>
    <cellStyle name="40% - Accent6 3 2 2 2" xfId="11868" xr:uid="{00000000-0005-0000-0000-000056040000}"/>
    <cellStyle name="40% - Accent6 3 2 2 2 2" xfId="28435" xr:uid="{00000000-0005-0000-0000-000057040000}"/>
    <cellStyle name="40% - Accent6 3 2 2 3" xfId="20327" xr:uid="{00000000-0005-0000-0000-000058040000}"/>
    <cellStyle name="40% - Accent6 3 2 2 4" xfId="36865" xr:uid="{00000000-0005-0000-0000-000059040000}"/>
    <cellStyle name="40% - Accent6 3 2 3" xfId="11898" xr:uid="{00000000-0005-0000-0000-00005A040000}"/>
    <cellStyle name="40% - Accent6 3 2 3 2" xfId="28440" xr:uid="{00000000-0005-0000-0000-00005B040000}"/>
    <cellStyle name="40% - Accent6 3 2 4" xfId="20356" xr:uid="{00000000-0005-0000-0000-00005C040000}"/>
    <cellStyle name="40% - Accent6 3 3" xfId="2113" xr:uid="{00000000-0005-0000-0000-00005D040000}"/>
    <cellStyle name="40% - Accent6 3 3 2" xfId="11839" xr:uid="{00000000-0005-0000-0000-00005E040000}"/>
    <cellStyle name="40% - Accent6 3 3 2 2" xfId="28431" xr:uid="{00000000-0005-0000-0000-00005F040000}"/>
    <cellStyle name="40% - Accent6 3 3 3" xfId="20300" xr:uid="{00000000-0005-0000-0000-000060040000}"/>
    <cellStyle name="40% - Accent6 3 3 4" xfId="36864" xr:uid="{00000000-0005-0000-0000-000061040000}"/>
    <cellStyle name="40% - Accent6 3 4" xfId="11928" xr:uid="{00000000-0005-0000-0000-000062040000}"/>
    <cellStyle name="40% - Accent6 3 4 2" xfId="28448" xr:uid="{00000000-0005-0000-0000-000063040000}"/>
    <cellStyle name="40% - Accent6 3 5" xfId="20388" xr:uid="{00000000-0005-0000-0000-000064040000}"/>
    <cellStyle name="40% - Accent6 4" xfId="129" xr:uid="{00000000-0005-0000-0000-000065040000}"/>
    <cellStyle name="40% - Accent6 4 2" xfId="2099" xr:uid="{00000000-0005-0000-0000-000066040000}"/>
    <cellStyle name="40% - Accent6 4 2 2" xfId="11775" xr:uid="{00000000-0005-0000-0000-000067040000}"/>
    <cellStyle name="40% - Accent6 4 2 2 2" xfId="28423" xr:uid="{00000000-0005-0000-0000-000068040000}"/>
    <cellStyle name="40% - Accent6 4 2 3" xfId="20240" xr:uid="{00000000-0005-0000-0000-000069040000}"/>
    <cellStyle name="40% - Accent6 4 2 4" xfId="36866" xr:uid="{00000000-0005-0000-0000-00006A040000}"/>
    <cellStyle name="40% - Accent6 4 3" xfId="11807" xr:uid="{00000000-0005-0000-0000-00006B040000}"/>
    <cellStyle name="40% - Accent6 4 3 2" xfId="28427" xr:uid="{00000000-0005-0000-0000-00006C040000}"/>
    <cellStyle name="40% - Accent6 4 4" xfId="20270" xr:uid="{00000000-0005-0000-0000-00006D040000}"/>
    <cellStyle name="40% - Accent6 5" xfId="452" xr:uid="{00000000-0005-0000-0000-00006E040000}"/>
    <cellStyle name="40% - Accent6 5 2" xfId="2085" xr:uid="{00000000-0005-0000-0000-00006F040000}"/>
    <cellStyle name="40% - Accent6 5 2 2" xfId="11711" xr:uid="{00000000-0005-0000-0000-000070040000}"/>
    <cellStyle name="40% - Accent6 5 2 2 2" xfId="28414" xr:uid="{00000000-0005-0000-0000-000071040000}"/>
    <cellStyle name="40% - Accent6 5 2 3" xfId="20179" xr:uid="{00000000-0005-0000-0000-000072040000}"/>
    <cellStyle name="40% - Accent6 5 3" xfId="2091" xr:uid="{00000000-0005-0000-0000-000073040000}"/>
    <cellStyle name="40% - Accent6 5 3 2" xfId="28418" xr:uid="{00000000-0005-0000-0000-000074040000}"/>
    <cellStyle name="40% - Accent6 5 4" xfId="20210" xr:uid="{00000000-0005-0000-0000-000075040000}"/>
    <cellStyle name="40% - Accent6 6" xfId="2079" xr:uid="{00000000-0005-0000-0000-000076040000}"/>
    <cellStyle name="40% - Accent6 6 2" xfId="11679" xr:uid="{00000000-0005-0000-0000-000077040000}"/>
    <cellStyle name="40% - Accent6 6 2 2" xfId="28411" xr:uid="{00000000-0005-0000-0000-000078040000}"/>
    <cellStyle name="40% - Accent6 6 3" xfId="20148" xr:uid="{00000000-0005-0000-0000-000079040000}"/>
    <cellStyle name="40% - Accent6 7" xfId="2020" xr:uid="{00000000-0005-0000-0000-00007A040000}"/>
    <cellStyle name="40% - Accent6 7 2" xfId="11559" xr:uid="{00000000-0005-0000-0000-00007B040000}"/>
    <cellStyle name="40% - Accent6 7 2 2" xfId="28353" xr:uid="{00000000-0005-0000-0000-00007C040000}"/>
    <cellStyle name="40% - Accent6 7 3" xfId="20030" xr:uid="{00000000-0005-0000-0000-00007D040000}"/>
    <cellStyle name="40% - Accent6 8" xfId="2137" xr:uid="{00000000-0005-0000-0000-00007E040000}"/>
    <cellStyle name="40% - Accent6 8 2" xfId="11941" xr:uid="{00000000-0005-0000-0000-00007F040000}"/>
    <cellStyle name="40% - Accent6 8 2 2" xfId="28449" xr:uid="{00000000-0005-0000-0000-000080040000}"/>
    <cellStyle name="40% - Accent6 8 3" xfId="20401" xr:uid="{00000000-0005-0000-0000-000081040000}"/>
    <cellStyle name="40% - Accent6 9" xfId="11480" xr:uid="{00000000-0005-0000-0000-000082040000}"/>
    <cellStyle name="40% - Accent6 9 2" xfId="28341" xr:uid="{00000000-0005-0000-0000-000083040000}"/>
    <cellStyle name="40% - Ênfase1" xfId="1807" xr:uid="{00000000-0005-0000-0000-000084040000}"/>
    <cellStyle name="40% - Ênfase2" xfId="1808" xr:uid="{00000000-0005-0000-0000-000085040000}"/>
    <cellStyle name="40% - Ênfase3" xfId="1809" xr:uid="{00000000-0005-0000-0000-000086040000}"/>
    <cellStyle name="40% - Ênfase4" xfId="1810" xr:uid="{00000000-0005-0000-0000-000087040000}"/>
    <cellStyle name="40% - Ênfase5" xfId="1811" xr:uid="{00000000-0005-0000-0000-000088040000}"/>
    <cellStyle name="40% - Ênfase6" xfId="1812" xr:uid="{00000000-0005-0000-0000-000089040000}"/>
    <cellStyle name="40% - Énfasis1" xfId="1813" xr:uid="{00000000-0005-0000-0000-00008A040000}"/>
    <cellStyle name="40% - Énfasis2" xfId="1814" xr:uid="{00000000-0005-0000-0000-00008B040000}"/>
    <cellStyle name="40% - Énfasis3" xfId="1815" xr:uid="{00000000-0005-0000-0000-00008C040000}"/>
    <cellStyle name="40% - Énfasis4" xfId="1816" xr:uid="{00000000-0005-0000-0000-00008D040000}"/>
    <cellStyle name="40% - Énfasis5" xfId="1817" xr:uid="{00000000-0005-0000-0000-00008E040000}"/>
    <cellStyle name="40% - Énfasis6" xfId="1818" xr:uid="{00000000-0005-0000-0000-00008F040000}"/>
    <cellStyle name="60% - Accent1" xfId="1758" builtinId="32" customBuiltin="1"/>
    <cellStyle name="60% - Accent1 2" xfId="42" xr:uid="{00000000-0005-0000-0000-000091040000}"/>
    <cellStyle name="60% - Accent1 2 2" xfId="130" xr:uid="{00000000-0005-0000-0000-000092040000}"/>
    <cellStyle name="60% - Accent1 3" xfId="453" xr:uid="{00000000-0005-0000-0000-000093040000}"/>
    <cellStyle name="60% - Accent2" xfId="1762" builtinId="36" customBuiltin="1"/>
    <cellStyle name="60% - Accent2 2" xfId="43" xr:uid="{00000000-0005-0000-0000-000095040000}"/>
    <cellStyle name="60% - Accent2 3" xfId="454" xr:uid="{00000000-0005-0000-0000-000096040000}"/>
    <cellStyle name="60% - Accent3" xfId="1766" builtinId="40" customBuiltin="1"/>
    <cellStyle name="60% - Accent3 2" xfId="44" xr:uid="{00000000-0005-0000-0000-000098040000}"/>
    <cellStyle name="60% - Accent3 2 2" xfId="131" xr:uid="{00000000-0005-0000-0000-000099040000}"/>
    <cellStyle name="60% - Accent3 3" xfId="455" xr:uid="{00000000-0005-0000-0000-00009A040000}"/>
    <cellStyle name="60% - Accent4" xfId="1770" builtinId="44" customBuiltin="1"/>
    <cellStyle name="60% - Accent4 2" xfId="45" xr:uid="{00000000-0005-0000-0000-00009C040000}"/>
    <cellStyle name="60% - Accent4 2 2" xfId="132" xr:uid="{00000000-0005-0000-0000-00009D040000}"/>
    <cellStyle name="60% - Accent4 3" xfId="456" xr:uid="{00000000-0005-0000-0000-00009E040000}"/>
    <cellStyle name="60% - Accent5" xfId="1774" builtinId="48" customBuiltin="1"/>
    <cellStyle name="60% - Accent5 2" xfId="46" xr:uid="{00000000-0005-0000-0000-0000A0040000}"/>
    <cellStyle name="60% - Accent5 2 2" xfId="133" xr:uid="{00000000-0005-0000-0000-0000A1040000}"/>
    <cellStyle name="60% - Accent5 3" xfId="457" xr:uid="{00000000-0005-0000-0000-0000A2040000}"/>
    <cellStyle name="60% - Accent6" xfId="1778" builtinId="52" customBuiltin="1"/>
    <cellStyle name="60% - Accent6 2" xfId="47" xr:uid="{00000000-0005-0000-0000-0000A4040000}"/>
    <cellStyle name="60% - Accent6 2 2" xfId="134" xr:uid="{00000000-0005-0000-0000-0000A5040000}"/>
    <cellStyle name="60% - Accent6 3" xfId="458" xr:uid="{00000000-0005-0000-0000-0000A6040000}"/>
    <cellStyle name="60% - Ênfase1" xfId="1819" xr:uid="{00000000-0005-0000-0000-0000A7040000}"/>
    <cellStyle name="60% - Ênfase2" xfId="1820" xr:uid="{00000000-0005-0000-0000-0000A8040000}"/>
    <cellStyle name="60% - Ênfase3" xfId="1821" xr:uid="{00000000-0005-0000-0000-0000A9040000}"/>
    <cellStyle name="60% - Ênfase4" xfId="1822" xr:uid="{00000000-0005-0000-0000-0000AA040000}"/>
    <cellStyle name="60% - Ênfase5" xfId="1823" xr:uid="{00000000-0005-0000-0000-0000AB040000}"/>
    <cellStyle name="60% - Ênfase6" xfId="1824" xr:uid="{00000000-0005-0000-0000-0000AC040000}"/>
    <cellStyle name="60% - Énfasis1" xfId="1825" xr:uid="{00000000-0005-0000-0000-0000AD040000}"/>
    <cellStyle name="60% - Énfasis2" xfId="1826" xr:uid="{00000000-0005-0000-0000-0000AE040000}"/>
    <cellStyle name="60% - Énfasis3" xfId="1827" xr:uid="{00000000-0005-0000-0000-0000AF040000}"/>
    <cellStyle name="60% - Énfasis4" xfId="1828" xr:uid="{00000000-0005-0000-0000-0000B0040000}"/>
    <cellStyle name="60% - Énfasis5" xfId="1829" xr:uid="{00000000-0005-0000-0000-0000B1040000}"/>
    <cellStyle name="60% - Énfasis6" xfId="1830" xr:uid="{00000000-0005-0000-0000-0000B2040000}"/>
    <cellStyle name="Accent1" xfId="1755" builtinId="29" customBuiltin="1"/>
    <cellStyle name="Accent1 2" xfId="48" xr:uid="{00000000-0005-0000-0000-0000B4040000}"/>
    <cellStyle name="Accent1 2 2" xfId="135" xr:uid="{00000000-0005-0000-0000-0000B5040000}"/>
    <cellStyle name="Accent1 3" xfId="459" xr:uid="{00000000-0005-0000-0000-0000B6040000}"/>
    <cellStyle name="Accent2" xfId="1759" builtinId="33" customBuiltin="1"/>
    <cellStyle name="Accent2 2" xfId="49" xr:uid="{00000000-0005-0000-0000-0000B8040000}"/>
    <cellStyle name="Accent2 3" xfId="460" xr:uid="{00000000-0005-0000-0000-0000B9040000}"/>
    <cellStyle name="Accent3" xfId="1763" builtinId="37" customBuiltin="1"/>
    <cellStyle name="Accent3 2" xfId="50" xr:uid="{00000000-0005-0000-0000-0000BB040000}"/>
    <cellStyle name="Accent3 2 2" xfId="136" xr:uid="{00000000-0005-0000-0000-0000BC040000}"/>
    <cellStyle name="Accent3 3" xfId="461" xr:uid="{00000000-0005-0000-0000-0000BD040000}"/>
    <cellStyle name="Accent4" xfId="1767" builtinId="41" customBuiltin="1"/>
    <cellStyle name="Accent4 2" xfId="51" xr:uid="{00000000-0005-0000-0000-0000BF040000}"/>
    <cellStyle name="Accent4 2 2" xfId="137" xr:uid="{00000000-0005-0000-0000-0000C0040000}"/>
    <cellStyle name="Accent4 3" xfId="462" xr:uid="{00000000-0005-0000-0000-0000C1040000}"/>
    <cellStyle name="Accent5" xfId="1771" builtinId="45" customBuiltin="1"/>
    <cellStyle name="Accent5 2" xfId="52" xr:uid="{00000000-0005-0000-0000-0000C3040000}"/>
    <cellStyle name="Accent5 2 2" xfId="138" xr:uid="{00000000-0005-0000-0000-0000C4040000}"/>
    <cellStyle name="Accent5 3" xfId="463" xr:uid="{00000000-0005-0000-0000-0000C5040000}"/>
    <cellStyle name="Accent6" xfId="1775" builtinId="49" customBuiltin="1"/>
    <cellStyle name="Accent6 2" xfId="53" xr:uid="{00000000-0005-0000-0000-0000C7040000}"/>
    <cellStyle name="Accent6 2 2" xfId="139" xr:uid="{00000000-0005-0000-0000-0000C8040000}"/>
    <cellStyle name="Accent6 3" xfId="464" xr:uid="{00000000-0005-0000-0000-0000C9040000}"/>
    <cellStyle name="Accounting $" xfId="465" xr:uid="{00000000-0005-0000-0000-0000CA040000}"/>
    <cellStyle name="AFE" xfId="466" xr:uid="{00000000-0005-0000-0000-0000CB040000}"/>
    <cellStyle name="AFE 2" xfId="467" xr:uid="{00000000-0005-0000-0000-0000CC040000}"/>
    <cellStyle name="AFE_COACH_Public_Comps_SOLUTION_v1 28_Hermes (3)" xfId="468" xr:uid="{00000000-0005-0000-0000-0000CD040000}"/>
    <cellStyle name="Availability" xfId="1831" xr:uid="{00000000-0005-0000-0000-0000CE040000}"/>
    <cellStyle name="Bad" xfId="1744" builtinId="27" customBuiltin="1"/>
    <cellStyle name="Bad 10" xfId="11446" xr:uid="{00000000-0005-0000-0000-0000D0040000}"/>
    <cellStyle name="Bad 11" xfId="11457" xr:uid="{00000000-0005-0000-0000-0000D1040000}"/>
    <cellStyle name="Bad 12" xfId="11489" xr:uid="{00000000-0005-0000-0000-0000D2040000}"/>
    <cellStyle name="Bad 13" xfId="11630" xr:uid="{00000000-0005-0000-0000-0000D3040000}"/>
    <cellStyle name="Bad 14" xfId="11508" xr:uid="{00000000-0005-0000-0000-0000D4040000}"/>
    <cellStyle name="Bad 15" xfId="11670" xr:uid="{00000000-0005-0000-0000-0000D5040000}"/>
    <cellStyle name="Bad 16" xfId="11687" xr:uid="{00000000-0005-0000-0000-0000D6040000}"/>
    <cellStyle name="Bad 17" xfId="11702" xr:uid="{00000000-0005-0000-0000-0000D7040000}"/>
    <cellStyle name="Bad 18" xfId="11719" xr:uid="{00000000-0005-0000-0000-0000D8040000}"/>
    <cellStyle name="Bad 19" xfId="11735" xr:uid="{00000000-0005-0000-0000-0000D9040000}"/>
    <cellStyle name="Bad 2" xfId="54" xr:uid="{00000000-0005-0000-0000-0000DA040000}"/>
    <cellStyle name="Bad 20" xfId="11751" xr:uid="{00000000-0005-0000-0000-0000DB040000}"/>
    <cellStyle name="Bad 21" xfId="11767" xr:uid="{00000000-0005-0000-0000-0000DC040000}"/>
    <cellStyle name="Bad 22" xfId="11783" xr:uid="{00000000-0005-0000-0000-0000DD040000}"/>
    <cellStyle name="Bad 23" xfId="11798" xr:uid="{00000000-0005-0000-0000-0000DE040000}"/>
    <cellStyle name="Bad 24" xfId="11815" xr:uid="{00000000-0005-0000-0000-0000DF040000}"/>
    <cellStyle name="Bad 25" xfId="11830" xr:uid="{00000000-0005-0000-0000-0000E0040000}"/>
    <cellStyle name="Bad 26" xfId="11846" xr:uid="{00000000-0005-0000-0000-0000E1040000}"/>
    <cellStyle name="Bad 27" xfId="11860" xr:uid="{00000000-0005-0000-0000-0000E2040000}"/>
    <cellStyle name="Bad 28" xfId="11875" xr:uid="{00000000-0005-0000-0000-0000E3040000}"/>
    <cellStyle name="Bad 29" xfId="11890" xr:uid="{00000000-0005-0000-0000-0000E4040000}"/>
    <cellStyle name="Bad 3" xfId="469" xr:uid="{00000000-0005-0000-0000-0000E5040000}"/>
    <cellStyle name="Bad 3 2" xfId="11312" xr:uid="{00000000-0005-0000-0000-0000E6040000}"/>
    <cellStyle name="Bad 30" xfId="11905" xr:uid="{00000000-0005-0000-0000-0000E7040000}"/>
    <cellStyle name="Bad 31" xfId="11920" xr:uid="{00000000-0005-0000-0000-0000E8040000}"/>
    <cellStyle name="Bad 32" xfId="11935" xr:uid="{00000000-0005-0000-0000-0000E9040000}"/>
    <cellStyle name="Bad 33" xfId="11952" xr:uid="{00000000-0005-0000-0000-0000EA040000}"/>
    <cellStyle name="Bad 34" xfId="19823" xr:uid="{00000000-0005-0000-0000-0000EB040000}"/>
    <cellStyle name="Bad 35" xfId="19840" xr:uid="{00000000-0005-0000-0000-0000EC040000}"/>
    <cellStyle name="Bad 36" xfId="19861" xr:uid="{00000000-0005-0000-0000-0000ED040000}"/>
    <cellStyle name="Bad 37" xfId="19873" xr:uid="{00000000-0005-0000-0000-0000EE040000}"/>
    <cellStyle name="Bad 38" xfId="19903" xr:uid="{00000000-0005-0000-0000-0000EF040000}"/>
    <cellStyle name="Bad 39" xfId="19919" xr:uid="{00000000-0005-0000-0000-0000F0040000}"/>
    <cellStyle name="Bad 4" xfId="11328" xr:uid="{00000000-0005-0000-0000-0000F1040000}"/>
    <cellStyle name="Bad 40" xfId="19925" xr:uid="{00000000-0005-0000-0000-0000F2040000}"/>
    <cellStyle name="Bad 41" xfId="19941" xr:uid="{00000000-0005-0000-0000-0000F3040000}"/>
    <cellStyle name="Bad 42" xfId="19952" xr:uid="{00000000-0005-0000-0000-0000F4040000}"/>
    <cellStyle name="Bad 43" xfId="19971" xr:uid="{00000000-0005-0000-0000-0000F5040000}"/>
    <cellStyle name="Bad 44" xfId="20102" xr:uid="{00000000-0005-0000-0000-0000F6040000}"/>
    <cellStyle name="Bad 45" xfId="19986" xr:uid="{00000000-0005-0000-0000-0000F7040000}"/>
    <cellStyle name="Bad 46" xfId="20140" xr:uid="{00000000-0005-0000-0000-0000F8040000}"/>
    <cellStyle name="Bad 47" xfId="20156" xr:uid="{00000000-0005-0000-0000-0000F9040000}"/>
    <cellStyle name="Bad 48" xfId="20171" xr:uid="{00000000-0005-0000-0000-0000FA040000}"/>
    <cellStyle name="Bad 49" xfId="20187" xr:uid="{00000000-0005-0000-0000-0000FB040000}"/>
    <cellStyle name="Bad 5" xfId="11361" xr:uid="{00000000-0005-0000-0000-0000FC040000}"/>
    <cellStyle name="Bad 50" xfId="20202" xr:uid="{00000000-0005-0000-0000-0000FD040000}"/>
    <cellStyle name="Bad 51" xfId="20218" xr:uid="{00000000-0005-0000-0000-0000FE040000}"/>
    <cellStyle name="Bad 52" xfId="20233" xr:uid="{00000000-0005-0000-0000-0000FF040000}"/>
    <cellStyle name="Bad 53" xfId="20248" xr:uid="{00000000-0005-0000-0000-000000050000}"/>
    <cellStyle name="Bad 54" xfId="20262" xr:uid="{00000000-0005-0000-0000-000001050000}"/>
    <cellStyle name="Bad 55" xfId="20278" xr:uid="{00000000-0005-0000-0000-000002050000}"/>
    <cellStyle name="Bad 56" xfId="20292" xr:uid="{00000000-0005-0000-0000-000003050000}"/>
    <cellStyle name="Bad 57" xfId="20307" xr:uid="{00000000-0005-0000-0000-000004050000}"/>
    <cellStyle name="Bad 58" xfId="20320" xr:uid="{00000000-0005-0000-0000-000005050000}"/>
    <cellStyle name="Bad 59" xfId="20334" xr:uid="{00000000-0005-0000-0000-000006050000}"/>
    <cellStyle name="Bad 6" xfId="11373" xr:uid="{00000000-0005-0000-0000-000007050000}"/>
    <cellStyle name="Bad 60" xfId="20349" xr:uid="{00000000-0005-0000-0000-000008050000}"/>
    <cellStyle name="Bad 61" xfId="20364" xr:uid="{00000000-0005-0000-0000-000009050000}"/>
    <cellStyle name="Bad 62" xfId="20380" xr:uid="{00000000-0005-0000-0000-00000A050000}"/>
    <cellStyle name="Bad 63" xfId="20395" xr:uid="{00000000-0005-0000-0000-00000B050000}"/>
    <cellStyle name="Bad 64" xfId="20412" xr:uid="{00000000-0005-0000-0000-00000C050000}"/>
    <cellStyle name="Bad 7" xfId="11408" xr:uid="{00000000-0005-0000-0000-00000D050000}"/>
    <cellStyle name="Bad 8" xfId="11424" xr:uid="{00000000-0005-0000-0000-00000E050000}"/>
    <cellStyle name="Bad 9" xfId="11430" xr:uid="{00000000-0005-0000-0000-00000F050000}"/>
    <cellStyle name="bch" xfId="6633" xr:uid="{00000000-0005-0000-0000-000010050000}"/>
    <cellStyle name="B-CHeader" xfId="1832" xr:uid="{00000000-0005-0000-0000-000011050000}"/>
    <cellStyle name="bci" xfId="6634" xr:uid="{00000000-0005-0000-0000-000012050000}"/>
    <cellStyle name="Black" xfId="140" xr:uid="{00000000-0005-0000-0000-000013050000}"/>
    <cellStyle name="Black Text" xfId="1833" xr:uid="{00000000-0005-0000-0000-000014050000}"/>
    <cellStyle name="Black Text (No Wrap)" xfId="1834" xr:uid="{00000000-0005-0000-0000-000015050000}"/>
    <cellStyle name="Black Text_Argentina" xfId="1835" xr:uid="{00000000-0005-0000-0000-000016050000}"/>
    <cellStyle name="Blank" xfId="2076" xr:uid="{00000000-0005-0000-0000-000017050000}"/>
    <cellStyle name="Blue" xfId="141" xr:uid="{00000000-0005-0000-0000-000018050000}"/>
    <cellStyle name="Blue 2" xfId="470" xr:uid="{00000000-0005-0000-0000-000019050000}"/>
    <cellStyle name="Blue 3" xfId="1836" xr:uid="{00000000-0005-0000-0000-00001A050000}"/>
    <cellStyle name="Blue Text" xfId="1837" xr:uid="{00000000-0005-0000-0000-00001B050000}"/>
    <cellStyle name="Blue Text - Ariel 10" xfId="1838" xr:uid="{00000000-0005-0000-0000-00001C050000}"/>
    <cellStyle name="Blue Text_Argentina" xfId="1839" xr:uid="{00000000-0005-0000-0000-00001D050000}"/>
    <cellStyle name="Body_$Dollars" xfId="471" xr:uid="{00000000-0005-0000-0000-00001E050000}"/>
    <cellStyle name="Bold/Border" xfId="472" xr:uid="{00000000-0005-0000-0000-00001F050000}"/>
    <cellStyle name="Bold/Border 2" xfId="11127" xr:uid="{00000000-0005-0000-0000-000020050000}"/>
    <cellStyle name="Bol-Data" xfId="1840" xr:uid="{00000000-0005-0000-0000-000021050000}"/>
    <cellStyle name="bolet" xfId="1841" xr:uid="{00000000-0005-0000-0000-000022050000}"/>
    <cellStyle name="Boletim" xfId="1842" xr:uid="{00000000-0005-0000-0000-000023050000}"/>
    <cellStyle name="Bom" xfId="1843" xr:uid="{00000000-0005-0000-0000-000024050000}"/>
    <cellStyle name="Border, Bottom" xfId="1844" xr:uid="{00000000-0005-0000-0000-000025050000}"/>
    <cellStyle name="Border, Bottom 2" xfId="1978" xr:uid="{00000000-0005-0000-0000-000026050000}"/>
    <cellStyle name="Border, Bottom 2 2" xfId="11343" xr:uid="{00000000-0005-0000-0000-000027050000}"/>
    <cellStyle name="Border, Bottom 2 3" xfId="11228" xr:uid="{00000000-0005-0000-0000-000028050000}"/>
    <cellStyle name="Border, Bottom 3" xfId="2007" xr:uid="{00000000-0005-0000-0000-000029050000}"/>
    <cellStyle name="Border, Bottom 3 2" xfId="11551" xr:uid="{00000000-0005-0000-0000-00002A050000}"/>
    <cellStyle name="Border, Bottom 3 3" xfId="11229" xr:uid="{00000000-0005-0000-0000-00002B050000}"/>
    <cellStyle name="Border, Bottom 4" xfId="11225" xr:uid="{00000000-0005-0000-0000-00002C050000}"/>
    <cellStyle name="Border, Left" xfId="1845" xr:uid="{00000000-0005-0000-0000-00002D050000}"/>
    <cellStyle name="Border, Left 2" xfId="1979" xr:uid="{00000000-0005-0000-0000-00002E050000}"/>
    <cellStyle name="Border, Left 2 2" xfId="11344" xr:uid="{00000000-0005-0000-0000-00002F050000}"/>
    <cellStyle name="Border, Left 3" xfId="2008" xr:uid="{00000000-0005-0000-0000-000030050000}"/>
    <cellStyle name="Border, Left 3 2" xfId="11552" xr:uid="{00000000-0005-0000-0000-000031050000}"/>
    <cellStyle name="Border, Right" xfId="1846" xr:uid="{00000000-0005-0000-0000-000032050000}"/>
    <cellStyle name="Border, Right 2" xfId="1980" xr:uid="{00000000-0005-0000-0000-000033050000}"/>
    <cellStyle name="Border, Right 2 2" xfId="11345" xr:uid="{00000000-0005-0000-0000-000034050000}"/>
    <cellStyle name="Border, Right 3" xfId="2009" xr:uid="{00000000-0005-0000-0000-000035050000}"/>
    <cellStyle name="Border, Right 3 2" xfId="11553" xr:uid="{00000000-0005-0000-0000-000036050000}"/>
    <cellStyle name="Border, Top" xfId="1847" xr:uid="{00000000-0005-0000-0000-000037050000}"/>
    <cellStyle name="Border, Top 2" xfId="1981" xr:uid="{00000000-0005-0000-0000-000038050000}"/>
    <cellStyle name="Border, Top 2 2" xfId="11094" xr:uid="{00000000-0005-0000-0000-000039050000}"/>
    <cellStyle name="Border, Top 2 2 2" xfId="11346" xr:uid="{00000000-0005-0000-0000-00003A050000}"/>
    <cellStyle name="Border, Top 2 3" xfId="11288" xr:uid="{00000000-0005-0000-0000-00003B050000}"/>
    <cellStyle name="Border, Top 3" xfId="2010" xr:uid="{00000000-0005-0000-0000-00003C050000}"/>
    <cellStyle name="Border, Top 3 2" xfId="11095" xr:uid="{00000000-0005-0000-0000-00003D050000}"/>
    <cellStyle name="Border, Top 3 2 2" xfId="11554" xr:uid="{00000000-0005-0000-0000-00003E050000}"/>
    <cellStyle name="Border, Top 3 3" xfId="11287" xr:uid="{00000000-0005-0000-0000-00003F050000}"/>
    <cellStyle name="Border, Top 4" xfId="11085" xr:uid="{00000000-0005-0000-0000-000040050000}"/>
    <cellStyle name="Border, Top 5" xfId="11291" xr:uid="{00000000-0005-0000-0000-000041050000}"/>
    <cellStyle name="Bottom Edge" xfId="473" xr:uid="{00000000-0005-0000-0000-000042050000}"/>
    <cellStyle name="Bottom Edge 2" xfId="1601" xr:uid="{00000000-0005-0000-0000-000043050000}"/>
    <cellStyle name="Bottom Edge 2 2" xfId="1643" xr:uid="{00000000-0005-0000-0000-000044050000}"/>
    <cellStyle name="Bottom Edge 2 2 2" xfId="11200" xr:uid="{00000000-0005-0000-0000-000045050000}"/>
    <cellStyle name="Bottom Edge 2 2 3" xfId="36791" xr:uid="{00000000-0005-0000-0000-000046050000}"/>
    <cellStyle name="Bottom Edge 2 2 4" xfId="36657" xr:uid="{00000000-0005-0000-0000-000047050000}"/>
    <cellStyle name="Bottom Edge 2 2 5" xfId="36718" xr:uid="{00000000-0005-0000-0000-000048050000}"/>
    <cellStyle name="Bottom Edge 2 3" xfId="1662" xr:uid="{00000000-0005-0000-0000-000049050000}"/>
    <cellStyle name="Bottom Edge 2 3 2" xfId="11219" xr:uid="{00000000-0005-0000-0000-00004A050000}"/>
    <cellStyle name="Bottom Edge 2 3 3" xfId="36810" xr:uid="{00000000-0005-0000-0000-00004B050000}"/>
    <cellStyle name="Bottom Edge 2 3 4" xfId="36734" xr:uid="{00000000-0005-0000-0000-00004C050000}"/>
    <cellStyle name="Bottom Edge 2 3 5" xfId="36661" xr:uid="{00000000-0005-0000-0000-00004D050000}"/>
    <cellStyle name="Bottom Edge 2 4" xfId="11161" xr:uid="{00000000-0005-0000-0000-00004E050000}"/>
    <cellStyle name="Bottom Edge 2 5" xfId="36752" xr:uid="{00000000-0005-0000-0000-00004F050000}"/>
    <cellStyle name="Bottom Edge 2 6" xfId="36730" xr:uid="{00000000-0005-0000-0000-000050050000}"/>
    <cellStyle name="Bottom Edge 2 7" xfId="36733" xr:uid="{00000000-0005-0000-0000-000051050000}"/>
    <cellStyle name="Bottom Edge 3" xfId="1618" xr:uid="{00000000-0005-0000-0000-000052050000}"/>
    <cellStyle name="Bottom Edge 3 2" xfId="11175" xr:uid="{00000000-0005-0000-0000-000053050000}"/>
    <cellStyle name="Bottom Edge 3 3" xfId="36766" xr:uid="{00000000-0005-0000-0000-000054050000}"/>
    <cellStyle name="Bottom Edge 3 4" xfId="36600" xr:uid="{00000000-0005-0000-0000-000055050000}"/>
    <cellStyle name="Bottom Edge 3 5" xfId="36932" xr:uid="{00000000-0005-0000-0000-000056050000}"/>
    <cellStyle name="Bottom Edge 4" xfId="1616" xr:uid="{00000000-0005-0000-0000-000057050000}"/>
    <cellStyle name="Bottom Edge 4 2" xfId="11173" xr:uid="{00000000-0005-0000-0000-000058050000}"/>
    <cellStyle name="Bottom Edge 4 3" xfId="36764" xr:uid="{00000000-0005-0000-0000-000059050000}"/>
    <cellStyle name="Bottom Edge 4 4" xfId="36589" xr:uid="{00000000-0005-0000-0000-00005A050000}"/>
    <cellStyle name="Bottom Edge 4 5" xfId="36637" xr:uid="{00000000-0005-0000-0000-00005B050000}"/>
    <cellStyle name="Bottom Edge 5" xfId="36377" xr:uid="{00000000-0005-0000-0000-00005C050000}"/>
    <cellStyle name="Bottom Edge 6" xfId="11128" xr:uid="{00000000-0005-0000-0000-00005D050000}"/>
    <cellStyle name="Bottom Edge 7" xfId="36660" xr:uid="{00000000-0005-0000-0000-00005E050000}"/>
    <cellStyle name="Bottom Edge 8" xfId="36921" xr:uid="{00000000-0005-0000-0000-00005F050000}"/>
    <cellStyle name="Bottom Edge 9" xfId="36941" xr:uid="{00000000-0005-0000-0000-000060050000}"/>
    <cellStyle name="Buena" xfId="1848" xr:uid="{00000000-0005-0000-0000-000061050000}"/>
    <cellStyle name="Bullet" xfId="474" xr:uid="{00000000-0005-0000-0000-000062050000}"/>
    <cellStyle name="Bullet 2" xfId="1849" xr:uid="{00000000-0005-0000-0000-000063050000}"/>
    <cellStyle name="c_HardInc " xfId="475" xr:uid="{00000000-0005-0000-0000-000064050000}"/>
    <cellStyle name="c_HardInc _1 Cadbury_&amp;_Kraft_Model_v11.0" xfId="476" xr:uid="{00000000-0005-0000-0000-000065050000}"/>
    <cellStyle name="c_HardInc _2 HNZ_CPB_v11.0" xfId="477" xr:uid="{00000000-0005-0000-0000-000066050000}"/>
    <cellStyle name="c_HardInc _2 HNZ_CPB_v11.0.2" xfId="478" xr:uid="{00000000-0005-0000-0000-000067050000}"/>
    <cellStyle name="c_HardInc _Book2" xfId="479" xr:uid="{00000000-0005-0000-0000-000068050000}"/>
    <cellStyle name="c_HardInc _CBRY_Case_v2.0 DRAFT4.0_AL" xfId="480" xr:uid="{00000000-0005-0000-0000-000069050000}"/>
    <cellStyle name="c_HardInc _CBRY_Case_v2.0 DRAFT4.0_AL_MBA_Val_101_CAD_2009_BACKUP_v1.0_Draft_10" xfId="481" xr:uid="{00000000-0005-0000-0000-00006A050000}"/>
    <cellStyle name="c_HardInc _CBRY_Case_v2.0 DRAFT4.0_AL_MBA_Val_101_CAD_2009_BACKUP_v1.0_Draft_15" xfId="482" xr:uid="{00000000-0005-0000-0000-00006B050000}"/>
    <cellStyle name="c_HardInc _COH_Merger_Model_Analysts_SOLUTION_v1.88" xfId="483" xr:uid="{00000000-0005-0000-0000-00006C050000}"/>
    <cellStyle name="c_HardInc _Copy of COH_2008_FM_SOLUTION_DCF_v1.05" xfId="484" xr:uid="{00000000-0005-0000-0000-00006D050000}"/>
    <cellStyle name="c_HardInc _MBA_Val_CAD_DCFv2.0" xfId="485" xr:uid="{00000000-0005-0000-0000-00006E050000}"/>
    <cellStyle name="c_HardInc _MBA_Val_CAD_DCFv2.0_MBA_Val_101_CAD_2009_BACKUP_v1.0_Draft_10" xfId="486" xr:uid="{00000000-0005-0000-0000-00006F050000}"/>
    <cellStyle name="c_HardInc _MBA_Val_CAD_DCFv2.0_MBA_Val_101_CAD_2009_BACKUP_v1.0_Draft_15" xfId="487" xr:uid="{00000000-0005-0000-0000-000070050000}"/>
    <cellStyle name="c_HardInc _MBA_Val_CAD_DCFv2.0_MBA_Val_101_CAD_2009_BACKUP_v1.0_Draft_9" xfId="488" xr:uid="{00000000-0005-0000-0000-000071050000}"/>
    <cellStyle name="Calculation" xfId="1748" builtinId="22" customBuiltin="1"/>
    <cellStyle name="Calculation 10" xfId="11442" xr:uid="{00000000-0005-0000-0000-000073050000}"/>
    <cellStyle name="Calculation 11" xfId="11461" xr:uid="{00000000-0005-0000-0000-000074050000}"/>
    <cellStyle name="Calculation 12" xfId="11493" xr:uid="{00000000-0005-0000-0000-000075050000}"/>
    <cellStyle name="Calculation 13" xfId="11625" xr:uid="{00000000-0005-0000-0000-000076050000}"/>
    <cellStyle name="Calculation 14" xfId="11512" xr:uid="{00000000-0005-0000-0000-000077050000}"/>
    <cellStyle name="Calculation 15" xfId="11666" xr:uid="{00000000-0005-0000-0000-000078050000}"/>
    <cellStyle name="Calculation 16" xfId="11683" xr:uid="{00000000-0005-0000-0000-000079050000}"/>
    <cellStyle name="Calculation 17" xfId="11698" xr:uid="{00000000-0005-0000-0000-00007A050000}"/>
    <cellStyle name="Calculation 18" xfId="11715" xr:uid="{00000000-0005-0000-0000-00007B050000}"/>
    <cellStyle name="Calculation 19" xfId="11731" xr:uid="{00000000-0005-0000-0000-00007C050000}"/>
    <cellStyle name="Calculation 2" xfId="55" xr:uid="{00000000-0005-0000-0000-00007D050000}"/>
    <cellStyle name="Calculation 2 10" xfId="36540" xr:uid="{00000000-0005-0000-0000-00007E050000}"/>
    <cellStyle name="Calculation 2 11" xfId="36458" xr:uid="{00000000-0005-0000-0000-00007F050000}"/>
    <cellStyle name="Calculation 2 12" xfId="36511" xr:uid="{00000000-0005-0000-0000-000080050000}"/>
    <cellStyle name="Calculation 2 13" xfId="36409" xr:uid="{00000000-0005-0000-0000-000081050000}"/>
    <cellStyle name="Calculation 2 14" xfId="36504" xr:uid="{00000000-0005-0000-0000-000082050000}"/>
    <cellStyle name="Calculation 2 15" xfId="36517" xr:uid="{00000000-0005-0000-0000-000083050000}"/>
    <cellStyle name="Calculation 2 16" xfId="36451" xr:uid="{00000000-0005-0000-0000-000084050000}"/>
    <cellStyle name="Calculation 2 17" xfId="36470" xr:uid="{00000000-0005-0000-0000-000085050000}"/>
    <cellStyle name="Calculation 2 18" xfId="36496" xr:uid="{00000000-0005-0000-0000-000086050000}"/>
    <cellStyle name="Calculation 2 19" xfId="36567" xr:uid="{00000000-0005-0000-0000-000087050000}"/>
    <cellStyle name="Calculation 2 2" xfId="142" xr:uid="{00000000-0005-0000-0000-000088050000}"/>
    <cellStyle name="Calculation 2 2 10" xfId="36501" xr:uid="{00000000-0005-0000-0000-000089050000}"/>
    <cellStyle name="Calculation 2 2 11" xfId="36554" xr:uid="{00000000-0005-0000-0000-00008A050000}"/>
    <cellStyle name="Calculation 2 2 12" xfId="36490" xr:uid="{00000000-0005-0000-0000-00008B050000}"/>
    <cellStyle name="Calculation 2 2 13" xfId="36491" xr:uid="{00000000-0005-0000-0000-00008C050000}"/>
    <cellStyle name="Calculation 2 2 14" xfId="36521" xr:uid="{00000000-0005-0000-0000-00008D050000}"/>
    <cellStyle name="Calculation 2 2 15" xfId="36498" xr:uid="{00000000-0005-0000-0000-00008E050000}"/>
    <cellStyle name="Calculation 2 2 16" xfId="36462" xr:uid="{00000000-0005-0000-0000-00008F050000}"/>
    <cellStyle name="Calculation 2 2 17" xfId="36546" xr:uid="{00000000-0005-0000-0000-000090050000}"/>
    <cellStyle name="Calculation 2 2 18" xfId="36407" xr:uid="{00000000-0005-0000-0000-000091050000}"/>
    <cellStyle name="Calculation 2 2 19" xfId="36583" xr:uid="{00000000-0005-0000-0000-000092050000}"/>
    <cellStyle name="Calculation 2 2 2" xfId="1589" xr:uid="{00000000-0005-0000-0000-000093050000}"/>
    <cellStyle name="Calculation 2 2 2 2" xfId="1632" xr:uid="{00000000-0005-0000-0000-000094050000}"/>
    <cellStyle name="Calculation 2 2 2 2 2" xfId="11189" xr:uid="{00000000-0005-0000-0000-000095050000}"/>
    <cellStyle name="Calculation 2 2 2 2 3" xfId="36780" xr:uid="{00000000-0005-0000-0000-000096050000}"/>
    <cellStyle name="Calculation 2 2 2 2 4" xfId="36685" xr:uid="{00000000-0005-0000-0000-000097050000}"/>
    <cellStyle name="Calculation 2 2 2 2 5" xfId="36933" xr:uid="{00000000-0005-0000-0000-000098050000}"/>
    <cellStyle name="Calculation 2 2 2 3" xfId="1651" xr:uid="{00000000-0005-0000-0000-000099050000}"/>
    <cellStyle name="Calculation 2 2 2 3 2" xfId="11208" xr:uid="{00000000-0005-0000-0000-00009A050000}"/>
    <cellStyle name="Calculation 2 2 2 3 3" xfId="36799" xr:uid="{00000000-0005-0000-0000-00009B050000}"/>
    <cellStyle name="Calculation 2 2 2 3 4" xfId="36712" xr:uid="{00000000-0005-0000-0000-00009C050000}"/>
    <cellStyle name="Calculation 2 2 2 3 5" xfId="36708" xr:uid="{00000000-0005-0000-0000-00009D050000}"/>
    <cellStyle name="Calculation 2 2 2 4" xfId="11150" xr:uid="{00000000-0005-0000-0000-00009E050000}"/>
    <cellStyle name="Calculation 2 2 2 5" xfId="36741" xr:uid="{00000000-0005-0000-0000-00009F050000}"/>
    <cellStyle name="Calculation 2 2 2 6" xfId="36591" xr:uid="{00000000-0005-0000-0000-0000A0050000}"/>
    <cellStyle name="Calculation 2 2 2 7" xfId="36728" xr:uid="{00000000-0005-0000-0000-0000A1050000}"/>
    <cellStyle name="Calculation 2 2 20" xfId="36456" xr:uid="{00000000-0005-0000-0000-0000A2050000}"/>
    <cellStyle name="Calculation 2 2 21" xfId="36534" xr:uid="{00000000-0005-0000-0000-0000A3050000}"/>
    <cellStyle name="Calculation 2 2 22" xfId="36553" xr:uid="{00000000-0005-0000-0000-0000A4050000}"/>
    <cellStyle name="Calculation 2 2 23" xfId="36615" xr:uid="{00000000-0005-0000-0000-0000A5050000}"/>
    <cellStyle name="Calculation 2 2 3" xfId="1612" xr:uid="{00000000-0005-0000-0000-0000A6050000}"/>
    <cellStyle name="Calculation 2 2 3 2" xfId="11169" xr:uid="{00000000-0005-0000-0000-0000A7050000}"/>
    <cellStyle name="Calculation 2 2 3 3" xfId="36760" xr:uid="{00000000-0005-0000-0000-0000A8050000}"/>
    <cellStyle name="Calculation 2 2 3 4" xfId="36656" xr:uid="{00000000-0005-0000-0000-0000A9050000}"/>
    <cellStyle name="Calculation 2 2 3 5" xfId="36727" xr:uid="{00000000-0005-0000-0000-0000AA050000}"/>
    <cellStyle name="Calculation 2 2 4" xfId="11100" xr:uid="{00000000-0005-0000-0000-0000AB050000}"/>
    <cellStyle name="Calculation 2 2 5" xfId="36390" xr:uid="{00000000-0005-0000-0000-0000AC050000}"/>
    <cellStyle name="Calculation 2 2 6" xfId="36397" xr:uid="{00000000-0005-0000-0000-0000AD050000}"/>
    <cellStyle name="Calculation 2 2 7" xfId="36437" xr:uid="{00000000-0005-0000-0000-0000AE050000}"/>
    <cellStyle name="Calculation 2 2 8" xfId="36411" xr:uid="{00000000-0005-0000-0000-0000AF050000}"/>
    <cellStyle name="Calculation 2 2 9" xfId="36526" xr:uid="{00000000-0005-0000-0000-0000B0050000}"/>
    <cellStyle name="Calculation 2 20" xfId="36484" xr:uid="{00000000-0005-0000-0000-0000B1050000}"/>
    <cellStyle name="Calculation 2 21" xfId="36582" xr:uid="{00000000-0005-0000-0000-0000B2050000}"/>
    <cellStyle name="Calculation 2 22" xfId="36558" xr:uid="{00000000-0005-0000-0000-0000B3050000}"/>
    <cellStyle name="Calculation 2 23" xfId="36586" xr:uid="{00000000-0005-0000-0000-0000B4050000}"/>
    <cellStyle name="Calculation 2 24" xfId="36594" xr:uid="{00000000-0005-0000-0000-0000B5050000}"/>
    <cellStyle name="Calculation 2 3" xfId="1584" xr:uid="{00000000-0005-0000-0000-0000B6050000}"/>
    <cellStyle name="Calculation 2 3 2" xfId="1627" xr:uid="{00000000-0005-0000-0000-0000B7050000}"/>
    <cellStyle name="Calculation 2 3 2 2" xfId="11184" xr:uid="{00000000-0005-0000-0000-0000B8050000}"/>
    <cellStyle name="Calculation 2 3 2 3" xfId="36775" xr:uid="{00000000-0005-0000-0000-0000B9050000}"/>
    <cellStyle name="Calculation 2 3 2 4" xfId="36623" xr:uid="{00000000-0005-0000-0000-0000BA050000}"/>
    <cellStyle name="Calculation 2 3 2 5" xfId="36692" xr:uid="{00000000-0005-0000-0000-0000BB050000}"/>
    <cellStyle name="Calculation 2 3 3" xfId="1646" xr:uid="{00000000-0005-0000-0000-0000BC050000}"/>
    <cellStyle name="Calculation 2 3 3 2" xfId="11203" xr:uid="{00000000-0005-0000-0000-0000BD050000}"/>
    <cellStyle name="Calculation 2 3 3 3" xfId="36794" xr:uid="{00000000-0005-0000-0000-0000BE050000}"/>
    <cellStyle name="Calculation 2 3 3 4" xfId="36605" xr:uid="{00000000-0005-0000-0000-0000BF050000}"/>
    <cellStyle name="Calculation 2 3 3 5" xfId="36937" xr:uid="{00000000-0005-0000-0000-0000C0050000}"/>
    <cellStyle name="Calculation 2 3 4" xfId="11145" xr:uid="{00000000-0005-0000-0000-0000C1050000}"/>
    <cellStyle name="Calculation 2 3 5" xfId="36736" xr:uid="{00000000-0005-0000-0000-0000C2050000}"/>
    <cellStyle name="Calculation 2 3 6" xfId="36920" xr:uid="{00000000-0005-0000-0000-0000C3050000}"/>
    <cellStyle name="Calculation 2 3 7" xfId="36815" xr:uid="{00000000-0005-0000-0000-0000C4050000}"/>
    <cellStyle name="Calculation 2 4" xfId="1607" xr:uid="{00000000-0005-0000-0000-0000C5050000}"/>
    <cellStyle name="Calculation 2 4 2" xfId="11164" xr:uid="{00000000-0005-0000-0000-0000C6050000}"/>
    <cellStyle name="Calculation 2 4 3" xfId="36755" xr:uid="{00000000-0005-0000-0000-0000C7050000}"/>
    <cellStyle name="Calculation 2 4 4" xfId="36621" xr:uid="{00000000-0005-0000-0000-0000C8050000}"/>
    <cellStyle name="Calculation 2 4 5" xfId="36694" xr:uid="{00000000-0005-0000-0000-0000C9050000}"/>
    <cellStyle name="Calculation 2 5" xfId="11099" xr:uid="{00000000-0005-0000-0000-0000CA050000}"/>
    <cellStyle name="Calculation 2 6" xfId="36385" xr:uid="{00000000-0005-0000-0000-0000CB050000}"/>
    <cellStyle name="Calculation 2 7" xfId="36416" xr:uid="{00000000-0005-0000-0000-0000CC050000}"/>
    <cellStyle name="Calculation 2 8" xfId="36480" xr:uid="{00000000-0005-0000-0000-0000CD050000}"/>
    <cellStyle name="Calculation 2 9" xfId="36439" xr:uid="{00000000-0005-0000-0000-0000CE050000}"/>
    <cellStyle name="Calculation 20" xfId="11747" xr:uid="{00000000-0005-0000-0000-0000CF050000}"/>
    <cellStyle name="Calculation 21" xfId="11763" xr:uid="{00000000-0005-0000-0000-0000D0050000}"/>
    <cellStyle name="Calculation 22" xfId="11779" xr:uid="{00000000-0005-0000-0000-0000D1050000}"/>
    <cellStyle name="Calculation 23" xfId="11794" xr:uid="{00000000-0005-0000-0000-0000D2050000}"/>
    <cellStyle name="Calculation 24" xfId="11811" xr:uid="{00000000-0005-0000-0000-0000D3050000}"/>
    <cellStyle name="Calculation 25" xfId="11826" xr:uid="{00000000-0005-0000-0000-0000D4050000}"/>
    <cellStyle name="Calculation 26" xfId="11842" xr:uid="{00000000-0005-0000-0000-0000D5050000}"/>
    <cellStyle name="Calculation 27" xfId="11856" xr:uid="{00000000-0005-0000-0000-0000D6050000}"/>
    <cellStyle name="Calculation 28" xfId="11871" xr:uid="{00000000-0005-0000-0000-0000D7050000}"/>
    <cellStyle name="Calculation 29" xfId="11886" xr:uid="{00000000-0005-0000-0000-0000D8050000}"/>
    <cellStyle name="Calculation 3" xfId="489" xr:uid="{00000000-0005-0000-0000-0000D9050000}"/>
    <cellStyle name="Calculation 3 10" xfId="36670" xr:uid="{00000000-0005-0000-0000-0000DA050000}"/>
    <cellStyle name="Calculation 3 2" xfId="1602" xr:uid="{00000000-0005-0000-0000-0000DB050000}"/>
    <cellStyle name="Calculation 3 2 2" xfId="1644" xr:uid="{00000000-0005-0000-0000-0000DC050000}"/>
    <cellStyle name="Calculation 3 2 2 2" xfId="11201" xr:uid="{00000000-0005-0000-0000-0000DD050000}"/>
    <cellStyle name="Calculation 3 2 2 3" xfId="36792" xr:uid="{00000000-0005-0000-0000-0000DE050000}"/>
    <cellStyle name="Calculation 3 2 2 4" xfId="36918" xr:uid="{00000000-0005-0000-0000-0000DF050000}"/>
    <cellStyle name="Calculation 3 2 2 5" xfId="36595" xr:uid="{00000000-0005-0000-0000-0000E0050000}"/>
    <cellStyle name="Calculation 3 2 3" xfId="1663" xr:uid="{00000000-0005-0000-0000-0000E1050000}"/>
    <cellStyle name="Calculation 3 2 3 2" xfId="11220" xr:uid="{00000000-0005-0000-0000-0000E2050000}"/>
    <cellStyle name="Calculation 3 2 3 3" xfId="36811" xr:uid="{00000000-0005-0000-0000-0000E3050000}"/>
    <cellStyle name="Calculation 3 2 3 4" xfId="36715" xr:uid="{00000000-0005-0000-0000-0000E4050000}"/>
    <cellStyle name="Calculation 3 2 3 5" xfId="36940" xr:uid="{00000000-0005-0000-0000-0000E5050000}"/>
    <cellStyle name="Calculation 3 2 4" xfId="11162" xr:uid="{00000000-0005-0000-0000-0000E6050000}"/>
    <cellStyle name="Calculation 3 2 5" xfId="36753" xr:uid="{00000000-0005-0000-0000-0000E7050000}"/>
    <cellStyle name="Calculation 3 2 6" xfId="36620" xr:uid="{00000000-0005-0000-0000-0000E8050000}"/>
    <cellStyle name="Calculation 3 2 7" xfId="36612" xr:uid="{00000000-0005-0000-0000-0000E9050000}"/>
    <cellStyle name="Calculation 3 3" xfId="1619" xr:uid="{00000000-0005-0000-0000-0000EA050000}"/>
    <cellStyle name="Calculation 3 3 2" xfId="11176" xr:uid="{00000000-0005-0000-0000-0000EB050000}"/>
    <cellStyle name="Calculation 3 3 3" xfId="36767" xr:uid="{00000000-0005-0000-0000-0000EC050000}"/>
    <cellStyle name="Calculation 3 3 4" xfId="36655" xr:uid="{00000000-0005-0000-0000-0000ED050000}"/>
    <cellStyle name="Calculation 3 3 5" xfId="36721" xr:uid="{00000000-0005-0000-0000-0000EE050000}"/>
    <cellStyle name="Calculation 3 4" xfId="1614" xr:uid="{00000000-0005-0000-0000-0000EF050000}"/>
    <cellStyle name="Calculation 3 4 2" xfId="11171" xr:uid="{00000000-0005-0000-0000-0000F0050000}"/>
    <cellStyle name="Calculation 3 4 3" xfId="36762" xr:uid="{00000000-0005-0000-0000-0000F1050000}"/>
    <cellStyle name="Calculation 3 4 4" xfId="36651" xr:uid="{00000000-0005-0000-0000-0000F2050000}"/>
    <cellStyle name="Calculation 3 4 5" xfId="36931" xr:uid="{00000000-0005-0000-0000-0000F3050000}"/>
    <cellStyle name="Calculation 3 5" xfId="11316" xr:uid="{00000000-0005-0000-0000-0000F4050000}"/>
    <cellStyle name="Calculation 3 6" xfId="36378" xr:uid="{00000000-0005-0000-0000-0000F5050000}"/>
    <cellStyle name="Calculation 3 7" xfId="11129" xr:uid="{00000000-0005-0000-0000-0000F6050000}"/>
    <cellStyle name="Calculation 3 8" xfId="36664" xr:uid="{00000000-0005-0000-0000-0000F7050000}"/>
    <cellStyle name="Calculation 3 9" xfId="36925" xr:uid="{00000000-0005-0000-0000-0000F8050000}"/>
    <cellStyle name="Calculation 30" xfId="11901" xr:uid="{00000000-0005-0000-0000-0000F9050000}"/>
    <cellStyle name="Calculation 31" xfId="11916" xr:uid="{00000000-0005-0000-0000-0000FA050000}"/>
    <cellStyle name="Calculation 32" xfId="11931" xr:uid="{00000000-0005-0000-0000-0000FB050000}"/>
    <cellStyle name="Calculation 33" xfId="11948" xr:uid="{00000000-0005-0000-0000-0000FC050000}"/>
    <cellStyle name="Calculation 34" xfId="19827" xr:uid="{00000000-0005-0000-0000-0000FD050000}"/>
    <cellStyle name="Calculation 35" xfId="19844" xr:uid="{00000000-0005-0000-0000-0000FE050000}"/>
    <cellStyle name="Calculation 36" xfId="19857" xr:uid="{00000000-0005-0000-0000-0000FF050000}"/>
    <cellStyle name="Calculation 37" xfId="19877" xr:uid="{00000000-0005-0000-0000-000000060000}"/>
    <cellStyle name="Calculation 38" xfId="19899" xr:uid="{00000000-0005-0000-0000-000001060000}"/>
    <cellStyle name="Calculation 39" xfId="19915" xr:uid="{00000000-0005-0000-0000-000002060000}"/>
    <cellStyle name="Calculation 4" xfId="11332" xr:uid="{00000000-0005-0000-0000-000003060000}"/>
    <cellStyle name="Calculation 40" xfId="19890" xr:uid="{00000000-0005-0000-0000-000004060000}"/>
    <cellStyle name="Calculation 41" xfId="19937" xr:uid="{00000000-0005-0000-0000-000005060000}"/>
    <cellStyle name="Calculation 42" xfId="19956" xr:uid="{00000000-0005-0000-0000-000006060000}"/>
    <cellStyle name="Calculation 43" xfId="19975" xr:uid="{00000000-0005-0000-0000-000007060000}"/>
    <cellStyle name="Calculation 44" xfId="20098" xr:uid="{00000000-0005-0000-0000-000008060000}"/>
    <cellStyle name="Calculation 45" xfId="19990" xr:uid="{00000000-0005-0000-0000-000009060000}"/>
    <cellStyle name="Calculation 46" xfId="20136" xr:uid="{00000000-0005-0000-0000-00000A060000}"/>
    <cellStyle name="Calculation 47" xfId="20152" xr:uid="{00000000-0005-0000-0000-00000B060000}"/>
    <cellStyle name="Calculation 48" xfId="20167" xr:uid="{00000000-0005-0000-0000-00000C060000}"/>
    <cellStyle name="Calculation 49" xfId="20183" xr:uid="{00000000-0005-0000-0000-00000D060000}"/>
    <cellStyle name="Calculation 5" xfId="11356" xr:uid="{00000000-0005-0000-0000-00000E060000}"/>
    <cellStyle name="Calculation 50" xfId="20198" xr:uid="{00000000-0005-0000-0000-00000F060000}"/>
    <cellStyle name="Calculation 51" xfId="20214" xr:uid="{00000000-0005-0000-0000-000010060000}"/>
    <cellStyle name="Calculation 52" xfId="20229" xr:uid="{00000000-0005-0000-0000-000011060000}"/>
    <cellStyle name="Calculation 53" xfId="20244" xr:uid="{00000000-0005-0000-0000-000012060000}"/>
    <cellStyle name="Calculation 54" xfId="20258" xr:uid="{00000000-0005-0000-0000-000013060000}"/>
    <cellStyle name="Calculation 55" xfId="20274" xr:uid="{00000000-0005-0000-0000-000014060000}"/>
    <cellStyle name="Calculation 56" xfId="20288" xr:uid="{00000000-0005-0000-0000-000015060000}"/>
    <cellStyle name="Calculation 57" xfId="20303" xr:uid="{00000000-0005-0000-0000-000016060000}"/>
    <cellStyle name="Calculation 58" xfId="20316" xr:uid="{00000000-0005-0000-0000-000017060000}"/>
    <cellStyle name="Calculation 59" xfId="20330" xr:uid="{00000000-0005-0000-0000-000018060000}"/>
    <cellStyle name="Calculation 6" xfId="11377" xr:uid="{00000000-0005-0000-0000-000019060000}"/>
    <cellStyle name="Calculation 60" xfId="20345" xr:uid="{00000000-0005-0000-0000-00001A060000}"/>
    <cellStyle name="Calculation 61" xfId="20360" xr:uid="{00000000-0005-0000-0000-00001B060000}"/>
    <cellStyle name="Calculation 62" xfId="20376" xr:uid="{00000000-0005-0000-0000-00001C060000}"/>
    <cellStyle name="Calculation 63" xfId="20391" xr:uid="{00000000-0005-0000-0000-00001D060000}"/>
    <cellStyle name="Calculation 64" xfId="20408" xr:uid="{00000000-0005-0000-0000-00001E060000}"/>
    <cellStyle name="Calculation 7" xfId="11404" xr:uid="{00000000-0005-0000-0000-00001F060000}"/>
    <cellStyle name="Calculation 8" xfId="11420" xr:uid="{00000000-0005-0000-0000-000020060000}"/>
    <cellStyle name="Calculation 9" xfId="11394" xr:uid="{00000000-0005-0000-0000-000021060000}"/>
    <cellStyle name="Cálculo" xfId="1850" xr:uid="{00000000-0005-0000-0000-000022060000}"/>
    <cellStyle name="Cálculo 2" xfId="11086" xr:uid="{00000000-0005-0000-0000-000023060000}"/>
    <cellStyle name="Celda de comprobación" xfId="1851" xr:uid="{00000000-0005-0000-0000-000024060000}"/>
    <cellStyle name="Celda vinculada" xfId="1852" xr:uid="{00000000-0005-0000-0000-000025060000}"/>
    <cellStyle name="cell" xfId="6635" xr:uid="{00000000-0005-0000-0000-000026060000}"/>
    <cellStyle name="Célula de Verificação" xfId="1853" xr:uid="{00000000-0005-0000-0000-000027060000}"/>
    <cellStyle name="Célula Vinculada" xfId="1854" xr:uid="{00000000-0005-0000-0000-000028060000}"/>
    <cellStyle name="Centered Heading" xfId="2122" xr:uid="{00000000-0005-0000-0000-000029060000}"/>
    <cellStyle name="Centered Heading 5" xfId="6636" xr:uid="{00000000-0005-0000-0000-00002A060000}"/>
    <cellStyle name="Cents" xfId="490" xr:uid="{00000000-0005-0000-0000-00002B060000}"/>
    <cellStyle name="Cents 2" xfId="11130" xr:uid="{00000000-0005-0000-0000-00002C060000}"/>
    <cellStyle name="ch" xfId="6637" xr:uid="{00000000-0005-0000-0000-00002D060000}"/>
    <cellStyle name="Changeable" xfId="1855" xr:uid="{00000000-0005-0000-0000-00002E060000}"/>
    <cellStyle name="ChartingText" xfId="333" xr:uid="{00000000-0005-0000-0000-00002F060000}"/>
    <cellStyle name="ChartingText 2" xfId="334" xr:uid="{00000000-0005-0000-0000-000030060000}"/>
    <cellStyle name="ChartingText 3" xfId="491" xr:uid="{00000000-0005-0000-0000-000031060000}"/>
    <cellStyle name="Check Cell" xfId="1750" builtinId="23" customBuiltin="1"/>
    <cellStyle name="Check Cell 10" xfId="11440" xr:uid="{00000000-0005-0000-0000-000033060000}"/>
    <cellStyle name="Check Cell 11" xfId="11463" xr:uid="{00000000-0005-0000-0000-000034060000}"/>
    <cellStyle name="Check Cell 12" xfId="11495" xr:uid="{00000000-0005-0000-0000-000035060000}"/>
    <cellStyle name="Check Cell 13" xfId="11623" xr:uid="{00000000-0005-0000-0000-000036060000}"/>
    <cellStyle name="Check Cell 14" xfId="11514" xr:uid="{00000000-0005-0000-0000-000037060000}"/>
    <cellStyle name="Check Cell 15" xfId="11664" xr:uid="{00000000-0005-0000-0000-000038060000}"/>
    <cellStyle name="Check Cell 16" xfId="11681" xr:uid="{00000000-0005-0000-0000-000039060000}"/>
    <cellStyle name="Check Cell 17" xfId="11696" xr:uid="{00000000-0005-0000-0000-00003A060000}"/>
    <cellStyle name="Check Cell 18" xfId="11713" xr:uid="{00000000-0005-0000-0000-00003B060000}"/>
    <cellStyle name="Check Cell 19" xfId="11729" xr:uid="{00000000-0005-0000-0000-00003C060000}"/>
    <cellStyle name="Check Cell 2" xfId="56" xr:uid="{00000000-0005-0000-0000-00003D060000}"/>
    <cellStyle name="Check Cell 2 2" xfId="143" xr:uid="{00000000-0005-0000-0000-00003E060000}"/>
    <cellStyle name="Check Cell 20" xfId="11745" xr:uid="{00000000-0005-0000-0000-00003F060000}"/>
    <cellStyle name="Check Cell 21" xfId="11761" xr:uid="{00000000-0005-0000-0000-000040060000}"/>
    <cellStyle name="Check Cell 22" xfId="11777" xr:uid="{00000000-0005-0000-0000-000041060000}"/>
    <cellStyle name="Check Cell 23" xfId="11792" xr:uid="{00000000-0005-0000-0000-000042060000}"/>
    <cellStyle name="Check Cell 24" xfId="11809" xr:uid="{00000000-0005-0000-0000-000043060000}"/>
    <cellStyle name="Check Cell 25" xfId="11824" xr:uid="{00000000-0005-0000-0000-000044060000}"/>
    <cellStyle name="Check Cell 26" xfId="11840" xr:uid="{00000000-0005-0000-0000-000045060000}"/>
    <cellStyle name="Check Cell 27" xfId="11854" xr:uid="{00000000-0005-0000-0000-000046060000}"/>
    <cellStyle name="Check Cell 28" xfId="11869" xr:uid="{00000000-0005-0000-0000-000047060000}"/>
    <cellStyle name="Check Cell 29" xfId="11884" xr:uid="{00000000-0005-0000-0000-000048060000}"/>
    <cellStyle name="Check Cell 3" xfId="492" xr:uid="{00000000-0005-0000-0000-000049060000}"/>
    <cellStyle name="Check Cell 3 2" xfId="11318" xr:uid="{00000000-0005-0000-0000-00004A060000}"/>
    <cellStyle name="Check Cell 30" xfId="11899" xr:uid="{00000000-0005-0000-0000-00004B060000}"/>
    <cellStyle name="Check Cell 31" xfId="11914" xr:uid="{00000000-0005-0000-0000-00004C060000}"/>
    <cellStyle name="Check Cell 32" xfId="11929" xr:uid="{00000000-0005-0000-0000-00004D060000}"/>
    <cellStyle name="Check Cell 33" xfId="11946" xr:uid="{00000000-0005-0000-0000-00004E060000}"/>
    <cellStyle name="Check Cell 34" xfId="19829" xr:uid="{00000000-0005-0000-0000-00004F060000}"/>
    <cellStyle name="Check Cell 35" xfId="19846" xr:uid="{00000000-0005-0000-0000-000050060000}"/>
    <cellStyle name="Check Cell 36" xfId="19855" xr:uid="{00000000-0005-0000-0000-000051060000}"/>
    <cellStyle name="Check Cell 37" xfId="19879" xr:uid="{00000000-0005-0000-0000-000052060000}"/>
    <cellStyle name="Check Cell 38" xfId="19897" xr:uid="{00000000-0005-0000-0000-000053060000}"/>
    <cellStyle name="Check Cell 39" xfId="19913" xr:uid="{00000000-0005-0000-0000-000054060000}"/>
    <cellStyle name="Check Cell 4" xfId="11334" xr:uid="{00000000-0005-0000-0000-000055060000}"/>
    <cellStyle name="Check Cell 40" xfId="19889" xr:uid="{00000000-0005-0000-0000-000056060000}"/>
    <cellStyle name="Check Cell 41" xfId="19935" xr:uid="{00000000-0005-0000-0000-000057060000}"/>
    <cellStyle name="Check Cell 42" xfId="19958" xr:uid="{00000000-0005-0000-0000-000058060000}"/>
    <cellStyle name="Check Cell 43" xfId="19977" xr:uid="{00000000-0005-0000-0000-000059060000}"/>
    <cellStyle name="Check Cell 44" xfId="20096" xr:uid="{00000000-0005-0000-0000-00005A060000}"/>
    <cellStyle name="Check Cell 45" xfId="19992" xr:uid="{00000000-0005-0000-0000-00005B060000}"/>
    <cellStyle name="Check Cell 46" xfId="20134" xr:uid="{00000000-0005-0000-0000-00005C060000}"/>
    <cellStyle name="Check Cell 47" xfId="20150" xr:uid="{00000000-0005-0000-0000-00005D060000}"/>
    <cellStyle name="Check Cell 48" xfId="20165" xr:uid="{00000000-0005-0000-0000-00005E060000}"/>
    <cellStyle name="Check Cell 49" xfId="20181" xr:uid="{00000000-0005-0000-0000-00005F060000}"/>
    <cellStyle name="Check Cell 5" xfId="11354" xr:uid="{00000000-0005-0000-0000-000060060000}"/>
    <cellStyle name="Check Cell 50" xfId="20196" xr:uid="{00000000-0005-0000-0000-000061060000}"/>
    <cellStyle name="Check Cell 51" xfId="20212" xr:uid="{00000000-0005-0000-0000-000062060000}"/>
    <cellStyle name="Check Cell 52" xfId="20227" xr:uid="{00000000-0005-0000-0000-000063060000}"/>
    <cellStyle name="Check Cell 53" xfId="20242" xr:uid="{00000000-0005-0000-0000-000064060000}"/>
    <cellStyle name="Check Cell 54" xfId="20256" xr:uid="{00000000-0005-0000-0000-000065060000}"/>
    <cellStyle name="Check Cell 55" xfId="20272" xr:uid="{00000000-0005-0000-0000-000066060000}"/>
    <cellStyle name="Check Cell 56" xfId="20286" xr:uid="{00000000-0005-0000-0000-000067060000}"/>
    <cellStyle name="Check Cell 57" xfId="20301" xr:uid="{00000000-0005-0000-0000-000068060000}"/>
    <cellStyle name="Check Cell 58" xfId="20314" xr:uid="{00000000-0005-0000-0000-000069060000}"/>
    <cellStyle name="Check Cell 59" xfId="20328" xr:uid="{00000000-0005-0000-0000-00006A060000}"/>
    <cellStyle name="Check Cell 6" xfId="11379" xr:uid="{00000000-0005-0000-0000-00006B060000}"/>
    <cellStyle name="Check Cell 60" xfId="20343" xr:uid="{00000000-0005-0000-0000-00006C060000}"/>
    <cellStyle name="Check Cell 61" xfId="20358" xr:uid="{00000000-0005-0000-0000-00006D060000}"/>
    <cellStyle name="Check Cell 62" xfId="20374" xr:uid="{00000000-0005-0000-0000-00006E060000}"/>
    <cellStyle name="Check Cell 63" xfId="20389" xr:uid="{00000000-0005-0000-0000-00006F060000}"/>
    <cellStyle name="Check Cell 64" xfId="20406" xr:uid="{00000000-0005-0000-0000-000070060000}"/>
    <cellStyle name="Check Cell 7" xfId="11402" xr:uid="{00000000-0005-0000-0000-000071060000}"/>
    <cellStyle name="Check Cell 8" xfId="11418" xr:uid="{00000000-0005-0000-0000-000072060000}"/>
    <cellStyle name="Check Cell 9" xfId="11393" xr:uid="{00000000-0005-0000-0000-000073060000}"/>
    <cellStyle name="CLEAR" xfId="1856" xr:uid="{00000000-0005-0000-0000-000074060000}"/>
    <cellStyle name="ColHeading" xfId="1857" xr:uid="{00000000-0005-0000-0000-000075060000}"/>
    <cellStyle name="Column_Title" xfId="6638" xr:uid="{00000000-0005-0000-0000-000076060000}"/>
    <cellStyle name="ColumnHeaderNormal" xfId="335" xr:uid="{00000000-0005-0000-0000-000077060000}"/>
    <cellStyle name="ColumnHeaderNormal 2" xfId="493" xr:uid="{00000000-0005-0000-0000-000078060000}"/>
    <cellStyle name="Comma" xfId="1" builtinId="3"/>
    <cellStyle name="Comma  - Style1" xfId="1858" xr:uid="{00000000-0005-0000-0000-00007A060000}"/>
    <cellStyle name="Comma  - Style2" xfId="1859" xr:uid="{00000000-0005-0000-0000-00007B060000}"/>
    <cellStyle name="Comma  - Style3" xfId="1860" xr:uid="{00000000-0005-0000-0000-00007C060000}"/>
    <cellStyle name="Comma  - Style4" xfId="1861" xr:uid="{00000000-0005-0000-0000-00007D060000}"/>
    <cellStyle name="Comma  - Style5" xfId="1862" xr:uid="{00000000-0005-0000-0000-00007E060000}"/>
    <cellStyle name="Comma  - Style6" xfId="1863" xr:uid="{00000000-0005-0000-0000-00007F060000}"/>
    <cellStyle name="Comma  - Style7" xfId="1864" xr:uid="{00000000-0005-0000-0000-000080060000}"/>
    <cellStyle name="Comma  - Style8" xfId="1865" xr:uid="{00000000-0005-0000-0000-000081060000}"/>
    <cellStyle name="comma (0)" xfId="1866" xr:uid="{00000000-0005-0000-0000-000082060000}"/>
    <cellStyle name="comma (0) 2" xfId="11226" xr:uid="{00000000-0005-0000-0000-000083060000}"/>
    <cellStyle name="Comma [1]" xfId="494" xr:uid="{00000000-0005-0000-0000-000084060000}"/>
    <cellStyle name="Comma 0.00" xfId="6627" xr:uid="{00000000-0005-0000-0000-000085060000}"/>
    <cellStyle name="Comma 10" xfId="336" xr:uid="{00000000-0005-0000-0000-000086060000}"/>
    <cellStyle name="Comma 10 2" xfId="337" xr:uid="{00000000-0005-0000-0000-000087060000}"/>
    <cellStyle name="Comma 10 2 2" xfId="6639" xr:uid="{00000000-0005-0000-0000-000088060000}"/>
    <cellStyle name="Comma 10 2 3" xfId="2130" xr:uid="{00000000-0005-0000-0000-000089060000}"/>
    <cellStyle name="Comma 10 2 3 2" xfId="28442" xr:uid="{00000000-0005-0000-0000-00008A060000}"/>
    <cellStyle name="Comma 10 2 4" xfId="20370" xr:uid="{00000000-0005-0000-0000-00008B060000}"/>
    <cellStyle name="Comma 10 3" xfId="338" xr:uid="{00000000-0005-0000-0000-00008C060000}"/>
    <cellStyle name="Comma 10 3 2" xfId="2018" xr:uid="{00000000-0005-0000-0000-00008D060000}"/>
    <cellStyle name="Comma 10 4" xfId="2019" xr:uid="{00000000-0005-0000-0000-00008E060000}"/>
    <cellStyle name="Comma 10 4 2" xfId="36868" xr:uid="{00000000-0005-0000-0000-00008F060000}"/>
    <cellStyle name="Comma 100" xfId="10620" xr:uid="{00000000-0005-0000-0000-000090060000}"/>
    <cellStyle name="Comma 101" xfId="10623" xr:uid="{00000000-0005-0000-0000-000091060000}"/>
    <cellStyle name="Comma 102" xfId="10626" xr:uid="{00000000-0005-0000-0000-000092060000}"/>
    <cellStyle name="Comma 103" xfId="10629" xr:uid="{00000000-0005-0000-0000-000093060000}"/>
    <cellStyle name="Comma 104" xfId="10632" xr:uid="{00000000-0005-0000-0000-000094060000}"/>
    <cellStyle name="Comma 105" xfId="10635" xr:uid="{00000000-0005-0000-0000-000095060000}"/>
    <cellStyle name="Comma 106" xfId="10638" xr:uid="{00000000-0005-0000-0000-000096060000}"/>
    <cellStyle name="Comma 107" xfId="10641" xr:uid="{00000000-0005-0000-0000-000097060000}"/>
    <cellStyle name="Comma 108" xfId="10644" xr:uid="{00000000-0005-0000-0000-000098060000}"/>
    <cellStyle name="Comma 109" xfId="10647" xr:uid="{00000000-0005-0000-0000-000099060000}"/>
    <cellStyle name="Comma 11" xfId="339" xr:uid="{00000000-0005-0000-0000-00009A060000}"/>
    <cellStyle name="Comma 11 2" xfId="340" xr:uid="{00000000-0005-0000-0000-00009B060000}"/>
    <cellStyle name="Comma 11 2 2" xfId="2017" xr:uid="{00000000-0005-0000-0000-00009C060000}"/>
    <cellStyle name="Comma 11 3" xfId="341" xr:uid="{00000000-0005-0000-0000-00009D060000}"/>
    <cellStyle name="Comma 11 4" xfId="1695" xr:uid="{00000000-0005-0000-0000-00009E060000}"/>
    <cellStyle name="Comma 11 5" xfId="2123" xr:uid="{00000000-0005-0000-0000-00009F060000}"/>
    <cellStyle name="Comma 110" xfId="10650" xr:uid="{00000000-0005-0000-0000-0000A0060000}"/>
    <cellStyle name="Comma 111" xfId="10653" xr:uid="{00000000-0005-0000-0000-0000A1060000}"/>
    <cellStyle name="Comma 112" xfId="10656" xr:uid="{00000000-0005-0000-0000-0000A2060000}"/>
    <cellStyle name="Comma 113" xfId="10659" xr:uid="{00000000-0005-0000-0000-0000A3060000}"/>
    <cellStyle name="Comma 114" xfId="10662" xr:uid="{00000000-0005-0000-0000-0000A4060000}"/>
    <cellStyle name="Comma 115" xfId="10665" xr:uid="{00000000-0005-0000-0000-0000A5060000}"/>
    <cellStyle name="Comma 116" xfId="10668" xr:uid="{00000000-0005-0000-0000-0000A6060000}"/>
    <cellStyle name="Comma 117" xfId="10671" xr:uid="{00000000-0005-0000-0000-0000A7060000}"/>
    <cellStyle name="Comma 118" xfId="10674" xr:uid="{00000000-0005-0000-0000-0000A8060000}"/>
    <cellStyle name="Comma 119" xfId="10677" xr:uid="{00000000-0005-0000-0000-0000A9060000}"/>
    <cellStyle name="Comma 12" xfId="1579" xr:uid="{00000000-0005-0000-0000-0000AA060000}"/>
    <cellStyle name="Comma 12 10" xfId="2016" xr:uid="{00000000-0005-0000-0000-0000AB060000}"/>
    <cellStyle name="Comma 12 10 2" xfId="11558" xr:uid="{00000000-0005-0000-0000-0000AC060000}"/>
    <cellStyle name="Comma 12 10 2 2" xfId="28352" xr:uid="{00000000-0005-0000-0000-0000AD060000}"/>
    <cellStyle name="Comma 12 10 3" xfId="20029" xr:uid="{00000000-0005-0000-0000-0000AE060000}"/>
    <cellStyle name="Comma 12 11" xfId="6640" xr:uid="{00000000-0005-0000-0000-0000AF060000}"/>
    <cellStyle name="Comma 12 12" xfId="2114" xr:uid="{00000000-0005-0000-0000-0000B0060000}"/>
    <cellStyle name="Comma 12 2" xfId="2108" xr:uid="{00000000-0005-0000-0000-0000B1060000}"/>
    <cellStyle name="Comma 12 2 2" xfId="2015" xr:uid="{00000000-0005-0000-0000-0000B2060000}"/>
    <cellStyle name="Comma 12 2 2 2" xfId="6641" xr:uid="{00000000-0005-0000-0000-0000B3060000}"/>
    <cellStyle name="Comma 12 2 3" xfId="36869" xr:uid="{00000000-0005-0000-0000-0000B4060000}"/>
    <cellStyle name="Comma 12 3" xfId="2101" xr:uid="{00000000-0005-0000-0000-0000B5060000}"/>
    <cellStyle name="Comma 12 3 2" xfId="2014" xr:uid="{00000000-0005-0000-0000-0000B6060000}"/>
    <cellStyle name="Comma 12 3 2 2" xfId="2093" xr:uid="{00000000-0005-0000-0000-0000B7060000}"/>
    <cellStyle name="Comma 12 3 2 2 2" xfId="6642" xr:uid="{00000000-0005-0000-0000-0000B8060000}"/>
    <cellStyle name="Comma 12 3 2 2 2 2" xfId="16027" xr:uid="{00000000-0005-0000-0000-0000B9060000}"/>
    <cellStyle name="Comma 12 3 2 2 2 2 2" xfId="32600" xr:uid="{00000000-0005-0000-0000-0000BA060000}"/>
    <cellStyle name="Comma 12 3 2 2 2 3" xfId="24553" xr:uid="{00000000-0005-0000-0000-0000BB060000}"/>
    <cellStyle name="Comma 12 3 2 2 3" xfId="11757" xr:uid="{00000000-0005-0000-0000-0000BC060000}"/>
    <cellStyle name="Comma 12 3 2 2 3 2" xfId="28420" xr:uid="{00000000-0005-0000-0000-0000BD060000}"/>
    <cellStyle name="Comma 12 3 2 2 4" xfId="20224" xr:uid="{00000000-0005-0000-0000-0000BE060000}"/>
    <cellStyle name="Comma 12 3 2 3" xfId="2013" xr:uid="{00000000-0005-0000-0000-0000BF060000}"/>
    <cellStyle name="Comma 12 3 2 3 2" xfId="11557" xr:uid="{00000000-0005-0000-0000-0000C0060000}"/>
    <cellStyle name="Comma 12 3 2 3 2 2" xfId="28351" xr:uid="{00000000-0005-0000-0000-0000C1060000}"/>
    <cellStyle name="Comma 12 3 2 3 3" xfId="20028" xr:uid="{00000000-0005-0000-0000-0000C2060000}"/>
    <cellStyle name="Comma 12 3 3" xfId="2086" xr:uid="{00000000-0005-0000-0000-0000C3060000}"/>
    <cellStyle name="Comma 12 3 3 2" xfId="6643" xr:uid="{00000000-0005-0000-0000-0000C4060000}"/>
    <cellStyle name="Comma 12 3 3 2 2" xfId="16028" xr:uid="{00000000-0005-0000-0000-0000C5060000}"/>
    <cellStyle name="Comma 12 3 3 2 2 2" xfId="32601" xr:uid="{00000000-0005-0000-0000-0000C6060000}"/>
    <cellStyle name="Comma 12 3 3 2 3" xfId="24554" xr:uid="{00000000-0005-0000-0000-0000C7060000}"/>
    <cellStyle name="Comma 12 3 3 3" xfId="11725" xr:uid="{00000000-0005-0000-0000-0000C8060000}"/>
    <cellStyle name="Comma 12 3 3 3 2" xfId="28415" xr:uid="{00000000-0005-0000-0000-0000C9060000}"/>
    <cellStyle name="Comma 12 3 3 4" xfId="20193" xr:uid="{00000000-0005-0000-0000-0000CA060000}"/>
    <cellStyle name="Comma 12 3 4" xfId="2012" xr:uid="{00000000-0005-0000-0000-0000CB060000}"/>
    <cellStyle name="Comma 12 3 4 2" xfId="11556" xr:uid="{00000000-0005-0000-0000-0000CC060000}"/>
    <cellStyle name="Comma 12 3 4 2 2" xfId="28350" xr:uid="{00000000-0005-0000-0000-0000CD060000}"/>
    <cellStyle name="Comma 12 3 4 3" xfId="20027" xr:uid="{00000000-0005-0000-0000-0000CE060000}"/>
    <cellStyle name="Comma 12 4" xfId="2253" xr:uid="{00000000-0005-0000-0000-0000CF060000}"/>
    <cellStyle name="Comma 12 4 2" xfId="2254" xr:uid="{00000000-0005-0000-0000-0000D0060000}"/>
    <cellStyle name="Comma 12 4 2 2" xfId="6644" xr:uid="{00000000-0005-0000-0000-0000D1060000}"/>
    <cellStyle name="Comma 12 4 2 2 2" xfId="16029" xr:uid="{00000000-0005-0000-0000-0000D2060000}"/>
    <cellStyle name="Comma 12 4 2 2 2 2" xfId="32602" xr:uid="{00000000-0005-0000-0000-0000D3060000}"/>
    <cellStyle name="Comma 12 4 2 2 3" xfId="24555" xr:uid="{00000000-0005-0000-0000-0000D4060000}"/>
    <cellStyle name="Comma 12 4 2 3" xfId="12069" xr:uid="{00000000-0005-0000-0000-0000D5060000}"/>
    <cellStyle name="Comma 12 4 2 3 2" xfId="28584" xr:uid="{00000000-0005-0000-0000-0000D6060000}"/>
    <cellStyle name="Comma 12 4 2 4" xfId="20541" xr:uid="{00000000-0005-0000-0000-0000D7060000}"/>
    <cellStyle name="Comma 12 4 3" xfId="2255" xr:uid="{00000000-0005-0000-0000-0000D8060000}"/>
    <cellStyle name="Comma 12 4 3 2" xfId="12070" xr:uid="{00000000-0005-0000-0000-0000D9060000}"/>
    <cellStyle name="Comma 12 4 3 2 2" xfId="28585" xr:uid="{00000000-0005-0000-0000-0000DA060000}"/>
    <cellStyle name="Comma 12 4 3 3" xfId="20542" xr:uid="{00000000-0005-0000-0000-0000DB060000}"/>
    <cellStyle name="Comma 12 5" xfId="2256" xr:uid="{00000000-0005-0000-0000-0000DC060000}"/>
    <cellStyle name="Comma 12 5 2" xfId="2257" xr:uid="{00000000-0005-0000-0000-0000DD060000}"/>
    <cellStyle name="Comma 12 5 2 2" xfId="12071" xr:uid="{00000000-0005-0000-0000-0000DE060000}"/>
    <cellStyle name="Comma 12 5 2 2 2" xfId="28586" xr:uid="{00000000-0005-0000-0000-0000DF060000}"/>
    <cellStyle name="Comma 12 5 2 3" xfId="20543" xr:uid="{00000000-0005-0000-0000-0000E0060000}"/>
    <cellStyle name="Comma 12 6" xfId="2258" xr:uid="{00000000-0005-0000-0000-0000E1060000}"/>
    <cellStyle name="Comma 12 6 2" xfId="6645" xr:uid="{00000000-0005-0000-0000-0000E2060000}"/>
    <cellStyle name="Comma 12 6 2 2" xfId="16030" xr:uid="{00000000-0005-0000-0000-0000E3060000}"/>
    <cellStyle name="Comma 12 6 2 2 2" xfId="32603" xr:uid="{00000000-0005-0000-0000-0000E4060000}"/>
    <cellStyle name="Comma 12 6 2 3" xfId="24556" xr:uid="{00000000-0005-0000-0000-0000E5060000}"/>
    <cellStyle name="Comma 12 7" xfId="2259" xr:uid="{00000000-0005-0000-0000-0000E6060000}"/>
    <cellStyle name="Comma 12 8" xfId="2260" xr:uid="{00000000-0005-0000-0000-0000E7060000}"/>
    <cellStyle name="Comma 12 9" xfId="2261" xr:uid="{00000000-0005-0000-0000-0000E8060000}"/>
    <cellStyle name="Comma 120" xfId="10680" xr:uid="{00000000-0005-0000-0000-0000E9060000}"/>
    <cellStyle name="Comma 121" xfId="10683" xr:uid="{00000000-0005-0000-0000-0000EA060000}"/>
    <cellStyle name="Comma 122" xfId="10686" xr:uid="{00000000-0005-0000-0000-0000EB060000}"/>
    <cellStyle name="Comma 123" xfId="10689" xr:uid="{00000000-0005-0000-0000-0000EC060000}"/>
    <cellStyle name="Comma 124" xfId="10692" xr:uid="{00000000-0005-0000-0000-0000ED060000}"/>
    <cellStyle name="Comma 125" xfId="10695" xr:uid="{00000000-0005-0000-0000-0000EE060000}"/>
    <cellStyle name="Comma 126" xfId="10698" xr:uid="{00000000-0005-0000-0000-0000EF060000}"/>
    <cellStyle name="Comma 127" xfId="10701" xr:uid="{00000000-0005-0000-0000-0000F0060000}"/>
    <cellStyle name="Comma 128" xfId="10704" xr:uid="{00000000-0005-0000-0000-0000F1060000}"/>
    <cellStyle name="Comma 129" xfId="10707" xr:uid="{00000000-0005-0000-0000-0000F2060000}"/>
    <cellStyle name="Comma 13" xfId="1581" xr:uid="{00000000-0005-0000-0000-0000F3060000}"/>
    <cellStyle name="Comma 13 2" xfId="2263" xr:uid="{00000000-0005-0000-0000-0000F4060000}"/>
    <cellStyle name="Comma 13 2 2" xfId="2264" xr:uid="{00000000-0005-0000-0000-0000F5060000}"/>
    <cellStyle name="Comma 13 2 2 2" xfId="2265" xr:uid="{00000000-0005-0000-0000-0000F6060000}"/>
    <cellStyle name="Comma 13 2 2 2 2" xfId="6646" xr:uid="{00000000-0005-0000-0000-0000F7060000}"/>
    <cellStyle name="Comma 13 2 2 2 2 2" xfId="16031" xr:uid="{00000000-0005-0000-0000-0000F8060000}"/>
    <cellStyle name="Comma 13 2 2 2 2 2 2" xfId="32604" xr:uid="{00000000-0005-0000-0000-0000F9060000}"/>
    <cellStyle name="Comma 13 2 2 2 2 3" xfId="24557" xr:uid="{00000000-0005-0000-0000-0000FA060000}"/>
    <cellStyle name="Comma 13 2 2 2 3" xfId="12073" xr:uid="{00000000-0005-0000-0000-0000FB060000}"/>
    <cellStyle name="Comma 13 2 2 2 3 2" xfId="28588" xr:uid="{00000000-0005-0000-0000-0000FC060000}"/>
    <cellStyle name="Comma 13 2 2 2 4" xfId="20545" xr:uid="{00000000-0005-0000-0000-0000FD060000}"/>
    <cellStyle name="Comma 13 2 2 3" xfId="6647" xr:uid="{00000000-0005-0000-0000-0000FE060000}"/>
    <cellStyle name="Comma 13 2 2 3 2" xfId="16032" xr:uid="{00000000-0005-0000-0000-0000FF060000}"/>
    <cellStyle name="Comma 13 2 2 3 2 2" xfId="32605" xr:uid="{00000000-0005-0000-0000-000000070000}"/>
    <cellStyle name="Comma 13 2 2 3 3" xfId="24558" xr:uid="{00000000-0005-0000-0000-000001070000}"/>
    <cellStyle name="Comma 13 2 2 4" xfId="12072" xr:uid="{00000000-0005-0000-0000-000002070000}"/>
    <cellStyle name="Comma 13 2 2 4 2" xfId="28587" xr:uid="{00000000-0005-0000-0000-000003070000}"/>
    <cellStyle name="Comma 13 2 2 5" xfId="20544" xr:uid="{00000000-0005-0000-0000-000004070000}"/>
    <cellStyle name="Comma 13 2 3" xfId="2266" xr:uid="{00000000-0005-0000-0000-000005070000}"/>
    <cellStyle name="Comma 13 2 3 2" xfId="6648" xr:uid="{00000000-0005-0000-0000-000006070000}"/>
    <cellStyle name="Comma 13 2 3 2 2" xfId="16033" xr:uid="{00000000-0005-0000-0000-000007070000}"/>
    <cellStyle name="Comma 13 2 3 2 2 2" xfId="32606" xr:uid="{00000000-0005-0000-0000-000008070000}"/>
    <cellStyle name="Comma 13 2 3 2 3" xfId="24559" xr:uid="{00000000-0005-0000-0000-000009070000}"/>
    <cellStyle name="Comma 13 2 3 3" xfId="12074" xr:uid="{00000000-0005-0000-0000-00000A070000}"/>
    <cellStyle name="Comma 13 2 3 3 2" xfId="28589" xr:uid="{00000000-0005-0000-0000-00000B070000}"/>
    <cellStyle name="Comma 13 2 3 4" xfId="20546" xr:uid="{00000000-0005-0000-0000-00000C070000}"/>
    <cellStyle name="Comma 13 2 4" xfId="2267" xr:uid="{00000000-0005-0000-0000-00000D070000}"/>
    <cellStyle name="Comma 13 2 4 2" xfId="12075" xr:uid="{00000000-0005-0000-0000-00000E070000}"/>
    <cellStyle name="Comma 13 2 4 2 2" xfId="28590" xr:uid="{00000000-0005-0000-0000-00000F070000}"/>
    <cellStyle name="Comma 13 2 4 3" xfId="20547" xr:uid="{00000000-0005-0000-0000-000010070000}"/>
    <cellStyle name="Comma 13 3" xfId="2268" xr:uid="{00000000-0005-0000-0000-000011070000}"/>
    <cellStyle name="Comma 13 3 2" xfId="2269" xr:uid="{00000000-0005-0000-0000-000012070000}"/>
    <cellStyle name="Comma 13 3 2 2" xfId="6649" xr:uid="{00000000-0005-0000-0000-000013070000}"/>
    <cellStyle name="Comma 13 3 2 2 2" xfId="16034" xr:uid="{00000000-0005-0000-0000-000014070000}"/>
    <cellStyle name="Comma 13 3 2 2 2 2" xfId="32607" xr:uid="{00000000-0005-0000-0000-000015070000}"/>
    <cellStyle name="Comma 13 3 2 2 3" xfId="24560" xr:uid="{00000000-0005-0000-0000-000016070000}"/>
    <cellStyle name="Comma 13 3 2 3" xfId="12076" xr:uid="{00000000-0005-0000-0000-000017070000}"/>
    <cellStyle name="Comma 13 3 2 3 2" xfId="28591" xr:uid="{00000000-0005-0000-0000-000018070000}"/>
    <cellStyle name="Comma 13 3 2 4" xfId="20548" xr:uid="{00000000-0005-0000-0000-000019070000}"/>
    <cellStyle name="Comma 13 3 3" xfId="2270" xr:uid="{00000000-0005-0000-0000-00001A070000}"/>
    <cellStyle name="Comma 13 3 3 2" xfId="12077" xr:uid="{00000000-0005-0000-0000-00001B070000}"/>
    <cellStyle name="Comma 13 3 3 2 2" xfId="28592" xr:uid="{00000000-0005-0000-0000-00001C070000}"/>
    <cellStyle name="Comma 13 3 3 3" xfId="20549" xr:uid="{00000000-0005-0000-0000-00001D070000}"/>
    <cellStyle name="Comma 13 4" xfId="2271" xr:uid="{00000000-0005-0000-0000-00001E070000}"/>
    <cellStyle name="Comma 13 4 2" xfId="2272" xr:uid="{00000000-0005-0000-0000-00001F070000}"/>
    <cellStyle name="Comma 13 4 2 2" xfId="12078" xr:uid="{00000000-0005-0000-0000-000020070000}"/>
    <cellStyle name="Comma 13 4 2 2 2" xfId="28593" xr:uid="{00000000-0005-0000-0000-000021070000}"/>
    <cellStyle name="Comma 13 4 2 3" xfId="20550" xr:uid="{00000000-0005-0000-0000-000022070000}"/>
    <cellStyle name="Comma 13 5" xfId="2273" xr:uid="{00000000-0005-0000-0000-000023070000}"/>
    <cellStyle name="Comma 13 5 2" xfId="6650" xr:uid="{00000000-0005-0000-0000-000024070000}"/>
    <cellStyle name="Comma 13 5 2 2" xfId="16035" xr:uid="{00000000-0005-0000-0000-000025070000}"/>
    <cellStyle name="Comma 13 5 2 2 2" xfId="32608" xr:uid="{00000000-0005-0000-0000-000026070000}"/>
    <cellStyle name="Comma 13 5 2 3" xfId="24561" xr:uid="{00000000-0005-0000-0000-000027070000}"/>
    <cellStyle name="Comma 13 6" xfId="2274" xr:uid="{00000000-0005-0000-0000-000028070000}"/>
    <cellStyle name="Comma 13 7" xfId="2275" xr:uid="{00000000-0005-0000-0000-000029070000}"/>
    <cellStyle name="Comma 13 8" xfId="2276" xr:uid="{00000000-0005-0000-0000-00002A070000}"/>
    <cellStyle name="Comma 13 8 2" xfId="12079" xr:uid="{00000000-0005-0000-0000-00002B070000}"/>
    <cellStyle name="Comma 13 8 2 2" xfId="28594" xr:uid="{00000000-0005-0000-0000-00002C070000}"/>
    <cellStyle name="Comma 13 8 3" xfId="20551" xr:uid="{00000000-0005-0000-0000-00002D070000}"/>
    <cellStyle name="Comma 13 9" xfId="2262" xr:uid="{00000000-0005-0000-0000-00002E070000}"/>
    <cellStyle name="Comma 130" xfId="10710" xr:uid="{00000000-0005-0000-0000-00002F070000}"/>
    <cellStyle name="Comma 131" xfId="10713" xr:uid="{00000000-0005-0000-0000-000030070000}"/>
    <cellStyle name="Comma 132" xfId="10716" xr:uid="{00000000-0005-0000-0000-000031070000}"/>
    <cellStyle name="Comma 133" xfId="10719" xr:uid="{00000000-0005-0000-0000-000032070000}"/>
    <cellStyle name="Comma 134" xfId="10722" xr:uid="{00000000-0005-0000-0000-000033070000}"/>
    <cellStyle name="Comma 135" xfId="10725" xr:uid="{00000000-0005-0000-0000-000034070000}"/>
    <cellStyle name="Comma 136" xfId="10728" xr:uid="{00000000-0005-0000-0000-000035070000}"/>
    <cellStyle name="Comma 137" xfId="10731" xr:uid="{00000000-0005-0000-0000-000036070000}"/>
    <cellStyle name="Comma 138" xfId="10734" xr:uid="{00000000-0005-0000-0000-000037070000}"/>
    <cellStyle name="Comma 139" xfId="10737" xr:uid="{00000000-0005-0000-0000-000038070000}"/>
    <cellStyle name="Comma 14" xfId="1583" xr:uid="{00000000-0005-0000-0000-000039070000}"/>
    <cellStyle name="Comma 14 2" xfId="2278" xr:uid="{00000000-0005-0000-0000-00003A070000}"/>
    <cellStyle name="Comma 14 2 2" xfId="2279" xr:uid="{00000000-0005-0000-0000-00003B070000}"/>
    <cellStyle name="Comma 14 2 2 2" xfId="2280" xr:uid="{00000000-0005-0000-0000-00003C070000}"/>
    <cellStyle name="Comma 14 2 2 2 2" xfId="6652" xr:uid="{00000000-0005-0000-0000-00003D070000}"/>
    <cellStyle name="Comma 14 2 2 2 2 2" xfId="16036" xr:uid="{00000000-0005-0000-0000-00003E070000}"/>
    <cellStyle name="Comma 14 2 2 2 2 2 2" xfId="32609" xr:uid="{00000000-0005-0000-0000-00003F070000}"/>
    <cellStyle name="Comma 14 2 2 2 2 3" xfId="24562" xr:uid="{00000000-0005-0000-0000-000040070000}"/>
    <cellStyle name="Comma 14 2 2 2 3" xfId="12082" xr:uid="{00000000-0005-0000-0000-000041070000}"/>
    <cellStyle name="Comma 14 2 2 2 3 2" xfId="28597" xr:uid="{00000000-0005-0000-0000-000042070000}"/>
    <cellStyle name="Comma 14 2 2 2 4" xfId="20554" xr:uid="{00000000-0005-0000-0000-000043070000}"/>
    <cellStyle name="Comma 14 2 2 3" xfId="6653" xr:uid="{00000000-0005-0000-0000-000044070000}"/>
    <cellStyle name="Comma 14 2 2 3 2" xfId="16037" xr:uid="{00000000-0005-0000-0000-000045070000}"/>
    <cellStyle name="Comma 14 2 2 3 2 2" xfId="32610" xr:uid="{00000000-0005-0000-0000-000046070000}"/>
    <cellStyle name="Comma 14 2 2 3 3" xfId="24563" xr:uid="{00000000-0005-0000-0000-000047070000}"/>
    <cellStyle name="Comma 14 2 2 4" xfId="12081" xr:uid="{00000000-0005-0000-0000-000048070000}"/>
    <cellStyle name="Comma 14 2 2 4 2" xfId="28596" xr:uid="{00000000-0005-0000-0000-000049070000}"/>
    <cellStyle name="Comma 14 2 2 5" xfId="20553" xr:uid="{00000000-0005-0000-0000-00004A070000}"/>
    <cellStyle name="Comma 14 2 3" xfId="2281" xr:uid="{00000000-0005-0000-0000-00004B070000}"/>
    <cellStyle name="Comma 14 2 3 2" xfId="6654" xr:uid="{00000000-0005-0000-0000-00004C070000}"/>
    <cellStyle name="Comma 14 2 3 2 2" xfId="16038" xr:uid="{00000000-0005-0000-0000-00004D070000}"/>
    <cellStyle name="Comma 14 2 3 2 2 2" xfId="32611" xr:uid="{00000000-0005-0000-0000-00004E070000}"/>
    <cellStyle name="Comma 14 2 3 2 3" xfId="24564" xr:uid="{00000000-0005-0000-0000-00004F070000}"/>
    <cellStyle name="Comma 14 2 3 3" xfId="12083" xr:uid="{00000000-0005-0000-0000-000050070000}"/>
    <cellStyle name="Comma 14 2 3 3 2" xfId="28598" xr:uid="{00000000-0005-0000-0000-000051070000}"/>
    <cellStyle name="Comma 14 2 3 4" xfId="20555" xr:uid="{00000000-0005-0000-0000-000052070000}"/>
    <cellStyle name="Comma 14 2 4" xfId="6655" xr:uid="{00000000-0005-0000-0000-000053070000}"/>
    <cellStyle name="Comma 14 2 4 2" xfId="16039" xr:uid="{00000000-0005-0000-0000-000054070000}"/>
    <cellStyle name="Comma 14 2 4 2 2" xfId="32612" xr:uid="{00000000-0005-0000-0000-000055070000}"/>
    <cellStyle name="Comma 14 2 4 3" xfId="24565" xr:uid="{00000000-0005-0000-0000-000056070000}"/>
    <cellStyle name="Comma 14 2 5" xfId="12080" xr:uid="{00000000-0005-0000-0000-000057070000}"/>
    <cellStyle name="Comma 14 2 5 2" xfId="28595" xr:uid="{00000000-0005-0000-0000-000058070000}"/>
    <cellStyle name="Comma 14 2 6" xfId="20552" xr:uid="{00000000-0005-0000-0000-000059070000}"/>
    <cellStyle name="Comma 14 3" xfId="2282" xr:uid="{00000000-0005-0000-0000-00005A070000}"/>
    <cellStyle name="Comma 14 3 2" xfId="2283" xr:uid="{00000000-0005-0000-0000-00005B070000}"/>
    <cellStyle name="Comma 14 3 2 2" xfId="6656" xr:uid="{00000000-0005-0000-0000-00005C070000}"/>
    <cellStyle name="Comma 14 3 2 2 2" xfId="16040" xr:uid="{00000000-0005-0000-0000-00005D070000}"/>
    <cellStyle name="Comma 14 3 2 2 2 2" xfId="32613" xr:uid="{00000000-0005-0000-0000-00005E070000}"/>
    <cellStyle name="Comma 14 3 2 2 3" xfId="24566" xr:uid="{00000000-0005-0000-0000-00005F070000}"/>
    <cellStyle name="Comma 14 3 2 3" xfId="12085" xr:uid="{00000000-0005-0000-0000-000060070000}"/>
    <cellStyle name="Comma 14 3 2 3 2" xfId="28600" xr:uid="{00000000-0005-0000-0000-000061070000}"/>
    <cellStyle name="Comma 14 3 2 4" xfId="20557" xr:uid="{00000000-0005-0000-0000-000062070000}"/>
    <cellStyle name="Comma 14 3 3" xfId="6657" xr:uid="{00000000-0005-0000-0000-000063070000}"/>
    <cellStyle name="Comma 14 3 3 2" xfId="16041" xr:uid="{00000000-0005-0000-0000-000064070000}"/>
    <cellStyle name="Comma 14 3 3 2 2" xfId="32614" xr:uid="{00000000-0005-0000-0000-000065070000}"/>
    <cellStyle name="Comma 14 3 3 3" xfId="24567" xr:uid="{00000000-0005-0000-0000-000066070000}"/>
    <cellStyle name="Comma 14 3 4" xfId="12084" xr:uid="{00000000-0005-0000-0000-000067070000}"/>
    <cellStyle name="Comma 14 3 4 2" xfId="28599" xr:uid="{00000000-0005-0000-0000-000068070000}"/>
    <cellStyle name="Comma 14 3 5" xfId="20556" xr:uid="{00000000-0005-0000-0000-000069070000}"/>
    <cellStyle name="Comma 14 4" xfId="2284" xr:uid="{00000000-0005-0000-0000-00006A070000}"/>
    <cellStyle name="Comma 14 4 2" xfId="6658" xr:uid="{00000000-0005-0000-0000-00006B070000}"/>
    <cellStyle name="Comma 14 4 2 2" xfId="16042" xr:uid="{00000000-0005-0000-0000-00006C070000}"/>
    <cellStyle name="Comma 14 4 2 2 2" xfId="32615" xr:uid="{00000000-0005-0000-0000-00006D070000}"/>
    <cellStyle name="Comma 14 4 2 3" xfId="24568" xr:uid="{00000000-0005-0000-0000-00006E070000}"/>
    <cellStyle name="Comma 14 4 3" xfId="12086" xr:uid="{00000000-0005-0000-0000-00006F070000}"/>
    <cellStyle name="Comma 14 4 3 2" xfId="28601" xr:uid="{00000000-0005-0000-0000-000070070000}"/>
    <cellStyle name="Comma 14 4 4" xfId="20558" xr:uid="{00000000-0005-0000-0000-000071070000}"/>
    <cellStyle name="Comma 14 5" xfId="6659" xr:uid="{00000000-0005-0000-0000-000072070000}"/>
    <cellStyle name="Comma 14 5 2" xfId="16043" xr:uid="{00000000-0005-0000-0000-000073070000}"/>
    <cellStyle name="Comma 14 5 2 2" xfId="32616" xr:uid="{00000000-0005-0000-0000-000074070000}"/>
    <cellStyle name="Comma 14 5 3" xfId="24569" xr:uid="{00000000-0005-0000-0000-000075070000}"/>
    <cellStyle name="Comma 14 6" xfId="6651" xr:uid="{00000000-0005-0000-0000-000076070000}"/>
    <cellStyle name="Comma 14 7" xfId="2277" xr:uid="{00000000-0005-0000-0000-000077070000}"/>
    <cellStyle name="Comma 140" xfId="10740" xr:uid="{00000000-0005-0000-0000-000078070000}"/>
    <cellStyle name="Comma 141" xfId="10743" xr:uid="{00000000-0005-0000-0000-000079070000}"/>
    <cellStyle name="Comma 142" xfId="10746" xr:uid="{00000000-0005-0000-0000-00007A070000}"/>
    <cellStyle name="Comma 143" xfId="10749" xr:uid="{00000000-0005-0000-0000-00007B070000}"/>
    <cellStyle name="Comma 144" xfId="10752" xr:uid="{00000000-0005-0000-0000-00007C070000}"/>
    <cellStyle name="Comma 145" xfId="10755" xr:uid="{00000000-0005-0000-0000-00007D070000}"/>
    <cellStyle name="Comma 146" xfId="10758" xr:uid="{00000000-0005-0000-0000-00007E070000}"/>
    <cellStyle name="Comma 147" xfId="10761" xr:uid="{00000000-0005-0000-0000-00007F070000}"/>
    <cellStyle name="Comma 148" xfId="10764" xr:uid="{00000000-0005-0000-0000-000080070000}"/>
    <cellStyle name="Comma 149" xfId="10767" xr:uid="{00000000-0005-0000-0000-000081070000}"/>
    <cellStyle name="Comma 15" xfId="1694" xr:uid="{00000000-0005-0000-0000-000082070000}"/>
    <cellStyle name="Comma 15 2" xfId="2286" xr:uid="{00000000-0005-0000-0000-000083070000}"/>
    <cellStyle name="Comma 15 2 2" xfId="2287" xr:uid="{00000000-0005-0000-0000-000084070000}"/>
    <cellStyle name="Comma 15 2 2 2" xfId="2288" xr:uid="{00000000-0005-0000-0000-000085070000}"/>
    <cellStyle name="Comma 15 2 2 2 2" xfId="6660" xr:uid="{00000000-0005-0000-0000-000086070000}"/>
    <cellStyle name="Comma 15 2 2 2 2 2" xfId="16044" xr:uid="{00000000-0005-0000-0000-000087070000}"/>
    <cellStyle name="Comma 15 2 2 2 2 2 2" xfId="32617" xr:uid="{00000000-0005-0000-0000-000088070000}"/>
    <cellStyle name="Comma 15 2 2 2 2 3" xfId="24570" xr:uid="{00000000-0005-0000-0000-000089070000}"/>
    <cellStyle name="Comma 15 2 2 2 3" xfId="12089" xr:uid="{00000000-0005-0000-0000-00008A070000}"/>
    <cellStyle name="Comma 15 2 2 2 3 2" xfId="28604" xr:uid="{00000000-0005-0000-0000-00008B070000}"/>
    <cellStyle name="Comma 15 2 2 2 4" xfId="20561" xr:uid="{00000000-0005-0000-0000-00008C070000}"/>
    <cellStyle name="Comma 15 2 2 3" xfId="6661" xr:uid="{00000000-0005-0000-0000-00008D070000}"/>
    <cellStyle name="Comma 15 2 2 3 2" xfId="16045" xr:uid="{00000000-0005-0000-0000-00008E070000}"/>
    <cellStyle name="Comma 15 2 2 3 2 2" xfId="32618" xr:uid="{00000000-0005-0000-0000-00008F070000}"/>
    <cellStyle name="Comma 15 2 2 3 3" xfId="24571" xr:uid="{00000000-0005-0000-0000-000090070000}"/>
    <cellStyle name="Comma 15 2 2 4" xfId="12088" xr:uid="{00000000-0005-0000-0000-000091070000}"/>
    <cellStyle name="Comma 15 2 2 4 2" xfId="28603" xr:uid="{00000000-0005-0000-0000-000092070000}"/>
    <cellStyle name="Comma 15 2 2 5" xfId="20560" xr:uid="{00000000-0005-0000-0000-000093070000}"/>
    <cellStyle name="Comma 15 2 3" xfId="2289" xr:uid="{00000000-0005-0000-0000-000094070000}"/>
    <cellStyle name="Comma 15 2 3 2" xfId="6662" xr:uid="{00000000-0005-0000-0000-000095070000}"/>
    <cellStyle name="Comma 15 2 3 2 2" xfId="16046" xr:uid="{00000000-0005-0000-0000-000096070000}"/>
    <cellStyle name="Comma 15 2 3 2 2 2" xfId="32619" xr:uid="{00000000-0005-0000-0000-000097070000}"/>
    <cellStyle name="Comma 15 2 3 2 3" xfId="24572" xr:uid="{00000000-0005-0000-0000-000098070000}"/>
    <cellStyle name="Comma 15 2 3 3" xfId="12090" xr:uid="{00000000-0005-0000-0000-000099070000}"/>
    <cellStyle name="Comma 15 2 3 3 2" xfId="28605" xr:uid="{00000000-0005-0000-0000-00009A070000}"/>
    <cellStyle name="Comma 15 2 3 4" xfId="20562" xr:uid="{00000000-0005-0000-0000-00009B070000}"/>
    <cellStyle name="Comma 15 2 4" xfId="6663" xr:uid="{00000000-0005-0000-0000-00009C070000}"/>
    <cellStyle name="Comma 15 2 4 2" xfId="16047" xr:uid="{00000000-0005-0000-0000-00009D070000}"/>
    <cellStyle name="Comma 15 2 4 2 2" xfId="32620" xr:uid="{00000000-0005-0000-0000-00009E070000}"/>
    <cellStyle name="Comma 15 2 4 3" xfId="24573" xr:uid="{00000000-0005-0000-0000-00009F070000}"/>
    <cellStyle name="Comma 15 2 5" xfId="12087" xr:uid="{00000000-0005-0000-0000-0000A0070000}"/>
    <cellStyle name="Comma 15 2 5 2" xfId="28602" xr:uid="{00000000-0005-0000-0000-0000A1070000}"/>
    <cellStyle name="Comma 15 2 6" xfId="20559" xr:uid="{00000000-0005-0000-0000-0000A2070000}"/>
    <cellStyle name="Comma 15 3" xfId="2290" xr:uid="{00000000-0005-0000-0000-0000A3070000}"/>
    <cellStyle name="Comma 15 3 2" xfId="2291" xr:uid="{00000000-0005-0000-0000-0000A4070000}"/>
    <cellStyle name="Comma 15 3 2 2" xfId="2292" xr:uid="{00000000-0005-0000-0000-0000A5070000}"/>
    <cellStyle name="Comma 15 3 2 2 2" xfId="2293" xr:uid="{00000000-0005-0000-0000-0000A6070000}"/>
    <cellStyle name="Comma 15 3 2 2 2 2" xfId="12094" xr:uid="{00000000-0005-0000-0000-0000A7070000}"/>
    <cellStyle name="Comma 15 3 2 2 2 2 2" xfId="28609" xr:uid="{00000000-0005-0000-0000-0000A8070000}"/>
    <cellStyle name="Comma 15 3 2 2 2 3" xfId="20566" xr:uid="{00000000-0005-0000-0000-0000A9070000}"/>
    <cellStyle name="Comma 15 3 2 2 3" xfId="12093" xr:uid="{00000000-0005-0000-0000-0000AA070000}"/>
    <cellStyle name="Comma 15 3 2 2 3 2" xfId="28608" xr:uid="{00000000-0005-0000-0000-0000AB070000}"/>
    <cellStyle name="Comma 15 3 2 2 4" xfId="20565" xr:uid="{00000000-0005-0000-0000-0000AC070000}"/>
    <cellStyle name="Comma 15 3 2 3" xfId="12092" xr:uid="{00000000-0005-0000-0000-0000AD070000}"/>
    <cellStyle name="Comma 15 3 2 3 2" xfId="28607" xr:uid="{00000000-0005-0000-0000-0000AE070000}"/>
    <cellStyle name="Comma 15 3 2 4" xfId="20564" xr:uid="{00000000-0005-0000-0000-0000AF070000}"/>
    <cellStyle name="Comma 15 3 3" xfId="6664" xr:uid="{00000000-0005-0000-0000-0000B0070000}"/>
    <cellStyle name="Comma 15 3 3 2" xfId="16048" xr:uid="{00000000-0005-0000-0000-0000B1070000}"/>
    <cellStyle name="Comma 15 3 3 2 2" xfId="32621" xr:uid="{00000000-0005-0000-0000-0000B2070000}"/>
    <cellStyle name="Comma 15 3 3 3" xfId="24574" xr:uid="{00000000-0005-0000-0000-0000B3070000}"/>
    <cellStyle name="Comma 15 3 4" xfId="12091" xr:uid="{00000000-0005-0000-0000-0000B4070000}"/>
    <cellStyle name="Comma 15 3 4 2" xfId="28606" xr:uid="{00000000-0005-0000-0000-0000B5070000}"/>
    <cellStyle name="Comma 15 3 5" xfId="20563" xr:uid="{00000000-0005-0000-0000-0000B6070000}"/>
    <cellStyle name="Comma 15 4" xfId="2294" xr:uid="{00000000-0005-0000-0000-0000B7070000}"/>
    <cellStyle name="Comma 15 4 2" xfId="6665" xr:uid="{00000000-0005-0000-0000-0000B8070000}"/>
    <cellStyle name="Comma 15 4 2 2" xfId="16049" xr:uid="{00000000-0005-0000-0000-0000B9070000}"/>
    <cellStyle name="Comma 15 4 2 2 2" xfId="32622" xr:uid="{00000000-0005-0000-0000-0000BA070000}"/>
    <cellStyle name="Comma 15 4 2 3" xfId="24575" xr:uid="{00000000-0005-0000-0000-0000BB070000}"/>
    <cellStyle name="Comma 15 4 3" xfId="12095" xr:uid="{00000000-0005-0000-0000-0000BC070000}"/>
    <cellStyle name="Comma 15 4 3 2" xfId="28610" xr:uid="{00000000-0005-0000-0000-0000BD070000}"/>
    <cellStyle name="Comma 15 4 4" xfId="20567" xr:uid="{00000000-0005-0000-0000-0000BE070000}"/>
    <cellStyle name="Comma 15 5" xfId="6666" xr:uid="{00000000-0005-0000-0000-0000BF070000}"/>
    <cellStyle name="Comma 15 5 2" xfId="16050" xr:uid="{00000000-0005-0000-0000-0000C0070000}"/>
    <cellStyle name="Comma 15 5 2 2" xfId="32623" xr:uid="{00000000-0005-0000-0000-0000C1070000}"/>
    <cellStyle name="Comma 15 5 3" xfId="24576" xr:uid="{00000000-0005-0000-0000-0000C2070000}"/>
    <cellStyle name="Comma 15 6" xfId="2285" xr:uid="{00000000-0005-0000-0000-0000C3070000}"/>
    <cellStyle name="Comma 150" xfId="10770" xr:uid="{00000000-0005-0000-0000-0000C4070000}"/>
    <cellStyle name="Comma 151" xfId="10773" xr:uid="{00000000-0005-0000-0000-0000C5070000}"/>
    <cellStyle name="Comma 152" xfId="10776" xr:uid="{00000000-0005-0000-0000-0000C6070000}"/>
    <cellStyle name="Comma 153" xfId="10779" xr:uid="{00000000-0005-0000-0000-0000C7070000}"/>
    <cellStyle name="Comma 154" xfId="10782" xr:uid="{00000000-0005-0000-0000-0000C8070000}"/>
    <cellStyle name="Comma 155" xfId="10785" xr:uid="{00000000-0005-0000-0000-0000C9070000}"/>
    <cellStyle name="Comma 156" xfId="10788" xr:uid="{00000000-0005-0000-0000-0000CA070000}"/>
    <cellStyle name="Comma 157" xfId="10791" xr:uid="{00000000-0005-0000-0000-0000CB070000}"/>
    <cellStyle name="Comma 158" xfId="10794" xr:uid="{00000000-0005-0000-0000-0000CC070000}"/>
    <cellStyle name="Comma 159" xfId="10797" xr:uid="{00000000-0005-0000-0000-0000CD070000}"/>
    <cellStyle name="Comma 16" xfId="1732" xr:uid="{00000000-0005-0000-0000-0000CE070000}"/>
    <cellStyle name="Comma 16 2" xfId="2295" xr:uid="{00000000-0005-0000-0000-0000CF070000}"/>
    <cellStyle name="Comma 16 2 2" xfId="6667" xr:uid="{00000000-0005-0000-0000-0000D0070000}"/>
    <cellStyle name="Comma 16 2 3" xfId="36870" xr:uid="{00000000-0005-0000-0000-0000D1070000}"/>
    <cellStyle name="Comma 160" xfId="10800" xr:uid="{00000000-0005-0000-0000-0000D2070000}"/>
    <cellStyle name="Comma 161" xfId="10803" xr:uid="{00000000-0005-0000-0000-0000D3070000}"/>
    <cellStyle name="Comma 162" xfId="10806" xr:uid="{00000000-0005-0000-0000-0000D4070000}"/>
    <cellStyle name="Comma 163" xfId="10809" xr:uid="{00000000-0005-0000-0000-0000D5070000}"/>
    <cellStyle name="Comma 164" xfId="10812" xr:uid="{00000000-0005-0000-0000-0000D6070000}"/>
    <cellStyle name="Comma 165" xfId="10815" xr:uid="{00000000-0005-0000-0000-0000D7070000}"/>
    <cellStyle name="Comma 166" xfId="10818" xr:uid="{00000000-0005-0000-0000-0000D8070000}"/>
    <cellStyle name="Comma 167" xfId="10821" xr:uid="{00000000-0005-0000-0000-0000D9070000}"/>
    <cellStyle name="Comma 168" xfId="10824" xr:uid="{00000000-0005-0000-0000-0000DA070000}"/>
    <cellStyle name="Comma 169" xfId="10827" xr:uid="{00000000-0005-0000-0000-0000DB070000}"/>
    <cellStyle name="Comma 17" xfId="1666" xr:uid="{00000000-0005-0000-0000-0000DC070000}"/>
    <cellStyle name="Comma 17 2" xfId="2297" xr:uid="{00000000-0005-0000-0000-0000DD070000}"/>
    <cellStyle name="Comma 17 2 2" xfId="2298" xr:uid="{00000000-0005-0000-0000-0000DE070000}"/>
    <cellStyle name="Comma 17 2 2 2" xfId="12097" xr:uid="{00000000-0005-0000-0000-0000DF070000}"/>
    <cellStyle name="Comma 17 2 2 2 2" xfId="28612" xr:uid="{00000000-0005-0000-0000-0000E0070000}"/>
    <cellStyle name="Comma 17 2 2 3" xfId="20569" xr:uid="{00000000-0005-0000-0000-0000E1070000}"/>
    <cellStyle name="Comma 17 2 3" xfId="2299" xr:uid="{00000000-0005-0000-0000-0000E2070000}"/>
    <cellStyle name="Comma 17 2 3 2" xfId="12098" xr:uid="{00000000-0005-0000-0000-0000E3070000}"/>
    <cellStyle name="Comma 17 2 3 2 2" xfId="28613" xr:uid="{00000000-0005-0000-0000-0000E4070000}"/>
    <cellStyle name="Comma 17 2 3 3" xfId="20570" xr:uid="{00000000-0005-0000-0000-0000E5070000}"/>
    <cellStyle name="Comma 17 2 4" xfId="12096" xr:uid="{00000000-0005-0000-0000-0000E6070000}"/>
    <cellStyle name="Comma 17 2 4 2" xfId="28611" xr:uid="{00000000-0005-0000-0000-0000E7070000}"/>
    <cellStyle name="Comma 17 2 5" xfId="20568" xr:uid="{00000000-0005-0000-0000-0000E8070000}"/>
    <cellStyle name="Comma 17 3" xfId="2300" xr:uid="{00000000-0005-0000-0000-0000E9070000}"/>
    <cellStyle name="Comma 17 3 2" xfId="12099" xr:uid="{00000000-0005-0000-0000-0000EA070000}"/>
    <cellStyle name="Comma 17 3 2 2" xfId="28614" xr:uid="{00000000-0005-0000-0000-0000EB070000}"/>
    <cellStyle name="Comma 17 3 3" xfId="20571" xr:uid="{00000000-0005-0000-0000-0000EC070000}"/>
    <cellStyle name="Comma 17 4" xfId="2296" xr:uid="{00000000-0005-0000-0000-0000ED070000}"/>
    <cellStyle name="Comma 170" xfId="10830" xr:uid="{00000000-0005-0000-0000-0000EE070000}"/>
    <cellStyle name="Comma 171" xfId="10833" xr:uid="{00000000-0005-0000-0000-0000EF070000}"/>
    <cellStyle name="Comma 172" xfId="10836" xr:uid="{00000000-0005-0000-0000-0000F0070000}"/>
    <cellStyle name="Comma 173" xfId="10839" xr:uid="{00000000-0005-0000-0000-0000F1070000}"/>
    <cellStyle name="Comma 174" xfId="10842" xr:uid="{00000000-0005-0000-0000-0000F2070000}"/>
    <cellStyle name="Comma 175" xfId="10845" xr:uid="{00000000-0005-0000-0000-0000F3070000}"/>
    <cellStyle name="Comma 176" xfId="10848" xr:uid="{00000000-0005-0000-0000-0000F4070000}"/>
    <cellStyle name="Comma 177" xfId="10851" xr:uid="{00000000-0005-0000-0000-0000F5070000}"/>
    <cellStyle name="Comma 178" xfId="10854" xr:uid="{00000000-0005-0000-0000-0000F6070000}"/>
    <cellStyle name="Comma 179" xfId="10857" xr:uid="{00000000-0005-0000-0000-0000F7070000}"/>
    <cellStyle name="Comma 18" xfId="1692" xr:uid="{00000000-0005-0000-0000-0000F8070000}"/>
    <cellStyle name="Comma 18 2" xfId="2302" xr:uid="{00000000-0005-0000-0000-0000F9070000}"/>
    <cellStyle name="Comma 18 2 2" xfId="2303" xr:uid="{00000000-0005-0000-0000-0000FA070000}"/>
    <cellStyle name="Comma 18 2 2 2" xfId="12101" xr:uid="{00000000-0005-0000-0000-0000FB070000}"/>
    <cellStyle name="Comma 18 2 2 2 2" xfId="28616" xr:uid="{00000000-0005-0000-0000-0000FC070000}"/>
    <cellStyle name="Comma 18 2 2 3" xfId="20573" xr:uid="{00000000-0005-0000-0000-0000FD070000}"/>
    <cellStyle name="Comma 18 2 3" xfId="6668" xr:uid="{00000000-0005-0000-0000-0000FE070000}"/>
    <cellStyle name="Comma 18 2 4" xfId="12100" xr:uid="{00000000-0005-0000-0000-0000FF070000}"/>
    <cellStyle name="Comma 18 2 4 2" xfId="28615" xr:uid="{00000000-0005-0000-0000-000000080000}"/>
    <cellStyle name="Comma 18 2 5" xfId="20572" xr:uid="{00000000-0005-0000-0000-000001080000}"/>
    <cellStyle name="Comma 18 3" xfId="2304" xr:uid="{00000000-0005-0000-0000-000002080000}"/>
    <cellStyle name="Comma 18 3 2" xfId="12102" xr:uid="{00000000-0005-0000-0000-000003080000}"/>
    <cellStyle name="Comma 18 3 2 2" xfId="28617" xr:uid="{00000000-0005-0000-0000-000004080000}"/>
    <cellStyle name="Comma 18 3 3" xfId="20574" xr:uid="{00000000-0005-0000-0000-000005080000}"/>
    <cellStyle name="Comma 18 4" xfId="2305" xr:uid="{00000000-0005-0000-0000-000006080000}"/>
    <cellStyle name="Comma 18 5" xfId="2301" xr:uid="{00000000-0005-0000-0000-000007080000}"/>
    <cellStyle name="Comma 180" xfId="10860" xr:uid="{00000000-0005-0000-0000-000008080000}"/>
    <cellStyle name="Comma 181" xfId="10863" xr:uid="{00000000-0005-0000-0000-000009080000}"/>
    <cellStyle name="Comma 182" xfId="10866" xr:uid="{00000000-0005-0000-0000-00000A080000}"/>
    <cellStyle name="Comma 183" xfId="10869" xr:uid="{00000000-0005-0000-0000-00000B080000}"/>
    <cellStyle name="Comma 184" xfId="10872" xr:uid="{00000000-0005-0000-0000-00000C080000}"/>
    <cellStyle name="Comma 185" xfId="10875" xr:uid="{00000000-0005-0000-0000-00000D080000}"/>
    <cellStyle name="Comma 186" xfId="10944" xr:uid="{00000000-0005-0000-0000-00000E080000}"/>
    <cellStyle name="Comma 187" xfId="10947" xr:uid="{00000000-0005-0000-0000-00000F080000}"/>
    <cellStyle name="Comma 188" xfId="10950" xr:uid="{00000000-0005-0000-0000-000010080000}"/>
    <cellStyle name="Comma 189" xfId="10953" xr:uid="{00000000-0005-0000-0000-000011080000}"/>
    <cellStyle name="Comma 19" xfId="1735" xr:uid="{00000000-0005-0000-0000-000012080000}"/>
    <cellStyle name="Comma 19 2" xfId="2307" xr:uid="{00000000-0005-0000-0000-000013080000}"/>
    <cellStyle name="Comma 19 2 2" xfId="12103" xr:uid="{00000000-0005-0000-0000-000014080000}"/>
    <cellStyle name="Comma 19 2 2 2" xfId="28618" xr:uid="{00000000-0005-0000-0000-000015080000}"/>
    <cellStyle name="Comma 19 2 3" xfId="20575" xr:uid="{00000000-0005-0000-0000-000016080000}"/>
    <cellStyle name="Comma 19 3" xfId="2306" xr:uid="{00000000-0005-0000-0000-000017080000}"/>
    <cellStyle name="Comma 190" xfId="10956" xr:uid="{00000000-0005-0000-0000-000018080000}"/>
    <cellStyle name="Comma 191" xfId="10959" xr:uid="{00000000-0005-0000-0000-000019080000}"/>
    <cellStyle name="Comma 192" xfId="10962" xr:uid="{00000000-0005-0000-0000-00001A080000}"/>
    <cellStyle name="Comma 193" xfId="10965" xr:uid="{00000000-0005-0000-0000-00001B080000}"/>
    <cellStyle name="Comma 194" xfId="10968" xr:uid="{00000000-0005-0000-0000-00001C080000}"/>
    <cellStyle name="Comma 195" xfId="10971" xr:uid="{00000000-0005-0000-0000-00001D080000}"/>
    <cellStyle name="Comma 196" xfId="10974" xr:uid="{00000000-0005-0000-0000-00001E080000}"/>
    <cellStyle name="Comma 197" xfId="10977" xr:uid="{00000000-0005-0000-0000-00001F080000}"/>
    <cellStyle name="Comma 198" xfId="10980" xr:uid="{00000000-0005-0000-0000-000020080000}"/>
    <cellStyle name="Comma 199" xfId="10983" xr:uid="{00000000-0005-0000-0000-000021080000}"/>
    <cellStyle name="Comma 2" xfId="9" xr:uid="{00000000-0005-0000-0000-000022080000}"/>
    <cellStyle name="Comma 2 2" xfId="24" xr:uid="{00000000-0005-0000-0000-000023080000}"/>
    <cellStyle name="Comma 2 2 2" xfId="76" xr:uid="{00000000-0005-0000-0000-000024080000}"/>
    <cellStyle name="Comma 2 2 2 2" xfId="144" xr:uid="{00000000-0005-0000-0000-000025080000}"/>
    <cellStyle name="Comma 2 2 2 2 2" xfId="145" xr:uid="{00000000-0005-0000-0000-000026080000}"/>
    <cellStyle name="Comma 2 2 2 2 3" xfId="2311" xr:uid="{00000000-0005-0000-0000-000027080000}"/>
    <cellStyle name="Comma 2 2 2 2 3 2" xfId="28619" xr:uid="{00000000-0005-0000-0000-000028080000}"/>
    <cellStyle name="Comma 2 2 2 2 4" xfId="20576" xr:uid="{00000000-0005-0000-0000-000029080000}"/>
    <cellStyle name="Comma 2 2 2 3" xfId="146" xr:uid="{00000000-0005-0000-0000-00002A080000}"/>
    <cellStyle name="Comma 2 2 2 3 2" xfId="2312" xr:uid="{00000000-0005-0000-0000-00002B080000}"/>
    <cellStyle name="Comma 2 2 2 3 2 2" xfId="28620" xr:uid="{00000000-0005-0000-0000-00002C080000}"/>
    <cellStyle name="Comma 2 2 2 3 3" xfId="20577" xr:uid="{00000000-0005-0000-0000-00002D080000}"/>
    <cellStyle name="Comma 2 2 2 4" xfId="10892" xr:uid="{00000000-0005-0000-0000-00002E080000}"/>
    <cellStyle name="Comma 2 2 2 5" xfId="2310" xr:uid="{00000000-0005-0000-0000-00002F080000}"/>
    <cellStyle name="Comma 2 2 3" xfId="147" xr:uid="{00000000-0005-0000-0000-000030080000}"/>
    <cellStyle name="Comma 2 2 3 2" xfId="148" xr:uid="{00000000-0005-0000-0000-000031080000}"/>
    <cellStyle name="Comma 2 2 3 3" xfId="2313" xr:uid="{00000000-0005-0000-0000-000032080000}"/>
    <cellStyle name="Comma 2 2 3 3 2" xfId="28621" xr:uid="{00000000-0005-0000-0000-000033080000}"/>
    <cellStyle name="Comma 2 2 3 4" xfId="20578" xr:uid="{00000000-0005-0000-0000-000034080000}"/>
    <cellStyle name="Comma 2 2 4" xfId="149" xr:uid="{00000000-0005-0000-0000-000035080000}"/>
    <cellStyle name="Comma 2 2 4 2" xfId="2314" xr:uid="{00000000-0005-0000-0000-000036080000}"/>
    <cellStyle name="Comma 2 2 5" xfId="342" xr:uid="{00000000-0005-0000-0000-000037080000}"/>
    <cellStyle name="Comma 2 2 6" xfId="1668" xr:uid="{00000000-0005-0000-0000-000038080000}"/>
    <cellStyle name="Comma 2 2 7" xfId="2309" xr:uid="{00000000-0005-0000-0000-000039080000}"/>
    <cellStyle name="Comma 2 3" xfId="81" xr:uid="{00000000-0005-0000-0000-00003A080000}"/>
    <cellStyle name="Comma 2 3 2" xfId="150" xr:uid="{00000000-0005-0000-0000-00003B080000}"/>
    <cellStyle name="Comma 2 3 2 2" xfId="6669" xr:uid="{00000000-0005-0000-0000-00003C080000}"/>
    <cellStyle name="Comma 2 3 2 3" xfId="2316" xr:uid="{00000000-0005-0000-0000-00003D080000}"/>
    <cellStyle name="Comma 2 3 2 3 2" xfId="28622" xr:uid="{00000000-0005-0000-0000-00003E080000}"/>
    <cellStyle name="Comma 2 3 2 4" xfId="20579" xr:uid="{00000000-0005-0000-0000-00003F080000}"/>
    <cellStyle name="Comma 2 3 3" xfId="2317" xr:uid="{00000000-0005-0000-0000-000040080000}"/>
    <cellStyle name="Comma 2 3 4" xfId="2315" xr:uid="{00000000-0005-0000-0000-000041080000}"/>
    <cellStyle name="Comma 2 4" xfId="151" xr:uid="{00000000-0005-0000-0000-000042080000}"/>
    <cellStyle name="Comma 2 4 2" xfId="2319" xr:uid="{00000000-0005-0000-0000-000043080000}"/>
    <cellStyle name="Comma 2 4 2 2" xfId="12104" xr:uid="{00000000-0005-0000-0000-000044080000}"/>
    <cellStyle name="Comma 2 4 2 2 2" xfId="28623" xr:uid="{00000000-0005-0000-0000-000045080000}"/>
    <cellStyle name="Comma 2 4 2 3" xfId="20580" xr:uid="{00000000-0005-0000-0000-000046080000}"/>
    <cellStyle name="Comma 2 4 3" xfId="6670" xr:uid="{00000000-0005-0000-0000-000047080000}"/>
    <cellStyle name="Comma 2 4 4" xfId="2318" xr:uid="{00000000-0005-0000-0000-000048080000}"/>
    <cellStyle name="Comma 2 5" xfId="1667" xr:uid="{00000000-0005-0000-0000-000049080000}"/>
    <cellStyle name="Comma 2 5 2" xfId="2320" xr:uid="{00000000-0005-0000-0000-00004A080000}"/>
    <cellStyle name="Comma 2 6" xfId="2308" xr:uid="{00000000-0005-0000-0000-00004B080000}"/>
    <cellStyle name="Comma 2 6 2" xfId="36872" xr:uid="{00000000-0005-0000-0000-00004C080000}"/>
    <cellStyle name="Comma 2 7" xfId="6624" xr:uid="{00000000-0005-0000-0000-00004D080000}"/>
    <cellStyle name="Comma 2 8" xfId="10890" xr:uid="{00000000-0005-0000-0000-00004E080000}"/>
    <cellStyle name="Comma 2 8 2" xfId="28409" xr:uid="{00000000-0005-0000-0000-00004F080000}"/>
    <cellStyle name="Comma 2 9" xfId="2075" xr:uid="{00000000-0005-0000-0000-000050080000}"/>
    <cellStyle name="Comma 20" xfId="2321" xr:uid="{00000000-0005-0000-0000-000051080000}"/>
    <cellStyle name="Comma 20 2" xfId="6671" xr:uid="{00000000-0005-0000-0000-000052080000}"/>
    <cellStyle name="Comma 20 2 2" xfId="16051" xr:uid="{00000000-0005-0000-0000-000053080000}"/>
    <cellStyle name="Comma 20 2 2 2" xfId="32624" xr:uid="{00000000-0005-0000-0000-000054080000}"/>
    <cellStyle name="Comma 20 2 3" xfId="24577" xr:uid="{00000000-0005-0000-0000-000055080000}"/>
    <cellStyle name="Comma 20 3" xfId="36867" xr:uid="{00000000-0005-0000-0000-000056080000}"/>
    <cellStyle name="Comma 200" xfId="10986" xr:uid="{00000000-0005-0000-0000-000057080000}"/>
    <cellStyle name="Comma 201" xfId="10989" xr:uid="{00000000-0005-0000-0000-000058080000}"/>
    <cellStyle name="Comma 202" xfId="10992" xr:uid="{00000000-0005-0000-0000-000059080000}"/>
    <cellStyle name="Comma 203" xfId="10995" xr:uid="{00000000-0005-0000-0000-00005A080000}"/>
    <cellStyle name="Comma 204" xfId="10998" xr:uid="{00000000-0005-0000-0000-00005B080000}"/>
    <cellStyle name="Comma 205" xfId="11001" xr:uid="{00000000-0005-0000-0000-00005C080000}"/>
    <cellStyle name="Comma 206" xfId="11004" xr:uid="{00000000-0005-0000-0000-00005D080000}"/>
    <cellStyle name="Comma 207" xfId="11007" xr:uid="{00000000-0005-0000-0000-00005E080000}"/>
    <cellStyle name="Comma 208" xfId="11010" xr:uid="{00000000-0005-0000-0000-00005F080000}"/>
    <cellStyle name="Comma 209" xfId="11013" xr:uid="{00000000-0005-0000-0000-000060080000}"/>
    <cellStyle name="Comma 21" xfId="2322" xr:uid="{00000000-0005-0000-0000-000061080000}"/>
    <cellStyle name="Comma 21 2" xfId="6672" xr:uid="{00000000-0005-0000-0000-000062080000}"/>
    <cellStyle name="Comma 21 2 2" xfId="16052" xr:uid="{00000000-0005-0000-0000-000063080000}"/>
    <cellStyle name="Comma 21 2 2 2" xfId="32625" xr:uid="{00000000-0005-0000-0000-000064080000}"/>
    <cellStyle name="Comma 21 2 3" xfId="24578" xr:uid="{00000000-0005-0000-0000-000065080000}"/>
    <cellStyle name="Comma 21 3" xfId="36914" xr:uid="{00000000-0005-0000-0000-000066080000}"/>
    <cellStyle name="Comma 210" xfId="11016" xr:uid="{00000000-0005-0000-0000-000067080000}"/>
    <cellStyle name="Comma 211" xfId="11019" xr:uid="{00000000-0005-0000-0000-000068080000}"/>
    <cellStyle name="Comma 212" xfId="11022" xr:uid="{00000000-0005-0000-0000-000069080000}"/>
    <cellStyle name="Comma 213" xfId="11025" xr:uid="{00000000-0005-0000-0000-00006A080000}"/>
    <cellStyle name="Comma 214" xfId="11028" xr:uid="{00000000-0005-0000-0000-00006B080000}"/>
    <cellStyle name="Comma 215" xfId="11031" xr:uid="{00000000-0005-0000-0000-00006C080000}"/>
    <cellStyle name="Comma 216" xfId="11034" xr:uid="{00000000-0005-0000-0000-00006D080000}"/>
    <cellStyle name="Comma 217" xfId="11037" xr:uid="{00000000-0005-0000-0000-00006E080000}"/>
    <cellStyle name="Comma 218" xfId="11040" xr:uid="{00000000-0005-0000-0000-00006F080000}"/>
    <cellStyle name="Comma 219" xfId="11043" xr:uid="{00000000-0005-0000-0000-000070080000}"/>
    <cellStyle name="Comma 22" xfId="2323" xr:uid="{00000000-0005-0000-0000-000071080000}"/>
    <cellStyle name="Comma 22 2" xfId="6673" xr:uid="{00000000-0005-0000-0000-000072080000}"/>
    <cellStyle name="Comma 220" xfId="11046" xr:uid="{00000000-0005-0000-0000-000073080000}"/>
    <cellStyle name="Comma 221" xfId="11049" xr:uid="{00000000-0005-0000-0000-000074080000}"/>
    <cellStyle name="Comma 222" xfId="11051" xr:uid="{00000000-0005-0000-0000-000075080000}"/>
    <cellStyle name="Comma 223" xfId="1782" xr:uid="{00000000-0005-0000-0000-000076080000}"/>
    <cellStyle name="Comma 224" xfId="10938" xr:uid="{00000000-0005-0000-0000-000077080000}"/>
    <cellStyle name="Comma 225" xfId="11081" xr:uid="{00000000-0005-0000-0000-000078080000}"/>
    <cellStyle name="Comma 226" xfId="11295" xr:uid="{00000000-0005-0000-0000-000079080000}"/>
    <cellStyle name="Comma 227" xfId="36373" xr:uid="{00000000-0005-0000-0000-00007A080000}"/>
    <cellStyle name="Comma 23" xfId="2324" xr:uid="{00000000-0005-0000-0000-00007B080000}"/>
    <cellStyle name="Comma 23 2" xfId="6621" xr:uid="{00000000-0005-0000-0000-00007C080000}"/>
    <cellStyle name="Comma 24" xfId="2325" xr:uid="{00000000-0005-0000-0000-00007D080000}"/>
    <cellStyle name="Comma 24 2" xfId="10399" xr:uid="{00000000-0005-0000-0000-00007E080000}"/>
    <cellStyle name="Comma 24 3" xfId="12105" xr:uid="{00000000-0005-0000-0000-00007F080000}"/>
    <cellStyle name="Comma 24 3 2" xfId="28624" xr:uid="{00000000-0005-0000-0000-000080080000}"/>
    <cellStyle name="Comma 24 4" xfId="20581" xr:uid="{00000000-0005-0000-0000-000081080000}"/>
    <cellStyle name="Comma 25" xfId="2326" xr:uid="{00000000-0005-0000-0000-000082080000}"/>
    <cellStyle name="Comma 25 2" xfId="2327" xr:uid="{00000000-0005-0000-0000-000083080000}"/>
    <cellStyle name="Comma 25 3" xfId="6617" xr:uid="{00000000-0005-0000-0000-000084080000}"/>
    <cellStyle name="Comma 26" xfId="2328" xr:uid="{00000000-0005-0000-0000-000085080000}"/>
    <cellStyle name="Comma 27" xfId="2329" xr:uid="{00000000-0005-0000-0000-000086080000}"/>
    <cellStyle name="Comma 28" xfId="2330" xr:uid="{00000000-0005-0000-0000-000087080000}"/>
    <cellStyle name="Comma 29" xfId="2331" xr:uid="{00000000-0005-0000-0000-000088080000}"/>
    <cellStyle name="Comma 29 2" xfId="12106" xr:uid="{00000000-0005-0000-0000-000089080000}"/>
    <cellStyle name="Comma 29 2 2" xfId="28625" xr:uid="{00000000-0005-0000-0000-00008A080000}"/>
    <cellStyle name="Comma 29 3" xfId="20582" xr:uid="{00000000-0005-0000-0000-00008B080000}"/>
    <cellStyle name="Comma 3" xfId="22" xr:uid="{00000000-0005-0000-0000-00008C080000}"/>
    <cellStyle name="Comma 3 2" xfId="78" xr:uid="{00000000-0005-0000-0000-00008D080000}"/>
    <cellStyle name="Comma 3 2 2" xfId="152" xr:uid="{00000000-0005-0000-0000-00008E080000}"/>
    <cellStyle name="Comma 3 2 2 2" xfId="153" xr:uid="{00000000-0005-0000-0000-00008F080000}"/>
    <cellStyle name="Comma 3 2 2 3" xfId="2334" xr:uid="{00000000-0005-0000-0000-000090080000}"/>
    <cellStyle name="Comma 3 2 3" xfId="154" xr:uid="{00000000-0005-0000-0000-000091080000}"/>
    <cellStyle name="Comma 3 2 3 2" xfId="6675" xr:uid="{00000000-0005-0000-0000-000092080000}"/>
    <cellStyle name="Comma 3 2 4" xfId="6674" xr:uid="{00000000-0005-0000-0000-000093080000}"/>
    <cellStyle name="Comma 3 2 5" xfId="2333" xr:uid="{00000000-0005-0000-0000-000094080000}"/>
    <cellStyle name="Comma 3 3" xfId="155" xr:uid="{00000000-0005-0000-0000-000095080000}"/>
    <cellStyle name="Comma 3 3 2" xfId="6676" xr:uid="{00000000-0005-0000-0000-000096080000}"/>
    <cellStyle name="Comma 3 3 3" xfId="2335" xr:uid="{00000000-0005-0000-0000-000097080000}"/>
    <cellStyle name="Comma 3 4" xfId="2336" xr:uid="{00000000-0005-0000-0000-000098080000}"/>
    <cellStyle name="Comma 3 5" xfId="2337" xr:uid="{00000000-0005-0000-0000-000099080000}"/>
    <cellStyle name="Comma 3 6" xfId="2338" xr:uid="{00000000-0005-0000-0000-00009A080000}"/>
    <cellStyle name="Comma 3 7" xfId="2332" xr:uid="{00000000-0005-0000-0000-00009B080000}"/>
    <cellStyle name="Comma 3 8" xfId="6626" xr:uid="{00000000-0005-0000-0000-00009C080000}"/>
    <cellStyle name="Comma 3 8 2" xfId="16025" xr:uid="{00000000-0005-0000-0000-00009D080000}"/>
    <cellStyle name="Comma 3 8 2 2" xfId="32597" xr:uid="{00000000-0005-0000-0000-00009E080000}"/>
    <cellStyle name="Comma 3 8 3" xfId="24550" xr:uid="{00000000-0005-0000-0000-00009F080000}"/>
    <cellStyle name="Comma 3 9" xfId="2104" xr:uid="{00000000-0005-0000-0000-0000A0080000}"/>
    <cellStyle name="Comma 30" xfId="2073" xr:uid="{00000000-0005-0000-0000-0000A1080000}"/>
    <cellStyle name="Comma 30 2" xfId="11653" xr:uid="{00000000-0005-0000-0000-0000A2080000}"/>
    <cellStyle name="Comma 30 2 2" xfId="28408" xr:uid="{00000000-0005-0000-0000-0000A3080000}"/>
    <cellStyle name="Comma 30 3" xfId="20124" xr:uid="{00000000-0005-0000-0000-0000A4080000}"/>
    <cellStyle name="Comma 31" xfId="10413" xr:uid="{00000000-0005-0000-0000-0000A5080000}"/>
    <cellStyle name="Comma 31 2" xfId="28327" xr:uid="{00000000-0005-0000-0000-0000A6080000}"/>
    <cellStyle name="Comma 32" xfId="10416" xr:uid="{00000000-0005-0000-0000-0000A7080000}"/>
    <cellStyle name="Comma 33" xfId="10419" xr:uid="{00000000-0005-0000-0000-0000A8080000}"/>
    <cellStyle name="Comma 34" xfId="10422" xr:uid="{00000000-0005-0000-0000-0000A9080000}"/>
    <cellStyle name="Comma 35" xfId="10425" xr:uid="{00000000-0005-0000-0000-0000AA080000}"/>
    <cellStyle name="Comma 36" xfId="10428" xr:uid="{00000000-0005-0000-0000-0000AB080000}"/>
    <cellStyle name="Comma 36 2" xfId="19817" xr:uid="{00000000-0005-0000-0000-0000AC080000}"/>
    <cellStyle name="Comma 37" xfId="10431" xr:uid="{00000000-0005-0000-0000-0000AD080000}"/>
    <cellStyle name="Comma 38" xfId="10434" xr:uid="{00000000-0005-0000-0000-0000AE080000}"/>
    <cellStyle name="Comma 39" xfId="10437" xr:uid="{00000000-0005-0000-0000-0000AF080000}"/>
    <cellStyle name="Comma 4" xfId="156" xr:uid="{00000000-0005-0000-0000-0000B0080000}"/>
    <cellStyle name="Comma 4 2" xfId="157" xr:uid="{00000000-0005-0000-0000-0000B1080000}"/>
    <cellStyle name="Comma 4 2 2" xfId="6677" xr:uid="{00000000-0005-0000-0000-0000B2080000}"/>
    <cellStyle name="Comma 4 2 3" xfId="2340" xr:uid="{00000000-0005-0000-0000-0000B3080000}"/>
    <cellStyle name="Comma 4 3" xfId="2341" xr:uid="{00000000-0005-0000-0000-0000B4080000}"/>
    <cellStyle name="Comma 4 3 2" xfId="6678" xr:uid="{00000000-0005-0000-0000-0000B5080000}"/>
    <cellStyle name="Comma 4 4" xfId="2342" xr:uid="{00000000-0005-0000-0000-0000B6080000}"/>
    <cellStyle name="Comma 4 5" xfId="2343" xr:uid="{00000000-0005-0000-0000-0000B7080000}"/>
    <cellStyle name="Comma 4 6" xfId="2339" xr:uid="{00000000-0005-0000-0000-0000B8080000}"/>
    <cellStyle name="Comma 4 7" xfId="6622" xr:uid="{00000000-0005-0000-0000-0000B9080000}"/>
    <cellStyle name="Comma 4 8" xfId="2011" xr:uid="{00000000-0005-0000-0000-0000BA080000}"/>
    <cellStyle name="Comma 40" xfId="10440" xr:uid="{00000000-0005-0000-0000-0000BB080000}"/>
    <cellStyle name="Comma 41" xfId="10443" xr:uid="{00000000-0005-0000-0000-0000BC080000}"/>
    <cellStyle name="Comma 42" xfId="10446" xr:uid="{00000000-0005-0000-0000-0000BD080000}"/>
    <cellStyle name="Comma 43" xfId="10449" xr:uid="{00000000-0005-0000-0000-0000BE080000}"/>
    <cellStyle name="Comma 44" xfId="10452" xr:uid="{00000000-0005-0000-0000-0000BF080000}"/>
    <cellStyle name="Comma 45" xfId="10455" xr:uid="{00000000-0005-0000-0000-0000C0080000}"/>
    <cellStyle name="Comma 46" xfId="10458" xr:uid="{00000000-0005-0000-0000-0000C1080000}"/>
    <cellStyle name="Comma 47" xfId="10461" xr:uid="{00000000-0005-0000-0000-0000C2080000}"/>
    <cellStyle name="Comma 48" xfId="10464" xr:uid="{00000000-0005-0000-0000-0000C3080000}"/>
    <cellStyle name="Comma 49" xfId="10467" xr:uid="{00000000-0005-0000-0000-0000C4080000}"/>
    <cellStyle name="Comma 5" xfId="158" xr:uid="{00000000-0005-0000-0000-0000C5080000}"/>
    <cellStyle name="Comma 5 2" xfId="159" xr:uid="{00000000-0005-0000-0000-0000C6080000}"/>
    <cellStyle name="Comma 5 2 2" xfId="160" xr:uid="{00000000-0005-0000-0000-0000C7080000}"/>
    <cellStyle name="Comma 5 2 2 2" xfId="12107" xr:uid="{00000000-0005-0000-0000-0000C8080000}"/>
    <cellStyle name="Comma 5 2 2 2 2" xfId="28626" xr:uid="{00000000-0005-0000-0000-0000C9080000}"/>
    <cellStyle name="Comma 5 2 2 2 3" xfId="36874" xr:uid="{00000000-0005-0000-0000-0000CA080000}"/>
    <cellStyle name="Comma 5 2 2 3" xfId="20583" xr:uid="{00000000-0005-0000-0000-0000CB080000}"/>
    <cellStyle name="Comma 5 2 3" xfId="2346" xr:uid="{00000000-0005-0000-0000-0000CC080000}"/>
    <cellStyle name="Comma 5 2 3 2" xfId="12108" xr:uid="{00000000-0005-0000-0000-0000CD080000}"/>
    <cellStyle name="Comma 5 2 3 2 2" xfId="28627" xr:uid="{00000000-0005-0000-0000-0000CE080000}"/>
    <cellStyle name="Comma 5 2 3 3" xfId="20584" xr:uid="{00000000-0005-0000-0000-0000CF080000}"/>
    <cellStyle name="Comma 5 2 3 4" xfId="36873" xr:uid="{00000000-0005-0000-0000-0000D0080000}"/>
    <cellStyle name="Comma 5 2 4" xfId="6679" xr:uid="{00000000-0005-0000-0000-0000D1080000}"/>
    <cellStyle name="Comma 5 2 5" xfId="2345" xr:uid="{00000000-0005-0000-0000-0000D2080000}"/>
    <cellStyle name="Comma 5 3" xfId="161" xr:uid="{00000000-0005-0000-0000-0000D3080000}"/>
    <cellStyle name="Comma 5 3 2" xfId="2348" xr:uid="{00000000-0005-0000-0000-0000D4080000}"/>
    <cellStyle name="Comma 5 3 2 2" xfId="12109" xr:uid="{00000000-0005-0000-0000-0000D5080000}"/>
    <cellStyle name="Comma 5 3 2 2 2" xfId="28628" xr:uid="{00000000-0005-0000-0000-0000D6080000}"/>
    <cellStyle name="Comma 5 3 2 3" xfId="20585" xr:uid="{00000000-0005-0000-0000-0000D7080000}"/>
    <cellStyle name="Comma 5 3 2 4" xfId="36875" xr:uid="{00000000-0005-0000-0000-0000D8080000}"/>
    <cellStyle name="Comma 5 3 3" xfId="2347" xr:uid="{00000000-0005-0000-0000-0000D9080000}"/>
    <cellStyle name="Comma 5 4" xfId="343" xr:uid="{00000000-0005-0000-0000-0000DA080000}"/>
    <cellStyle name="Comma 5 4 2" xfId="2349" xr:uid="{00000000-0005-0000-0000-0000DB080000}"/>
    <cellStyle name="Comma 5 4 2 2" xfId="36876" xr:uid="{00000000-0005-0000-0000-0000DC080000}"/>
    <cellStyle name="Comma 5 5" xfId="1696" xr:uid="{00000000-0005-0000-0000-0000DD080000}"/>
    <cellStyle name="Comma 5 5 2" xfId="2350" xr:uid="{00000000-0005-0000-0000-0000DE080000}"/>
    <cellStyle name="Comma 5 6" xfId="1669" xr:uid="{00000000-0005-0000-0000-0000DF080000}"/>
    <cellStyle name="Comma 5 7" xfId="6615" xr:uid="{00000000-0005-0000-0000-0000E0080000}"/>
    <cellStyle name="Comma 5 8" xfId="2344" xr:uid="{00000000-0005-0000-0000-0000E1080000}"/>
    <cellStyle name="Comma 50" xfId="10470" xr:uid="{00000000-0005-0000-0000-0000E2080000}"/>
    <cellStyle name="Comma 51" xfId="10473" xr:uid="{00000000-0005-0000-0000-0000E3080000}"/>
    <cellStyle name="Comma 52" xfId="10476" xr:uid="{00000000-0005-0000-0000-0000E4080000}"/>
    <cellStyle name="Comma 53" xfId="10479" xr:uid="{00000000-0005-0000-0000-0000E5080000}"/>
    <cellStyle name="Comma 54" xfId="10482" xr:uid="{00000000-0005-0000-0000-0000E6080000}"/>
    <cellStyle name="Comma 55" xfId="10485" xr:uid="{00000000-0005-0000-0000-0000E7080000}"/>
    <cellStyle name="Comma 56" xfId="10488" xr:uid="{00000000-0005-0000-0000-0000E8080000}"/>
    <cellStyle name="Comma 57" xfId="10491" xr:uid="{00000000-0005-0000-0000-0000E9080000}"/>
    <cellStyle name="Comma 58" xfId="10494" xr:uid="{00000000-0005-0000-0000-0000EA080000}"/>
    <cellStyle name="Comma 59" xfId="10497" xr:uid="{00000000-0005-0000-0000-0000EB080000}"/>
    <cellStyle name="Comma 6" xfId="162" xr:uid="{00000000-0005-0000-0000-0000EC080000}"/>
    <cellStyle name="Comma 6 2" xfId="1697" xr:uid="{00000000-0005-0000-0000-0000ED080000}"/>
    <cellStyle name="Comma 6 2 2" xfId="2352" xr:uid="{00000000-0005-0000-0000-0000EE080000}"/>
    <cellStyle name="Comma 6 2 3" xfId="2351" xr:uid="{00000000-0005-0000-0000-0000EF080000}"/>
    <cellStyle name="Comma 6 3" xfId="2353" xr:uid="{00000000-0005-0000-0000-0000F0080000}"/>
    <cellStyle name="Comma 6 4" xfId="2354" xr:uid="{00000000-0005-0000-0000-0000F1080000}"/>
    <cellStyle name="Comma 60" xfId="10500" xr:uid="{00000000-0005-0000-0000-0000F2080000}"/>
    <cellStyle name="Comma 61" xfId="10503" xr:uid="{00000000-0005-0000-0000-0000F3080000}"/>
    <cellStyle name="Comma 62" xfId="10506" xr:uid="{00000000-0005-0000-0000-0000F4080000}"/>
    <cellStyle name="Comma 63" xfId="10509" xr:uid="{00000000-0005-0000-0000-0000F5080000}"/>
    <cellStyle name="Comma 64" xfId="10512" xr:uid="{00000000-0005-0000-0000-0000F6080000}"/>
    <cellStyle name="Comma 65" xfId="10515" xr:uid="{00000000-0005-0000-0000-0000F7080000}"/>
    <cellStyle name="Comma 66" xfId="10518" xr:uid="{00000000-0005-0000-0000-0000F8080000}"/>
    <cellStyle name="Comma 67" xfId="10521" xr:uid="{00000000-0005-0000-0000-0000F9080000}"/>
    <cellStyle name="Comma 68" xfId="10524" xr:uid="{00000000-0005-0000-0000-0000FA080000}"/>
    <cellStyle name="Comma 69" xfId="10527" xr:uid="{00000000-0005-0000-0000-0000FB080000}"/>
    <cellStyle name="Comma 7" xfId="18" xr:uid="{00000000-0005-0000-0000-0000FC080000}"/>
    <cellStyle name="Comma 7 10" xfId="2356" xr:uid="{00000000-0005-0000-0000-0000FD080000}"/>
    <cellStyle name="Comma 7 11" xfId="2357" xr:uid="{00000000-0005-0000-0000-0000FE080000}"/>
    <cellStyle name="Comma 7 12" xfId="2358" xr:uid="{00000000-0005-0000-0000-0000FF080000}"/>
    <cellStyle name="Comma 7 13" xfId="2359" xr:uid="{00000000-0005-0000-0000-000000090000}"/>
    <cellStyle name="Comma 7 14" xfId="2360" xr:uid="{00000000-0005-0000-0000-000001090000}"/>
    <cellStyle name="Comma 7 15" xfId="2361" xr:uid="{00000000-0005-0000-0000-000002090000}"/>
    <cellStyle name="Comma 7 16" xfId="2362" xr:uid="{00000000-0005-0000-0000-000003090000}"/>
    <cellStyle name="Comma 7 17" xfId="2363" xr:uid="{00000000-0005-0000-0000-000004090000}"/>
    <cellStyle name="Comma 7 18" xfId="2355" xr:uid="{00000000-0005-0000-0000-000005090000}"/>
    <cellStyle name="Comma 7 2" xfId="1698" xr:uid="{00000000-0005-0000-0000-000006090000}"/>
    <cellStyle name="Comma 7 2 2" xfId="2365" xr:uid="{00000000-0005-0000-0000-000007090000}"/>
    <cellStyle name="Comma 7 2 2 2" xfId="2366" xr:uid="{00000000-0005-0000-0000-000008090000}"/>
    <cellStyle name="Comma 7 2 3" xfId="2367" xr:uid="{00000000-0005-0000-0000-000009090000}"/>
    <cellStyle name="Comma 7 2 4" xfId="2368" xr:uid="{00000000-0005-0000-0000-00000A090000}"/>
    <cellStyle name="Comma 7 2 5" xfId="2364" xr:uid="{00000000-0005-0000-0000-00000B090000}"/>
    <cellStyle name="Comma 7 3" xfId="2369" xr:uid="{00000000-0005-0000-0000-00000C090000}"/>
    <cellStyle name="Comma 7 3 2" xfId="2370" xr:uid="{00000000-0005-0000-0000-00000D090000}"/>
    <cellStyle name="Comma 7 3 3" xfId="2371" xr:uid="{00000000-0005-0000-0000-00000E090000}"/>
    <cellStyle name="Comma 7 4" xfId="2372" xr:uid="{00000000-0005-0000-0000-00000F090000}"/>
    <cellStyle name="Comma 7 5" xfId="2373" xr:uid="{00000000-0005-0000-0000-000010090000}"/>
    <cellStyle name="Comma 7 6" xfId="2374" xr:uid="{00000000-0005-0000-0000-000011090000}"/>
    <cellStyle name="Comma 7 7" xfId="2375" xr:uid="{00000000-0005-0000-0000-000012090000}"/>
    <cellStyle name="Comma 7 8" xfId="2376" xr:uid="{00000000-0005-0000-0000-000013090000}"/>
    <cellStyle name="Comma 7 9" xfId="2377" xr:uid="{00000000-0005-0000-0000-000014090000}"/>
    <cellStyle name="Comma 70" xfId="10530" xr:uid="{00000000-0005-0000-0000-000015090000}"/>
    <cellStyle name="Comma 71" xfId="10533" xr:uid="{00000000-0005-0000-0000-000016090000}"/>
    <cellStyle name="Comma 72" xfId="10536" xr:uid="{00000000-0005-0000-0000-000017090000}"/>
    <cellStyle name="Comma 73" xfId="10539" xr:uid="{00000000-0005-0000-0000-000018090000}"/>
    <cellStyle name="Comma 74" xfId="10542" xr:uid="{00000000-0005-0000-0000-000019090000}"/>
    <cellStyle name="Comma 75" xfId="10545" xr:uid="{00000000-0005-0000-0000-00001A090000}"/>
    <cellStyle name="Comma 76" xfId="10548" xr:uid="{00000000-0005-0000-0000-00001B090000}"/>
    <cellStyle name="Comma 77" xfId="10551" xr:uid="{00000000-0005-0000-0000-00001C090000}"/>
    <cellStyle name="Comma 78" xfId="10554" xr:uid="{00000000-0005-0000-0000-00001D090000}"/>
    <cellStyle name="Comma 79" xfId="10557" xr:uid="{00000000-0005-0000-0000-00001E090000}"/>
    <cellStyle name="Comma 8" xfId="344" xr:uid="{00000000-0005-0000-0000-00001F090000}"/>
    <cellStyle name="Comma 8 2" xfId="1699" xr:uid="{00000000-0005-0000-0000-000020090000}"/>
    <cellStyle name="Comma 8 2 2" xfId="2380" xr:uid="{00000000-0005-0000-0000-000021090000}"/>
    <cellStyle name="Comma 8 2 3" xfId="2379" xr:uid="{00000000-0005-0000-0000-000022090000}"/>
    <cellStyle name="Comma 8 3" xfId="2381" xr:uid="{00000000-0005-0000-0000-000023090000}"/>
    <cellStyle name="Comma 8 3 2" xfId="2382" xr:uid="{00000000-0005-0000-0000-000024090000}"/>
    <cellStyle name="Comma 8 3 2 2" xfId="2383" xr:uid="{00000000-0005-0000-0000-000025090000}"/>
    <cellStyle name="Comma 8 3 2 2 2" xfId="12111" xr:uid="{00000000-0005-0000-0000-000026090000}"/>
    <cellStyle name="Comma 8 3 2 2 2 2" xfId="28630" xr:uid="{00000000-0005-0000-0000-000027090000}"/>
    <cellStyle name="Comma 8 3 2 2 3" xfId="20587" xr:uid="{00000000-0005-0000-0000-000028090000}"/>
    <cellStyle name="Comma 8 3 2 3" xfId="2384" xr:uid="{00000000-0005-0000-0000-000029090000}"/>
    <cellStyle name="Comma 8 3 2 3 2" xfId="12112" xr:uid="{00000000-0005-0000-0000-00002A090000}"/>
    <cellStyle name="Comma 8 3 2 3 2 2" xfId="28631" xr:uid="{00000000-0005-0000-0000-00002B090000}"/>
    <cellStyle name="Comma 8 3 2 3 3" xfId="20588" xr:uid="{00000000-0005-0000-0000-00002C090000}"/>
    <cellStyle name="Comma 8 3 2 4" xfId="12110" xr:uid="{00000000-0005-0000-0000-00002D090000}"/>
    <cellStyle name="Comma 8 3 2 4 2" xfId="28629" xr:uid="{00000000-0005-0000-0000-00002E090000}"/>
    <cellStyle name="Comma 8 3 2 5" xfId="20586" xr:uid="{00000000-0005-0000-0000-00002F090000}"/>
    <cellStyle name="Comma 8 3 3" xfId="2385" xr:uid="{00000000-0005-0000-0000-000030090000}"/>
    <cellStyle name="Comma 8 3 3 2" xfId="12113" xr:uid="{00000000-0005-0000-0000-000031090000}"/>
    <cellStyle name="Comma 8 3 3 2 2" xfId="28632" xr:uid="{00000000-0005-0000-0000-000032090000}"/>
    <cellStyle name="Comma 8 3 3 3" xfId="20589" xr:uid="{00000000-0005-0000-0000-000033090000}"/>
    <cellStyle name="Comma 8 4" xfId="2386" xr:uid="{00000000-0005-0000-0000-000034090000}"/>
    <cellStyle name="Comma 8 4 2" xfId="2387" xr:uid="{00000000-0005-0000-0000-000035090000}"/>
    <cellStyle name="Comma 8 4 2 2" xfId="2388" xr:uid="{00000000-0005-0000-0000-000036090000}"/>
    <cellStyle name="Comma 8 4 2 2 2" xfId="2389" xr:uid="{00000000-0005-0000-0000-000037090000}"/>
    <cellStyle name="Comma 8 4 2 2 2 2" xfId="2390" xr:uid="{00000000-0005-0000-0000-000038090000}"/>
    <cellStyle name="Comma 8 4 2 2 2 2 2" xfId="12118" xr:uid="{00000000-0005-0000-0000-000039090000}"/>
    <cellStyle name="Comma 8 4 2 2 2 2 2 2" xfId="28637" xr:uid="{00000000-0005-0000-0000-00003A090000}"/>
    <cellStyle name="Comma 8 4 2 2 2 2 3" xfId="20594" xr:uid="{00000000-0005-0000-0000-00003B090000}"/>
    <cellStyle name="Comma 8 4 2 2 2 3" xfId="12117" xr:uid="{00000000-0005-0000-0000-00003C090000}"/>
    <cellStyle name="Comma 8 4 2 2 2 3 2" xfId="28636" xr:uid="{00000000-0005-0000-0000-00003D090000}"/>
    <cellStyle name="Comma 8 4 2 2 2 4" xfId="20593" xr:uid="{00000000-0005-0000-0000-00003E090000}"/>
    <cellStyle name="Comma 8 4 2 2 3" xfId="12116" xr:uid="{00000000-0005-0000-0000-00003F090000}"/>
    <cellStyle name="Comma 8 4 2 2 3 2" xfId="28635" xr:uid="{00000000-0005-0000-0000-000040090000}"/>
    <cellStyle name="Comma 8 4 2 2 4" xfId="20592" xr:uid="{00000000-0005-0000-0000-000041090000}"/>
    <cellStyle name="Comma 8 4 2 3" xfId="12115" xr:uid="{00000000-0005-0000-0000-000042090000}"/>
    <cellStyle name="Comma 8 4 2 3 2" xfId="28634" xr:uid="{00000000-0005-0000-0000-000043090000}"/>
    <cellStyle name="Comma 8 4 2 4" xfId="20591" xr:uid="{00000000-0005-0000-0000-000044090000}"/>
    <cellStyle name="Comma 8 4 3" xfId="12114" xr:uid="{00000000-0005-0000-0000-000045090000}"/>
    <cellStyle name="Comma 8 4 3 2" xfId="28633" xr:uid="{00000000-0005-0000-0000-000046090000}"/>
    <cellStyle name="Comma 8 4 4" xfId="20590" xr:uid="{00000000-0005-0000-0000-000047090000}"/>
    <cellStyle name="Comma 8 5" xfId="2391" xr:uid="{00000000-0005-0000-0000-000048090000}"/>
    <cellStyle name="Comma 8 6" xfId="2378" xr:uid="{00000000-0005-0000-0000-000049090000}"/>
    <cellStyle name="Comma 80" xfId="10560" xr:uid="{00000000-0005-0000-0000-00004A090000}"/>
    <cellStyle name="Comma 81" xfId="10563" xr:uid="{00000000-0005-0000-0000-00004B090000}"/>
    <cellStyle name="Comma 82" xfId="10566" xr:uid="{00000000-0005-0000-0000-00004C090000}"/>
    <cellStyle name="Comma 83" xfId="10569" xr:uid="{00000000-0005-0000-0000-00004D090000}"/>
    <cellStyle name="Comma 84" xfId="10572" xr:uid="{00000000-0005-0000-0000-00004E090000}"/>
    <cellStyle name="Comma 85" xfId="10575" xr:uid="{00000000-0005-0000-0000-00004F090000}"/>
    <cellStyle name="Comma 86" xfId="10578" xr:uid="{00000000-0005-0000-0000-000050090000}"/>
    <cellStyle name="Comma 87" xfId="10581" xr:uid="{00000000-0005-0000-0000-000051090000}"/>
    <cellStyle name="Comma 88" xfId="10584" xr:uid="{00000000-0005-0000-0000-000052090000}"/>
    <cellStyle name="Comma 89" xfId="10587" xr:uid="{00000000-0005-0000-0000-000053090000}"/>
    <cellStyle name="Comma 9" xfId="345" xr:uid="{00000000-0005-0000-0000-000054090000}"/>
    <cellStyle name="Comma 9 2" xfId="1700" xr:uid="{00000000-0005-0000-0000-000055090000}"/>
    <cellStyle name="Comma 9 2 2" xfId="2394" xr:uid="{00000000-0005-0000-0000-000056090000}"/>
    <cellStyle name="Comma 9 2 3" xfId="2393" xr:uid="{00000000-0005-0000-0000-000057090000}"/>
    <cellStyle name="Comma 9 3" xfId="2395" xr:uid="{00000000-0005-0000-0000-000058090000}"/>
    <cellStyle name="Comma 9 4" xfId="2396" xr:uid="{00000000-0005-0000-0000-000059090000}"/>
    <cellStyle name="Comma 9 5" xfId="6680" xr:uid="{00000000-0005-0000-0000-00005A090000}"/>
    <cellStyle name="Comma 9 6" xfId="2392" xr:uid="{00000000-0005-0000-0000-00005B090000}"/>
    <cellStyle name="Comma 90" xfId="10590" xr:uid="{00000000-0005-0000-0000-00005C090000}"/>
    <cellStyle name="Comma 91" xfId="10593" xr:uid="{00000000-0005-0000-0000-00005D090000}"/>
    <cellStyle name="Comma 92" xfId="10596" xr:uid="{00000000-0005-0000-0000-00005E090000}"/>
    <cellStyle name="Comma 93" xfId="10599" xr:uid="{00000000-0005-0000-0000-00005F090000}"/>
    <cellStyle name="Comma 94" xfId="10602" xr:uid="{00000000-0005-0000-0000-000060090000}"/>
    <cellStyle name="Comma 95" xfId="10605" xr:uid="{00000000-0005-0000-0000-000061090000}"/>
    <cellStyle name="Comma 96" xfId="10608" xr:uid="{00000000-0005-0000-0000-000062090000}"/>
    <cellStyle name="Comma 97" xfId="10611" xr:uid="{00000000-0005-0000-0000-000063090000}"/>
    <cellStyle name="Comma 98" xfId="10614" xr:uid="{00000000-0005-0000-0000-000064090000}"/>
    <cellStyle name="Comma 99" xfId="10617" xr:uid="{00000000-0005-0000-0000-000065090000}"/>
    <cellStyle name="Comma Cents" xfId="495" xr:uid="{00000000-0005-0000-0000-000066090000}"/>
    <cellStyle name="comma[0]" xfId="346" xr:uid="{00000000-0005-0000-0000-000067090000}"/>
    <cellStyle name="comma[0] 2" xfId="496" xr:uid="{00000000-0005-0000-0000-000068090000}"/>
    <cellStyle name="comma[1]" xfId="347" xr:uid="{00000000-0005-0000-0000-000069090000}"/>
    <cellStyle name="comma[1] 2" xfId="348" xr:uid="{00000000-0005-0000-0000-00006A090000}"/>
    <cellStyle name="comma[1] 2 2" xfId="1701" xr:uid="{00000000-0005-0000-0000-00006B090000}"/>
    <cellStyle name="comma[1] 3" xfId="349" xr:uid="{00000000-0005-0000-0000-00006C090000}"/>
    <cellStyle name="comma[1] 3 2" xfId="1702" xr:uid="{00000000-0005-0000-0000-00006D090000}"/>
    <cellStyle name="comma[1] 4" xfId="350" xr:uid="{00000000-0005-0000-0000-00006E090000}"/>
    <cellStyle name="comma[1] 4 2" xfId="351" xr:uid="{00000000-0005-0000-0000-00006F090000}"/>
    <cellStyle name="comma[1] 4 2 2" xfId="1704" xr:uid="{00000000-0005-0000-0000-000070090000}"/>
    <cellStyle name="comma[1] 4 3" xfId="1703" xr:uid="{00000000-0005-0000-0000-000071090000}"/>
    <cellStyle name="comma[2]" xfId="352" xr:uid="{00000000-0005-0000-0000-000072090000}"/>
    <cellStyle name="Comma_EMC072000" xfId="36953" xr:uid="{EB549EB2-7BBF-4E36-9D0A-FA841A075301}"/>
    <cellStyle name="Comma0" xfId="1867" xr:uid="{00000000-0005-0000-0000-000073090000}"/>
    <cellStyle name="Company" xfId="1868" xr:uid="{00000000-0005-0000-0000-000074090000}"/>
    <cellStyle name="Company Name" xfId="2003" xr:uid="{00000000-0005-0000-0000-000075090000}"/>
    <cellStyle name="CompanyName" xfId="1869" xr:uid="{00000000-0005-0000-0000-000076090000}"/>
    <cellStyle name="CompanyTitle" xfId="497" xr:uid="{00000000-0005-0000-0000-000077090000}"/>
    <cellStyle name="CR Comma" xfId="6681" xr:uid="{00000000-0005-0000-0000-000078090000}"/>
    <cellStyle name="CR Currency" xfId="6682" xr:uid="{00000000-0005-0000-0000-000079090000}"/>
    <cellStyle name="CurRatio" xfId="1870" xr:uid="{00000000-0005-0000-0000-00007A090000}"/>
    <cellStyle name="Currency" xfId="2" builtinId="4"/>
    <cellStyle name="Currency $" xfId="498" xr:uid="{00000000-0005-0000-0000-00007C090000}"/>
    <cellStyle name="Currency [1]" xfId="353" xr:uid="{00000000-0005-0000-0000-00007D090000}"/>
    <cellStyle name="Currency [1] 2" xfId="499" xr:uid="{00000000-0005-0000-0000-00007E090000}"/>
    <cellStyle name="Currency [1] 3" xfId="1596" xr:uid="{00000000-0005-0000-0000-00007F090000}"/>
    <cellStyle name="Currency [1] 3 2" xfId="1639" xr:uid="{00000000-0005-0000-0000-000080090000}"/>
    <cellStyle name="Currency [1] 3 2 2" xfId="11196" xr:uid="{00000000-0005-0000-0000-000081090000}"/>
    <cellStyle name="Currency [1] 3 2 3" xfId="36787" xr:uid="{00000000-0005-0000-0000-000082090000}"/>
    <cellStyle name="Currency [1] 3 2 4" xfId="36641" xr:uid="{00000000-0005-0000-0000-000083090000}"/>
    <cellStyle name="Currency [1] 3 2 5" xfId="36653" xr:uid="{00000000-0005-0000-0000-000084090000}"/>
    <cellStyle name="Currency [1] 3 3" xfId="1658" xr:uid="{00000000-0005-0000-0000-000085090000}"/>
    <cellStyle name="Currency [1] 3 3 2" xfId="11215" xr:uid="{00000000-0005-0000-0000-000086090000}"/>
    <cellStyle name="Currency [1] 3 3 3" xfId="36806" xr:uid="{00000000-0005-0000-0000-000087090000}"/>
    <cellStyle name="Currency [1] 3 3 4" xfId="36908" xr:uid="{00000000-0005-0000-0000-000088090000}"/>
    <cellStyle name="Currency [1] 3 3 5" xfId="36663" xr:uid="{00000000-0005-0000-0000-000089090000}"/>
    <cellStyle name="Currency [1] 3 4" xfId="11157" xr:uid="{00000000-0005-0000-0000-00008A090000}"/>
    <cellStyle name="Currency [1] 3 5" xfId="36748" xr:uid="{00000000-0005-0000-0000-00008B090000}"/>
    <cellStyle name="Currency [1] 3 6" xfId="36943" xr:uid="{00000000-0005-0000-0000-00008C090000}"/>
    <cellStyle name="Currency [1] 3 7" xfId="36659" xr:uid="{00000000-0005-0000-0000-00008D090000}"/>
    <cellStyle name="Currency [1] 4" xfId="36375" xr:uid="{00000000-0005-0000-0000-00008E090000}"/>
    <cellStyle name="Currency [1] 5" xfId="11113" xr:uid="{00000000-0005-0000-0000-00008F090000}"/>
    <cellStyle name="Currency [1] 6" xfId="36678" xr:uid="{00000000-0005-0000-0000-000090090000}"/>
    <cellStyle name="Currency [2]" xfId="354" xr:uid="{00000000-0005-0000-0000-000091090000}"/>
    <cellStyle name="Currency [2] 2" xfId="355" xr:uid="{00000000-0005-0000-0000-000092090000}"/>
    <cellStyle name="Currency [2] 2 2" xfId="1706" xr:uid="{00000000-0005-0000-0000-000093090000}"/>
    <cellStyle name="Currency [2] 3" xfId="356" xr:uid="{00000000-0005-0000-0000-000094090000}"/>
    <cellStyle name="Currency [2] 3 2" xfId="1707" xr:uid="{00000000-0005-0000-0000-000095090000}"/>
    <cellStyle name="Currency [2] 4" xfId="357" xr:uid="{00000000-0005-0000-0000-000096090000}"/>
    <cellStyle name="Currency [2] 4 2" xfId="358" xr:uid="{00000000-0005-0000-0000-000097090000}"/>
    <cellStyle name="Currency [2] 4 2 2" xfId="1709" xr:uid="{00000000-0005-0000-0000-000098090000}"/>
    <cellStyle name="Currency [2] 4 3" xfId="1708" xr:uid="{00000000-0005-0000-0000-000099090000}"/>
    <cellStyle name="Currency [2] 5" xfId="500" xr:uid="{00000000-0005-0000-0000-00009A090000}"/>
    <cellStyle name="Currency [2] 6" xfId="1871" xr:uid="{00000000-0005-0000-0000-00009B090000}"/>
    <cellStyle name="Currency [2]_BBBB 2 4 09" xfId="359" xr:uid="{00000000-0005-0000-0000-00009C090000}"/>
    <cellStyle name="Currency 0.00" xfId="6628" xr:uid="{00000000-0005-0000-0000-00009D090000}"/>
    <cellStyle name="Currency 10" xfId="1705" xr:uid="{00000000-0005-0000-0000-00009E090000}"/>
    <cellStyle name="Currency 10 2" xfId="2397" xr:uid="{00000000-0005-0000-0000-00009F090000}"/>
    <cellStyle name="Currency 10 3" xfId="6683" xr:uid="{00000000-0005-0000-0000-0000A0090000}"/>
    <cellStyle name="Currency 10 3 2" xfId="16053" xr:uid="{00000000-0005-0000-0000-0000A1090000}"/>
    <cellStyle name="Currency 10 3 2 2" xfId="32626" xr:uid="{00000000-0005-0000-0000-0000A2090000}"/>
    <cellStyle name="Currency 10 3 3" xfId="24579" xr:uid="{00000000-0005-0000-0000-0000A3090000}"/>
    <cellStyle name="Currency 11" xfId="1714" xr:uid="{00000000-0005-0000-0000-0000A4090000}"/>
    <cellStyle name="Currency 11 2" xfId="6684" xr:uid="{00000000-0005-0000-0000-0000A5090000}"/>
    <cellStyle name="Currency 11 2 2" xfId="32627" xr:uid="{00000000-0005-0000-0000-0000A6090000}"/>
    <cellStyle name="Currency 11 3" xfId="24580" xr:uid="{00000000-0005-0000-0000-0000A7090000}"/>
    <cellStyle name="Currency 12" xfId="1670" xr:uid="{00000000-0005-0000-0000-0000A8090000}"/>
    <cellStyle name="Currency 13" xfId="1691" xr:uid="{00000000-0005-0000-0000-0000A9090000}"/>
    <cellStyle name="Currency 13 2" xfId="36878" xr:uid="{00000000-0005-0000-0000-0000AA090000}"/>
    <cellStyle name="Currency 14" xfId="1736" xr:uid="{00000000-0005-0000-0000-0000AB090000}"/>
    <cellStyle name="Currency 14 2" xfId="6618" xr:uid="{00000000-0005-0000-0000-0000AC090000}"/>
    <cellStyle name="Currency 15" xfId="1780" xr:uid="{00000000-0005-0000-0000-0000AD090000}"/>
    <cellStyle name="Currency 15 2" xfId="11302" xr:uid="{00000000-0005-0000-0000-0000AE090000}"/>
    <cellStyle name="Currency 15 3" xfId="36877" xr:uid="{00000000-0005-0000-0000-0000AF090000}"/>
    <cellStyle name="Currency 16" xfId="10940" xr:uid="{00000000-0005-0000-0000-0000B0090000}"/>
    <cellStyle name="Currency 16 2" xfId="19796" xr:uid="{00000000-0005-0000-0000-0000B1090000}"/>
    <cellStyle name="Currency 16 3" xfId="36913" xr:uid="{00000000-0005-0000-0000-0000B2090000}"/>
    <cellStyle name="Currency 17" xfId="11079" xr:uid="{00000000-0005-0000-0000-0000B3090000}"/>
    <cellStyle name="Currency 17 2" xfId="19797" xr:uid="{00000000-0005-0000-0000-0000B4090000}"/>
    <cellStyle name="Currency 17 3" xfId="36871" xr:uid="{00000000-0005-0000-0000-0000B5090000}"/>
    <cellStyle name="Currency 18" xfId="19798" xr:uid="{00000000-0005-0000-0000-0000B6090000}"/>
    <cellStyle name="Currency 19" xfId="19799" xr:uid="{00000000-0005-0000-0000-0000B7090000}"/>
    <cellStyle name="Currency 2" xfId="8" xr:uid="{00000000-0005-0000-0000-0000B8090000}"/>
    <cellStyle name="Currency 2 2" xfId="25" xr:uid="{00000000-0005-0000-0000-0000B9090000}"/>
    <cellStyle name="Currency 2 2 2" xfId="75" xr:uid="{00000000-0005-0000-0000-0000BA090000}"/>
    <cellStyle name="Currency 2 2 2 2" xfId="163" xr:uid="{00000000-0005-0000-0000-0000BB090000}"/>
    <cellStyle name="Currency 2 2 3" xfId="164" xr:uid="{00000000-0005-0000-0000-0000BC090000}"/>
    <cellStyle name="Currency 2 2 3 2" xfId="6632" xr:uid="{00000000-0005-0000-0000-0000BD090000}"/>
    <cellStyle name="Currency 2 2 3 2 2" xfId="32599" xr:uid="{00000000-0005-0000-0000-0000BE090000}"/>
    <cellStyle name="Currency 2 2 3 3" xfId="24552" xr:uid="{00000000-0005-0000-0000-0000BF090000}"/>
    <cellStyle name="Currency 2 3" xfId="80" xr:uid="{00000000-0005-0000-0000-0000C0090000}"/>
    <cellStyle name="Currency 2 3 2" xfId="165" xr:uid="{00000000-0005-0000-0000-0000C1090000}"/>
    <cellStyle name="Currency 2 3 3" xfId="2399" xr:uid="{00000000-0005-0000-0000-0000C2090000}"/>
    <cellStyle name="Currency 2 4" xfId="166" xr:uid="{00000000-0005-0000-0000-0000C3090000}"/>
    <cellStyle name="Currency 2 4 2" xfId="2400" xr:uid="{00000000-0005-0000-0000-0000C4090000}"/>
    <cellStyle name="Currency 2 5" xfId="1671" xr:uid="{00000000-0005-0000-0000-0000C5090000}"/>
    <cellStyle name="Currency 2 5 2" xfId="2398" xr:uid="{00000000-0005-0000-0000-0000C6090000}"/>
    <cellStyle name="Currency 2 6" xfId="6625" xr:uid="{00000000-0005-0000-0000-0000C7090000}"/>
    <cellStyle name="Currency 2 7" xfId="10894" xr:uid="{00000000-0005-0000-0000-0000C8090000}"/>
    <cellStyle name="Currency 2 7 2" xfId="28348" xr:uid="{00000000-0005-0000-0000-0000C9090000}"/>
    <cellStyle name="Currency 2 8" xfId="2004" xr:uid="{00000000-0005-0000-0000-0000CA090000}"/>
    <cellStyle name="Currency 20" xfId="19815" xr:uid="{00000000-0005-0000-0000-0000CB090000}"/>
    <cellStyle name="Currency 21" xfId="19800" xr:uid="{00000000-0005-0000-0000-0000CC090000}"/>
    <cellStyle name="Currency 22" xfId="11297" xr:uid="{00000000-0005-0000-0000-0000CD090000}"/>
    <cellStyle name="Currency 23" xfId="36374" xr:uid="{00000000-0005-0000-0000-0000CE090000}"/>
    <cellStyle name="Currency 3" xfId="26" xr:uid="{00000000-0005-0000-0000-0000CF090000}"/>
    <cellStyle name="Currency 3 10" xfId="2006" xr:uid="{00000000-0005-0000-0000-0000D0090000}"/>
    <cellStyle name="Currency 3 2" xfId="74" xr:uid="{00000000-0005-0000-0000-0000D1090000}"/>
    <cellStyle name="Currency 3 2 2" xfId="167" xr:uid="{00000000-0005-0000-0000-0000D2090000}"/>
    <cellStyle name="Currency 3 2 2 2" xfId="6686" xr:uid="{00000000-0005-0000-0000-0000D3090000}"/>
    <cellStyle name="Currency 3 2 3" xfId="6685" xr:uid="{00000000-0005-0000-0000-0000D4090000}"/>
    <cellStyle name="Currency 3 2 3 2" xfId="16054" xr:uid="{00000000-0005-0000-0000-0000D5090000}"/>
    <cellStyle name="Currency 3 2 3 2 2" xfId="32628" xr:uid="{00000000-0005-0000-0000-0000D6090000}"/>
    <cellStyle name="Currency 3 2 3 3" xfId="24581" xr:uid="{00000000-0005-0000-0000-0000D7090000}"/>
    <cellStyle name="Currency 3 2 4" xfId="2402" xr:uid="{00000000-0005-0000-0000-0000D8090000}"/>
    <cellStyle name="Currency 3 3" xfId="168" xr:uid="{00000000-0005-0000-0000-0000D9090000}"/>
    <cellStyle name="Currency 3 3 2" xfId="6688" xr:uid="{00000000-0005-0000-0000-0000DA090000}"/>
    <cellStyle name="Currency 3 3 3" xfId="6687" xr:uid="{00000000-0005-0000-0000-0000DB090000}"/>
    <cellStyle name="Currency 3 3 4" xfId="2403" xr:uid="{00000000-0005-0000-0000-0000DC090000}"/>
    <cellStyle name="Currency 3 4" xfId="2404" xr:uid="{00000000-0005-0000-0000-0000DD090000}"/>
    <cellStyle name="Currency 3 4 2" xfId="2405" xr:uid="{00000000-0005-0000-0000-0000DE090000}"/>
    <cellStyle name="Currency 3 4 2 2" xfId="2406" xr:uid="{00000000-0005-0000-0000-0000DF090000}"/>
    <cellStyle name="Currency 3 4 2 2 2" xfId="6689" xr:uid="{00000000-0005-0000-0000-0000E0090000}"/>
    <cellStyle name="Currency 3 4 2 2 2 2" xfId="16055" xr:uid="{00000000-0005-0000-0000-0000E1090000}"/>
    <cellStyle name="Currency 3 4 2 2 2 2 2" xfId="32629" xr:uid="{00000000-0005-0000-0000-0000E2090000}"/>
    <cellStyle name="Currency 3 4 2 2 2 3" xfId="24582" xr:uid="{00000000-0005-0000-0000-0000E3090000}"/>
    <cellStyle name="Currency 3 4 2 2 3" xfId="12120" xr:uid="{00000000-0005-0000-0000-0000E4090000}"/>
    <cellStyle name="Currency 3 4 2 2 3 2" xfId="28639" xr:uid="{00000000-0005-0000-0000-0000E5090000}"/>
    <cellStyle name="Currency 3 4 2 2 4" xfId="20596" xr:uid="{00000000-0005-0000-0000-0000E6090000}"/>
    <cellStyle name="Currency 3 4 2 3" xfId="2407" xr:uid="{00000000-0005-0000-0000-0000E7090000}"/>
    <cellStyle name="Currency 3 4 2 3 2" xfId="12121" xr:uid="{00000000-0005-0000-0000-0000E8090000}"/>
    <cellStyle name="Currency 3 4 2 3 2 2" xfId="28640" xr:uid="{00000000-0005-0000-0000-0000E9090000}"/>
    <cellStyle name="Currency 3 4 2 3 3" xfId="20597" xr:uid="{00000000-0005-0000-0000-0000EA090000}"/>
    <cellStyle name="Currency 3 4 2 4" xfId="12119" xr:uid="{00000000-0005-0000-0000-0000EB090000}"/>
    <cellStyle name="Currency 3 4 2 4 2" xfId="28638" xr:uid="{00000000-0005-0000-0000-0000EC090000}"/>
    <cellStyle name="Currency 3 4 2 5" xfId="20595" xr:uid="{00000000-0005-0000-0000-0000ED090000}"/>
    <cellStyle name="Currency 3 4 3" xfId="2408" xr:uid="{00000000-0005-0000-0000-0000EE090000}"/>
    <cellStyle name="Currency 3 4 3 2" xfId="6690" xr:uid="{00000000-0005-0000-0000-0000EF090000}"/>
    <cellStyle name="Currency 3 4 3 2 2" xfId="16056" xr:uid="{00000000-0005-0000-0000-0000F0090000}"/>
    <cellStyle name="Currency 3 4 3 2 2 2" xfId="32630" xr:uid="{00000000-0005-0000-0000-0000F1090000}"/>
    <cellStyle name="Currency 3 4 3 2 3" xfId="24583" xr:uid="{00000000-0005-0000-0000-0000F2090000}"/>
    <cellStyle name="Currency 3 4 3 3" xfId="12122" xr:uid="{00000000-0005-0000-0000-0000F3090000}"/>
    <cellStyle name="Currency 3 4 3 3 2" xfId="28641" xr:uid="{00000000-0005-0000-0000-0000F4090000}"/>
    <cellStyle name="Currency 3 4 3 4" xfId="20598" xr:uid="{00000000-0005-0000-0000-0000F5090000}"/>
    <cellStyle name="Currency 3 4 4" xfId="2409" xr:uid="{00000000-0005-0000-0000-0000F6090000}"/>
    <cellStyle name="Currency 3 4 4 2" xfId="12123" xr:uid="{00000000-0005-0000-0000-0000F7090000}"/>
    <cellStyle name="Currency 3 4 4 2 2" xfId="28642" xr:uid="{00000000-0005-0000-0000-0000F8090000}"/>
    <cellStyle name="Currency 3 4 4 3" xfId="20599" xr:uid="{00000000-0005-0000-0000-0000F9090000}"/>
    <cellStyle name="Currency 3 5" xfId="2410" xr:uid="{00000000-0005-0000-0000-0000FA090000}"/>
    <cellStyle name="Currency 3 5 2" xfId="2411" xr:uid="{00000000-0005-0000-0000-0000FB090000}"/>
    <cellStyle name="Currency 3 5 2 2" xfId="6691" xr:uid="{00000000-0005-0000-0000-0000FC090000}"/>
    <cellStyle name="Currency 3 5 2 2 2" xfId="16057" xr:uid="{00000000-0005-0000-0000-0000FD090000}"/>
    <cellStyle name="Currency 3 5 2 2 2 2" xfId="32631" xr:uid="{00000000-0005-0000-0000-0000FE090000}"/>
    <cellStyle name="Currency 3 5 2 2 3" xfId="24584" xr:uid="{00000000-0005-0000-0000-0000FF090000}"/>
    <cellStyle name="Currency 3 5 2 3" xfId="12124" xr:uid="{00000000-0005-0000-0000-0000000A0000}"/>
    <cellStyle name="Currency 3 5 2 3 2" xfId="28643" xr:uid="{00000000-0005-0000-0000-0000010A0000}"/>
    <cellStyle name="Currency 3 5 2 4" xfId="20600" xr:uid="{00000000-0005-0000-0000-0000020A0000}"/>
    <cellStyle name="Currency 3 5 3" xfId="2412" xr:uid="{00000000-0005-0000-0000-0000030A0000}"/>
    <cellStyle name="Currency 3 5 3 2" xfId="12125" xr:uid="{00000000-0005-0000-0000-0000040A0000}"/>
    <cellStyle name="Currency 3 5 3 2 2" xfId="28644" xr:uid="{00000000-0005-0000-0000-0000050A0000}"/>
    <cellStyle name="Currency 3 5 3 3" xfId="20601" xr:uid="{00000000-0005-0000-0000-0000060A0000}"/>
    <cellStyle name="Currency 3 6" xfId="2413" xr:uid="{00000000-0005-0000-0000-0000070A0000}"/>
    <cellStyle name="Currency 3 6 2" xfId="6692" xr:uid="{00000000-0005-0000-0000-0000080A0000}"/>
    <cellStyle name="Currency 3 6 2 2" xfId="16058" xr:uid="{00000000-0005-0000-0000-0000090A0000}"/>
    <cellStyle name="Currency 3 6 2 2 2" xfId="32632" xr:uid="{00000000-0005-0000-0000-00000A0A0000}"/>
    <cellStyle name="Currency 3 6 2 3" xfId="24585" xr:uid="{00000000-0005-0000-0000-00000B0A0000}"/>
    <cellStyle name="Currency 3 6 3" xfId="12126" xr:uid="{00000000-0005-0000-0000-00000C0A0000}"/>
    <cellStyle name="Currency 3 6 3 2" xfId="28645" xr:uid="{00000000-0005-0000-0000-00000D0A0000}"/>
    <cellStyle name="Currency 3 6 4" xfId="20602" xr:uid="{00000000-0005-0000-0000-00000E0A0000}"/>
    <cellStyle name="Currency 3 7" xfId="2414" xr:uid="{00000000-0005-0000-0000-00000F0A0000}"/>
    <cellStyle name="Currency 3 7 2" xfId="12127" xr:uid="{00000000-0005-0000-0000-0000100A0000}"/>
    <cellStyle name="Currency 3 7 2 2" xfId="28646" xr:uid="{00000000-0005-0000-0000-0000110A0000}"/>
    <cellStyle name="Currency 3 7 3" xfId="20603" xr:uid="{00000000-0005-0000-0000-0000120A0000}"/>
    <cellStyle name="Currency 3 8" xfId="2401" xr:uid="{00000000-0005-0000-0000-0000130A0000}"/>
    <cellStyle name="Currency 3 8 2" xfId="6693" xr:uid="{00000000-0005-0000-0000-0000140A0000}"/>
    <cellStyle name="Currency 3 8 2 2" xfId="16059" xr:uid="{00000000-0005-0000-0000-0000150A0000}"/>
    <cellStyle name="Currency 3 8 2 2 2" xfId="32633" xr:uid="{00000000-0005-0000-0000-0000160A0000}"/>
    <cellStyle name="Currency 3 8 2 3" xfId="24586" xr:uid="{00000000-0005-0000-0000-0000170A0000}"/>
    <cellStyle name="Currency 3 9" xfId="10895" xr:uid="{00000000-0005-0000-0000-0000180A0000}"/>
    <cellStyle name="Currency 4" xfId="169" xr:uid="{00000000-0005-0000-0000-0000190A0000}"/>
    <cellStyle name="Currency 4 2" xfId="170" xr:uid="{00000000-0005-0000-0000-00001A0A0000}"/>
    <cellStyle name="Currency 4 2 2" xfId="2417" xr:uid="{00000000-0005-0000-0000-00001B0A0000}"/>
    <cellStyle name="Currency 4 2 2 2" xfId="2418" xr:uid="{00000000-0005-0000-0000-00001C0A0000}"/>
    <cellStyle name="Currency 4 2 2 2 2" xfId="6694" xr:uid="{00000000-0005-0000-0000-00001D0A0000}"/>
    <cellStyle name="Currency 4 2 2 2 2 2" xfId="16060" xr:uid="{00000000-0005-0000-0000-00001E0A0000}"/>
    <cellStyle name="Currency 4 2 2 2 2 2 2" xfId="32634" xr:uid="{00000000-0005-0000-0000-00001F0A0000}"/>
    <cellStyle name="Currency 4 2 2 2 2 3" xfId="24587" xr:uid="{00000000-0005-0000-0000-0000200A0000}"/>
    <cellStyle name="Currency 4 2 2 2 3" xfId="12129" xr:uid="{00000000-0005-0000-0000-0000210A0000}"/>
    <cellStyle name="Currency 4 2 2 2 3 2" xfId="28648" xr:uid="{00000000-0005-0000-0000-0000220A0000}"/>
    <cellStyle name="Currency 4 2 2 2 4" xfId="20605" xr:uid="{00000000-0005-0000-0000-0000230A0000}"/>
    <cellStyle name="Currency 4 2 2 3" xfId="6695" xr:uid="{00000000-0005-0000-0000-0000240A0000}"/>
    <cellStyle name="Currency 4 2 2 3 2" xfId="16061" xr:uid="{00000000-0005-0000-0000-0000250A0000}"/>
    <cellStyle name="Currency 4 2 2 3 2 2" xfId="32635" xr:uid="{00000000-0005-0000-0000-0000260A0000}"/>
    <cellStyle name="Currency 4 2 2 3 3" xfId="24588" xr:uid="{00000000-0005-0000-0000-0000270A0000}"/>
    <cellStyle name="Currency 4 2 2 4" xfId="12128" xr:uid="{00000000-0005-0000-0000-0000280A0000}"/>
    <cellStyle name="Currency 4 2 2 4 2" xfId="28647" xr:uid="{00000000-0005-0000-0000-0000290A0000}"/>
    <cellStyle name="Currency 4 2 2 5" xfId="20604" xr:uid="{00000000-0005-0000-0000-00002A0A0000}"/>
    <cellStyle name="Currency 4 2 3" xfId="2419" xr:uid="{00000000-0005-0000-0000-00002B0A0000}"/>
    <cellStyle name="Currency 4 2 3 2" xfId="6696" xr:uid="{00000000-0005-0000-0000-00002C0A0000}"/>
    <cellStyle name="Currency 4 2 3 2 2" xfId="16062" xr:uid="{00000000-0005-0000-0000-00002D0A0000}"/>
    <cellStyle name="Currency 4 2 3 2 2 2" xfId="32636" xr:uid="{00000000-0005-0000-0000-00002E0A0000}"/>
    <cellStyle name="Currency 4 2 3 2 3" xfId="24589" xr:uid="{00000000-0005-0000-0000-00002F0A0000}"/>
    <cellStyle name="Currency 4 2 3 3" xfId="12130" xr:uid="{00000000-0005-0000-0000-0000300A0000}"/>
    <cellStyle name="Currency 4 2 3 3 2" xfId="28649" xr:uid="{00000000-0005-0000-0000-0000310A0000}"/>
    <cellStyle name="Currency 4 2 3 4" xfId="20606" xr:uid="{00000000-0005-0000-0000-0000320A0000}"/>
    <cellStyle name="Currency 4 2 4" xfId="2420" xr:uid="{00000000-0005-0000-0000-0000330A0000}"/>
    <cellStyle name="Currency 4 2 4 2" xfId="12131" xr:uid="{00000000-0005-0000-0000-0000340A0000}"/>
    <cellStyle name="Currency 4 2 4 2 2" xfId="28650" xr:uid="{00000000-0005-0000-0000-0000350A0000}"/>
    <cellStyle name="Currency 4 2 4 3" xfId="20607" xr:uid="{00000000-0005-0000-0000-0000360A0000}"/>
    <cellStyle name="Currency 4 2 5" xfId="2416" xr:uid="{00000000-0005-0000-0000-0000370A0000}"/>
    <cellStyle name="Currency 4 3" xfId="360" xr:uid="{00000000-0005-0000-0000-0000380A0000}"/>
    <cellStyle name="Currency 4 3 2" xfId="2422" xr:uid="{00000000-0005-0000-0000-0000390A0000}"/>
    <cellStyle name="Currency 4 3 2 2" xfId="6697" xr:uid="{00000000-0005-0000-0000-00003A0A0000}"/>
    <cellStyle name="Currency 4 3 2 2 2" xfId="16063" xr:uid="{00000000-0005-0000-0000-00003B0A0000}"/>
    <cellStyle name="Currency 4 3 2 2 2 2" xfId="32637" xr:uid="{00000000-0005-0000-0000-00003C0A0000}"/>
    <cellStyle name="Currency 4 3 2 2 3" xfId="24590" xr:uid="{00000000-0005-0000-0000-00003D0A0000}"/>
    <cellStyle name="Currency 4 3 2 3" xfId="12132" xr:uid="{00000000-0005-0000-0000-00003E0A0000}"/>
    <cellStyle name="Currency 4 3 2 3 2" xfId="28652" xr:uid="{00000000-0005-0000-0000-00003F0A0000}"/>
    <cellStyle name="Currency 4 3 2 4" xfId="20609" xr:uid="{00000000-0005-0000-0000-0000400A0000}"/>
    <cellStyle name="Currency 4 3 3" xfId="6698" xr:uid="{00000000-0005-0000-0000-0000410A0000}"/>
    <cellStyle name="Currency 4 3 3 2" xfId="16064" xr:uid="{00000000-0005-0000-0000-0000420A0000}"/>
    <cellStyle name="Currency 4 3 3 2 2" xfId="32638" xr:uid="{00000000-0005-0000-0000-0000430A0000}"/>
    <cellStyle name="Currency 4 3 3 3" xfId="24591" xr:uid="{00000000-0005-0000-0000-0000440A0000}"/>
    <cellStyle name="Currency 4 3 4" xfId="2421" xr:uid="{00000000-0005-0000-0000-0000450A0000}"/>
    <cellStyle name="Currency 4 3 4 2" xfId="28651" xr:uid="{00000000-0005-0000-0000-0000460A0000}"/>
    <cellStyle name="Currency 4 3 5" xfId="20608" xr:uid="{00000000-0005-0000-0000-0000470A0000}"/>
    <cellStyle name="Currency 4 3 6" xfId="11122" xr:uid="{00000000-0005-0000-0000-0000480A0000}"/>
    <cellStyle name="Currency 4 4" xfId="1683" xr:uid="{00000000-0005-0000-0000-0000490A0000}"/>
    <cellStyle name="Currency 4 4 2" xfId="6699" xr:uid="{00000000-0005-0000-0000-00004A0A0000}"/>
    <cellStyle name="Currency 4 4 2 2" xfId="16065" xr:uid="{00000000-0005-0000-0000-00004B0A0000}"/>
    <cellStyle name="Currency 4 4 2 2 2" xfId="32639" xr:uid="{00000000-0005-0000-0000-00004C0A0000}"/>
    <cellStyle name="Currency 4 4 2 3" xfId="24592" xr:uid="{00000000-0005-0000-0000-00004D0A0000}"/>
    <cellStyle name="Currency 4 4 2 4" xfId="36880" xr:uid="{00000000-0005-0000-0000-00004E0A0000}"/>
    <cellStyle name="Currency 4 4 3" xfId="12133" xr:uid="{00000000-0005-0000-0000-00004F0A0000}"/>
    <cellStyle name="Currency 4 4 3 2" xfId="28653" xr:uid="{00000000-0005-0000-0000-0000500A0000}"/>
    <cellStyle name="Currency 4 4 4" xfId="20610" xr:uid="{00000000-0005-0000-0000-0000510A0000}"/>
    <cellStyle name="Currency 4 5" xfId="2423" xr:uid="{00000000-0005-0000-0000-0000520A0000}"/>
    <cellStyle name="Currency 4 5 2" xfId="12134" xr:uid="{00000000-0005-0000-0000-0000530A0000}"/>
    <cellStyle name="Currency 4 5 2 2" xfId="28654" xr:uid="{00000000-0005-0000-0000-0000540A0000}"/>
    <cellStyle name="Currency 4 5 3" xfId="20611" xr:uid="{00000000-0005-0000-0000-0000550A0000}"/>
    <cellStyle name="Currency 4 5 4" xfId="36879" xr:uid="{00000000-0005-0000-0000-0000560A0000}"/>
    <cellStyle name="Currency 4 6" xfId="2424" xr:uid="{00000000-0005-0000-0000-0000570A0000}"/>
    <cellStyle name="Currency 4 6 2" xfId="6623" xr:uid="{00000000-0005-0000-0000-0000580A0000}"/>
    <cellStyle name="Currency 4 6 3" xfId="12135" xr:uid="{00000000-0005-0000-0000-0000590A0000}"/>
    <cellStyle name="Currency 4 6 3 2" xfId="28655" xr:uid="{00000000-0005-0000-0000-00005A0A0000}"/>
    <cellStyle name="Currency 4 6 4" xfId="20612" xr:uid="{00000000-0005-0000-0000-00005B0A0000}"/>
    <cellStyle name="Currency 4 7" xfId="2415" xr:uid="{00000000-0005-0000-0000-00005C0A0000}"/>
    <cellStyle name="Currency 4 8" xfId="10896" xr:uid="{00000000-0005-0000-0000-00005D0A0000}"/>
    <cellStyle name="Currency 4 9" xfId="2080" xr:uid="{00000000-0005-0000-0000-00005E0A0000}"/>
    <cellStyle name="Currency 5" xfId="13" xr:uid="{00000000-0005-0000-0000-00005F0A0000}"/>
    <cellStyle name="Currency 5 2" xfId="171" xr:uid="{00000000-0005-0000-0000-0000600A0000}"/>
    <cellStyle name="Currency 5 2 2" xfId="2425" xr:uid="{00000000-0005-0000-0000-0000610A0000}"/>
    <cellStyle name="Currency 5 2 2 2" xfId="2426" xr:uid="{00000000-0005-0000-0000-0000620A0000}"/>
    <cellStyle name="Currency 5 2 2 2 2" xfId="6700" xr:uid="{00000000-0005-0000-0000-0000630A0000}"/>
    <cellStyle name="Currency 5 2 2 2 2 2" xfId="16066" xr:uid="{00000000-0005-0000-0000-0000640A0000}"/>
    <cellStyle name="Currency 5 2 2 2 2 2 2" xfId="32640" xr:uid="{00000000-0005-0000-0000-0000650A0000}"/>
    <cellStyle name="Currency 5 2 2 2 2 3" xfId="24593" xr:uid="{00000000-0005-0000-0000-0000660A0000}"/>
    <cellStyle name="Currency 5 2 2 2 3" xfId="12137" xr:uid="{00000000-0005-0000-0000-0000670A0000}"/>
    <cellStyle name="Currency 5 2 2 2 3 2" xfId="28657" xr:uid="{00000000-0005-0000-0000-0000680A0000}"/>
    <cellStyle name="Currency 5 2 2 2 4" xfId="20614" xr:uid="{00000000-0005-0000-0000-0000690A0000}"/>
    <cellStyle name="Currency 5 2 2 3" xfId="6701" xr:uid="{00000000-0005-0000-0000-00006A0A0000}"/>
    <cellStyle name="Currency 5 2 2 3 2" xfId="16067" xr:uid="{00000000-0005-0000-0000-00006B0A0000}"/>
    <cellStyle name="Currency 5 2 2 3 2 2" xfId="32641" xr:uid="{00000000-0005-0000-0000-00006C0A0000}"/>
    <cellStyle name="Currency 5 2 2 3 3" xfId="24594" xr:uid="{00000000-0005-0000-0000-00006D0A0000}"/>
    <cellStyle name="Currency 5 2 2 4" xfId="12136" xr:uid="{00000000-0005-0000-0000-00006E0A0000}"/>
    <cellStyle name="Currency 5 2 2 4 2" xfId="28656" xr:uid="{00000000-0005-0000-0000-00006F0A0000}"/>
    <cellStyle name="Currency 5 2 2 5" xfId="20613" xr:uid="{00000000-0005-0000-0000-0000700A0000}"/>
    <cellStyle name="Currency 5 2 3" xfId="2427" xr:uid="{00000000-0005-0000-0000-0000710A0000}"/>
    <cellStyle name="Currency 5 2 3 2" xfId="6702" xr:uid="{00000000-0005-0000-0000-0000720A0000}"/>
    <cellStyle name="Currency 5 2 3 2 2" xfId="16068" xr:uid="{00000000-0005-0000-0000-0000730A0000}"/>
    <cellStyle name="Currency 5 2 3 2 2 2" xfId="32642" xr:uid="{00000000-0005-0000-0000-0000740A0000}"/>
    <cellStyle name="Currency 5 2 3 2 3" xfId="24595" xr:uid="{00000000-0005-0000-0000-0000750A0000}"/>
    <cellStyle name="Currency 5 2 3 3" xfId="12138" xr:uid="{00000000-0005-0000-0000-0000760A0000}"/>
    <cellStyle name="Currency 5 2 3 3 2" xfId="28658" xr:uid="{00000000-0005-0000-0000-0000770A0000}"/>
    <cellStyle name="Currency 5 2 3 4" xfId="20615" xr:uid="{00000000-0005-0000-0000-0000780A0000}"/>
    <cellStyle name="Currency 5 2 4" xfId="2428" xr:uid="{00000000-0005-0000-0000-0000790A0000}"/>
    <cellStyle name="Currency 5 2 4 2" xfId="12139" xr:uid="{00000000-0005-0000-0000-00007A0A0000}"/>
    <cellStyle name="Currency 5 2 4 2 2" xfId="28659" xr:uid="{00000000-0005-0000-0000-00007B0A0000}"/>
    <cellStyle name="Currency 5 2 4 3" xfId="20616" xr:uid="{00000000-0005-0000-0000-00007C0A0000}"/>
    <cellStyle name="Currency 5 3" xfId="2429" xr:uid="{00000000-0005-0000-0000-00007D0A0000}"/>
    <cellStyle name="Currency 5 3 2" xfId="2430" xr:uid="{00000000-0005-0000-0000-00007E0A0000}"/>
    <cellStyle name="Currency 5 3 2 2" xfId="6703" xr:uid="{00000000-0005-0000-0000-00007F0A0000}"/>
    <cellStyle name="Currency 5 3 2 2 2" xfId="16069" xr:uid="{00000000-0005-0000-0000-0000800A0000}"/>
    <cellStyle name="Currency 5 3 2 2 2 2" xfId="32643" xr:uid="{00000000-0005-0000-0000-0000810A0000}"/>
    <cellStyle name="Currency 5 3 2 2 3" xfId="24596" xr:uid="{00000000-0005-0000-0000-0000820A0000}"/>
    <cellStyle name="Currency 5 3 2 3" xfId="12141" xr:uid="{00000000-0005-0000-0000-0000830A0000}"/>
    <cellStyle name="Currency 5 3 2 3 2" xfId="28661" xr:uid="{00000000-0005-0000-0000-0000840A0000}"/>
    <cellStyle name="Currency 5 3 2 4" xfId="20618" xr:uid="{00000000-0005-0000-0000-0000850A0000}"/>
    <cellStyle name="Currency 5 3 3" xfId="6704" xr:uid="{00000000-0005-0000-0000-0000860A0000}"/>
    <cellStyle name="Currency 5 3 3 2" xfId="16070" xr:uid="{00000000-0005-0000-0000-0000870A0000}"/>
    <cellStyle name="Currency 5 3 3 2 2" xfId="32644" xr:uid="{00000000-0005-0000-0000-0000880A0000}"/>
    <cellStyle name="Currency 5 3 3 3" xfId="24597" xr:uid="{00000000-0005-0000-0000-0000890A0000}"/>
    <cellStyle name="Currency 5 3 4" xfId="12140" xr:uid="{00000000-0005-0000-0000-00008A0A0000}"/>
    <cellStyle name="Currency 5 3 4 2" xfId="28660" xr:uid="{00000000-0005-0000-0000-00008B0A0000}"/>
    <cellStyle name="Currency 5 3 5" xfId="20617" xr:uid="{00000000-0005-0000-0000-00008C0A0000}"/>
    <cellStyle name="Currency 5 3 6" xfId="36881" xr:uid="{00000000-0005-0000-0000-00008D0A0000}"/>
    <cellStyle name="Currency 5 4" xfId="2431" xr:uid="{00000000-0005-0000-0000-00008E0A0000}"/>
    <cellStyle name="Currency 5 4 2" xfId="6705" xr:uid="{00000000-0005-0000-0000-00008F0A0000}"/>
    <cellStyle name="Currency 5 4 2 2" xfId="16071" xr:uid="{00000000-0005-0000-0000-0000900A0000}"/>
    <cellStyle name="Currency 5 4 2 2 2" xfId="32645" xr:uid="{00000000-0005-0000-0000-0000910A0000}"/>
    <cellStyle name="Currency 5 4 2 3" xfId="24598" xr:uid="{00000000-0005-0000-0000-0000920A0000}"/>
    <cellStyle name="Currency 5 4 3" xfId="12142" xr:uid="{00000000-0005-0000-0000-0000930A0000}"/>
    <cellStyle name="Currency 5 4 3 2" xfId="28662" xr:uid="{00000000-0005-0000-0000-0000940A0000}"/>
    <cellStyle name="Currency 5 4 4" xfId="20619" xr:uid="{00000000-0005-0000-0000-0000950A0000}"/>
    <cellStyle name="Currency 5 5" xfId="6706" xr:uid="{00000000-0005-0000-0000-0000960A0000}"/>
    <cellStyle name="Currency 5 5 2" xfId="16072" xr:uid="{00000000-0005-0000-0000-0000970A0000}"/>
    <cellStyle name="Currency 5 5 2 2" xfId="32646" xr:uid="{00000000-0005-0000-0000-0000980A0000}"/>
    <cellStyle name="Currency 5 5 3" xfId="24599" xr:uid="{00000000-0005-0000-0000-0000990A0000}"/>
    <cellStyle name="Currency 6" xfId="1710" xr:uid="{00000000-0005-0000-0000-00009A0A0000}"/>
    <cellStyle name="Currency 6 2" xfId="2433" xr:uid="{00000000-0005-0000-0000-00009B0A0000}"/>
    <cellStyle name="Currency 6 2 2" xfId="2434" xr:uid="{00000000-0005-0000-0000-00009C0A0000}"/>
    <cellStyle name="Currency 6 2 2 2" xfId="2435" xr:uid="{00000000-0005-0000-0000-00009D0A0000}"/>
    <cellStyle name="Currency 6 2 2 2 2" xfId="6707" xr:uid="{00000000-0005-0000-0000-00009E0A0000}"/>
    <cellStyle name="Currency 6 2 2 2 2 2" xfId="16073" xr:uid="{00000000-0005-0000-0000-00009F0A0000}"/>
    <cellStyle name="Currency 6 2 2 2 2 2 2" xfId="32647" xr:uid="{00000000-0005-0000-0000-0000A00A0000}"/>
    <cellStyle name="Currency 6 2 2 2 2 3" xfId="24600" xr:uid="{00000000-0005-0000-0000-0000A10A0000}"/>
    <cellStyle name="Currency 6 2 2 2 3" xfId="12145" xr:uid="{00000000-0005-0000-0000-0000A20A0000}"/>
    <cellStyle name="Currency 6 2 2 2 3 2" xfId="28666" xr:uid="{00000000-0005-0000-0000-0000A30A0000}"/>
    <cellStyle name="Currency 6 2 2 2 4" xfId="20623" xr:uid="{00000000-0005-0000-0000-0000A40A0000}"/>
    <cellStyle name="Currency 6 2 2 3" xfId="6708" xr:uid="{00000000-0005-0000-0000-0000A50A0000}"/>
    <cellStyle name="Currency 6 2 2 3 2" xfId="16074" xr:uid="{00000000-0005-0000-0000-0000A60A0000}"/>
    <cellStyle name="Currency 6 2 2 3 2 2" xfId="32648" xr:uid="{00000000-0005-0000-0000-0000A70A0000}"/>
    <cellStyle name="Currency 6 2 2 3 3" xfId="24601" xr:uid="{00000000-0005-0000-0000-0000A80A0000}"/>
    <cellStyle name="Currency 6 2 2 4" xfId="12144" xr:uid="{00000000-0005-0000-0000-0000A90A0000}"/>
    <cellStyle name="Currency 6 2 2 4 2" xfId="28665" xr:uid="{00000000-0005-0000-0000-0000AA0A0000}"/>
    <cellStyle name="Currency 6 2 2 5" xfId="20622" xr:uid="{00000000-0005-0000-0000-0000AB0A0000}"/>
    <cellStyle name="Currency 6 2 3" xfId="2436" xr:uid="{00000000-0005-0000-0000-0000AC0A0000}"/>
    <cellStyle name="Currency 6 2 3 2" xfId="6709" xr:uid="{00000000-0005-0000-0000-0000AD0A0000}"/>
    <cellStyle name="Currency 6 2 3 2 2" xfId="16075" xr:uid="{00000000-0005-0000-0000-0000AE0A0000}"/>
    <cellStyle name="Currency 6 2 3 2 2 2" xfId="32649" xr:uid="{00000000-0005-0000-0000-0000AF0A0000}"/>
    <cellStyle name="Currency 6 2 3 2 3" xfId="24602" xr:uid="{00000000-0005-0000-0000-0000B00A0000}"/>
    <cellStyle name="Currency 6 2 3 3" xfId="12146" xr:uid="{00000000-0005-0000-0000-0000B10A0000}"/>
    <cellStyle name="Currency 6 2 3 3 2" xfId="28667" xr:uid="{00000000-0005-0000-0000-0000B20A0000}"/>
    <cellStyle name="Currency 6 2 3 4" xfId="20624" xr:uid="{00000000-0005-0000-0000-0000B30A0000}"/>
    <cellStyle name="Currency 6 2 4" xfId="6710" xr:uid="{00000000-0005-0000-0000-0000B40A0000}"/>
    <cellStyle name="Currency 6 2 4 2" xfId="16076" xr:uid="{00000000-0005-0000-0000-0000B50A0000}"/>
    <cellStyle name="Currency 6 2 4 2 2" xfId="32650" xr:uid="{00000000-0005-0000-0000-0000B60A0000}"/>
    <cellStyle name="Currency 6 2 4 3" xfId="24603" xr:uid="{00000000-0005-0000-0000-0000B70A0000}"/>
    <cellStyle name="Currency 6 2 5" xfId="12143" xr:uid="{00000000-0005-0000-0000-0000B80A0000}"/>
    <cellStyle name="Currency 6 2 5 2" xfId="28664" xr:uid="{00000000-0005-0000-0000-0000B90A0000}"/>
    <cellStyle name="Currency 6 2 6" xfId="20621" xr:uid="{00000000-0005-0000-0000-0000BA0A0000}"/>
    <cellStyle name="Currency 6 2 7" xfId="36883" xr:uid="{00000000-0005-0000-0000-0000BB0A0000}"/>
    <cellStyle name="Currency 6 3" xfId="2437" xr:uid="{00000000-0005-0000-0000-0000BC0A0000}"/>
    <cellStyle name="Currency 6 3 2" xfId="2438" xr:uid="{00000000-0005-0000-0000-0000BD0A0000}"/>
    <cellStyle name="Currency 6 3 2 2" xfId="6711" xr:uid="{00000000-0005-0000-0000-0000BE0A0000}"/>
    <cellStyle name="Currency 6 3 2 2 2" xfId="16077" xr:uid="{00000000-0005-0000-0000-0000BF0A0000}"/>
    <cellStyle name="Currency 6 3 2 2 2 2" xfId="32651" xr:uid="{00000000-0005-0000-0000-0000C00A0000}"/>
    <cellStyle name="Currency 6 3 2 2 3" xfId="24604" xr:uid="{00000000-0005-0000-0000-0000C10A0000}"/>
    <cellStyle name="Currency 6 3 2 3" xfId="12148" xr:uid="{00000000-0005-0000-0000-0000C20A0000}"/>
    <cellStyle name="Currency 6 3 2 3 2" xfId="28669" xr:uid="{00000000-0005-0000-0000-0000C30A0000}"/>
    <cellStyle name="Currency 6 3 2 4" xfId="20626" xr:uid="{00000000-0005-0000-0000-0000C40A0000}"/>
    <cellStyle name="Currency 6 3 3" xfId="6712" xr:uid="{00000000-0005-0000-0000-0000C50A0000}"/>
    <cellStyle name="Currency 6 3 3 2" xfId="16078" xr:uid="{00000000-0005-0000-0000-0000C60A0000}"/>
    <cellStyle name="Currency 6 3 3 2 2" xfId="32652" xr:uid="{00000000-0005-0000-0000-0000C70A0000}"/>
    <cellStyle name="Currency 6 3 3 3" xfId="24605" xr:uid="{00000000-0005-0000-0000-0000C80A0000}"/>
    <cellStyle name="Currency 6 3 4" xfId="12147" xr:uid="{00000000-0005-0000-0000-0000C90A0000}"/>
    <cellStyle name="Currency 6 3 4 2" xfId="28668" xr:uid="{00000000-0005-0000-0000-0000CA0A0000}"/>
    <cellStyle name="Currency 6 3 5" xfId="20625" xr:uid="{00000000-0005-0000-0000-0000CB0A0000}"/>
    <cellStyle name="Currency 6 3 6" xfId="36884" xr:uid="{00000000-0005-0000-0000-0000CC0A0000}"/>
    <cellStyle name="Currency 6 4" xfId="2439" xr:uid="{00000000-0005-0000-0000-0000CD0A0000}"/>
    <cellStyle name="Currency 6 4 2" xfId="6713" xr:uid="{00000000-0005-0000-0000-0000CE0A0000}"/>
    <cellStyle name="Currency 6 4 2 2" xfId="16079" xr:uid="{00000000-0005-0000-0000-0000CF0A0000}"/>
    <cellStyle name="Currency 6 4 2 2 2" xfId="32653" xr:uid="{00000000-0005-0000-0000-0000D00A0000}"/>
    <cellStyle name="Currency 6 4 2 3" xfId="24606" xr:uid="{00000000-0005-0000-0000-0000D10A0000}"/>
    <cellStyle name="Currency 6 4 3" xfId="12149" xr:uid="{00000000-0005-0000-0000-0000D20A0000}"/>
    <cellStyle name="Currency 6 4 3 2" xfId="28670" xr:uid="{00000000-0005-0000-0000-0000D30A0000}"/>
    <cellStyle name="Currency 6 4 4" xfId="20627" xr:uid="{00000000-0005-0000-0000-0000D40A0000}"/>
    <cellStyle name="Currency 6 4 5" xfId="36882" xr:uid="{00000000-0005-0000-0000-0000D50A0000}"/>
    <cellStyle name="Currency 6 5" xfId="6714" xr:uid="{00000000-0005-0000-0000-0000D60A0000}"/>
    <cellStyle name="Currency 6 5 2" xfId="16080" xr:uid="{00000000-0005-0000-0000-0000D70A0000}"/>
    <cellStyle name="Currency 6 5 2 2" xfId="32654" xr:uid="{00000000-0005-0000-0000-0000D80A0000}"/>
    <cellStyle name="Currency 6 5 3" xfId="24607" xr:uid="{00000000-0005-0000-0000-0000D90A0000}"/>
    <cellStyle name="Currency 6 6" xfId="2432" xr:uid="{00000000-0005-0000-0000-0000DA0A0000}"/>
    <cellStyle name="Currency 6 6 2" xfId="28663" xr:uid="{00000000-0005-0000-0000-0000DB0A0000}"/>
    <cellStyle name="Currency 6 7" xfId="20620" xr:uid="{00000000-0005-0000-0000-0000DC0A0000}"/>
    <cellStyle name="Currency 7" xfId="1711" xr:uid="{00000000-0005-0000-0000-0000DD0A0000}"/>
    <cellStyle name="Currency 7 2" xfId="2441" xr:uid="{00000000-0005-0000-0000-0000DE0A0000}"/>
    <cellStyle name="Currency 7 2 2" xfId="6715" xr:uid="{00000000-0005-0000-0000-0000DF0A0000}"/>
    <cellStyle name="Currency 7 2 2 2" xfId="16081" xr:uid="{00000000-0005-0000-0000-0000E00A0000}"/>
    <cellStyle name="Currency 7 2 2 2 2" xfId="32655" xr:uid="{00000000-0005-0000-0000-0000E10A0000}"/>
    <cellStyle name="Currency 7 2 2 3" xfId="24608" xr:uid="{00000000-0005-0000-0000-0000E20A0000}"/>
    <cellStyle name="Currency 7 2 3" xfId="12150" xr:uid="{00000000-0005-0000-0000-0000E30A0000}"/>
    <cellStyle name="Currency 7 2 3 2" xfId="28672" xr:uid="{00000000-0005-0000-0000-0000E40A0000}"/>
    <cellStyle name="Currency 7 2 4" xfId="20629" xr:uid="{00000000-0005-0000-0000-0000E50A0000}"/>
    <cellStyle name="Currency 7 3" xfId="6716" xr:uid="{00000000-0005-0000-0000-0000E60A0000}"/>
    <cellStyle name="Currency 7 3 2" xfId="16082" xr:uid="{00000000-0005-0000-0000-0000E70A0000}"/>
    <cellStyle name="Currency 7 3 2 2" xfId="32656" xr:uid="{00000000-0005-0000-0000-0000E80A0000}"/>
    <cellStyle name="Currency 7 3 3" xfId="24609" xr:uid="{00000000-0005-0000-0000-0000E90A0000}"/>
    <cellStyle name="Currency 7 4" xfId="2440" xr:uid="{00000000-0005-0000-0000-0000EA0A0000}"/>
    <cellStyle name="Currency 7 4 2" xfId="28671" xr:uid="{00000000-0005-0000-0000-0000EB0A0000}"/>
    <cellStyle name="Currency 7 5" xfId="20628" xr:uid="{00000000-0005-0000-0000-0000EC0A0000}"/>
    <cellStyle name="Currency 8" xfId="1712" xr:uid="{00000000-0005-0000-0000-0000ED0A0000}"/>
    <cellStyle name="Currency 8 2" xfId="6717" xr:uid="{00000000-0005-0000-0000-0000EE0A0000}"/>
    <cellStyle name="Currency 9" xfId="1713" xr:uid="{00000000-0005-0000-0000-0000EF0A0000}"/>
    <cellStyle name="Currency 9 2" xfId="6718" xr:uid="{00000000-0005-0000-0000-0000F00A0000}"/>
    <cellStyle name="Currency(1)" xfId="1872" xr:uid="{00000000-0005-0000-0000-0000F10A0000}"/>
    <cellStyle name="Currency_Cognex 4.17.07" xfId="36954" xr:uid="{29175D23-02E3-4E8C-B692-CE011724C86D}"/>
    <cellStyle name="Currency0" xfId="1873" xr:uid="{00000000-0005-0000-0000-0000F20A0000}"/>
    <cellStyle name="CUS.Work.Area" xfId="1874" xr:uid="{00000000-0005-0000-0000-0000F30A0000}"/>
    <cellStyle name="d_yield" xfId="501" xr:uid="{00000000-0005-0000-0000-0000F40A0000}"/>
    <cellStyle name="d_yield_1 FM_101_Examples_v7.31McIntire" xfId="502" xr:uid="{00000000-0005-0000-0000-0000F50A0000}"/>
    <cellStyle name="d_yield_1 FM_101_Examples_v7.31McIntire_1 FM_101_Examples_TWO-Day_v7.31" xfId="503" xr:uid="{00000000-0005-0000-0000-0000F60A0000}"/>
    <cellStyle name="d_yield_AVP" xfId="504" xr:uid="{00000000-0005-0000-0000-0000F70A0000}"/>
    <cellStyle name="d_yield_AVP_1 FM_101_Examples_v7.31McIntire" xfId="505" xr:uid="{00000000-0005-0000-0000-0000F80A0000}"/>
    <cellStyle name="d_yield_AVP_1 FM_101_Examples_v7.31McIntire_1 FM_101_Examples_TWO-Day_v7.31" xfId="506" xr:uid="{00000000-0005-0000-0000-0000F90A0000}"/>
    <cellStyle name="d_yield_AVP_Graphic Depiction - NO DEV" xfId="507" xr:uid="{00000000-0005-0000-0000-0000FA0A0000}"/>
    <cellStyle name="d_yield_AVP_Graphic Depiction - NO DEV_1 FM_101_Examples_v7.31McIntire" xfId="508" xr:uid="{00000000-0005-0000-0000-0000FB0A0000}"/>
    <cellStyle name="d_yield_AVP_Graphic Depiction - NO DEV_1 FM_101_Examples_v7.31McIntire_1 FM_101_Examples_TWO-Day_v7.31" xfId="509" xr:uid="{00000000-0005-0000-0000-0000FC0A0000}"/>
    <cellStyle name="d_yield_AVP_Graphic Depiction - NO DEV_Val_1_Book_Lecture_Notes_v3.06" xfId="510" xr:uid="{00000000-0005-0000-0000-0000FD0A0000}"/>
    <cellStyle name="d_yield_AVP_THEsumPage (2)" xfId="511" xr:uid="{00000000-0005-0000-0000-0000FE0A0000}"/>
    <cellStyle name="d_yield_AVP_THEsumPage (2)_1 FM_101_Examples_v7.31McIntire" xfId="512" xr:uid="{00000000-0005-0000-0000-0000FF0A0000}"/>
    <cellStyle name="d_yield_AVP_THEsumPage (2)_1 FM_101_Examples_v7.31McIntire_1 FM_101_Examples_TWO-Day_v7.31" xfId="513" xr:uid="{00000000-0005-0000-0000-0000000B0000}"/>
    <cellStyle name="d_yield_AVP_THEsumPage (2)_Val_1_Book_Lecture_Notes_v3.06" xfId="514" xr:uid="{00000000-0005-0000-0000-0000010B0000}"/>
    <cellStyle name="d_yield_AVP_Val_1_Book_Lecture_Notes_v3.06" xfId="515" xr:uid="{00000000-0005-0000-0000-0000020B0000}"/>
    <cellStyle name="d_yield_CompSheet" xfId="516" xr:uid="{00000000-0005-0000-0000-0000030B0000}"/>
    <cellStyle name="d_yield_CompSheet_LANCE_Model_v0.6.DCF.MASTER.Name" xfId="517" xr:uid="{00000000-0005-0000-0000-0000040B0000}"/>
    <cellStyle name="d_yield_CompSheet_LANCE_Model_v0.6.DCF.MASTER.Name_DCF &amp; Raios to CLX Tootsie_v1.33.xls" xfId="518" xr:uid="{00000000-0005-0000-0000-0000050B0000}"/>
    <cellStyle name="d_yield_CompSheet_LANCE_Model_v0.6.DCF.MASTER.Name_Tootsie_TWO_DAY_TTS_Solution_v1.34" xfId="519" xr:uid="{00000000-0005-0000-0000-0000060B0000}"/>
    <cellStyle name="d_yield_CompSheet_LANCE_Model_v0.6.DCF.MASTER.Name_Val_1_Book_Lecture_Notes_v3.06" xfId="520" xr:uid="{00000000-0005-0000-0000-0000070B0000}"/>
    <cellStyle name="d_yield_CompSheet_Val_1_Book_Lecture_Notes_v3.06" xfId="521" xr:uid="{00000000-0005-0000-0000-0000080B0000}"/>
    <cellStyle name="d_yield_Disc Analysis" xfId="522" xr:uid="{00000000-0005-0000-0000-0000090B0000}"/>
    <cellStyle name="d_yield_Disc Analysis_1 FM_101_Examples_v7.31McIntire" xfId="523" xr:uid="{00000000-0005-0000-0000-00000A0B0000}"/>
    <cellStyle name="d_yield_Disc Analysis_1 FM_101_Examples_v7.31McIntire_1 FM_101_Examples_TWO-Day_v7.31" xfId="524" xr:uid="{00000000-0005-0000-0000-00000B0B0000}"/>
    <cellStyle name="d_yield_Disc Analysis_CompSheet" xfId="525" xr:uid="{00000000-0005-0000-0000-00000C0B0000}"/>
    <cellStyle name="d_yield_Disc Analysis_CompSheet_1 FM_101_Examples_v7.31McIntire" xfId="526" xr:uid="{00000000-0005-0000-0000-00000D0B0000}"/>
    <cellStyle name="d_yield_Disc Analysis_CompSheet_1 FM_101_Examples_v7.31McIntire_1 FM_101_Examples_TWO-Day_v7.31" xfId="527" xr:uid="{00000000-0005-0000-0000-00000E0B0000}"/>
    <cellStyle name="d_yield_Disc Analysis_CompSheet_Val_1_Book_Lecture_Notes_v3.06" xfId="528" xr:uid="{00000000-0005-0000-0000-00000F0B0000}"/>
    <cellStyle name="d_yield_Disc Analysis_THEsumPage (2)" xfId="529" xr:uid="{00000000-0005-0000-0000-0000100B0000}"/>
    <cellStyle name="d_yield_Disc Analysis_THEsumPage (2)_1 FM_101_Examples_v7.31McIntire" xfId="530" xr:uid="{00000000-0005-0000-0000-0000110B0000}"/>
    <cellStyle name="d_yield_Disc Analysis_THEsumPage (2)_1 FM_101_Examples_v7.31McIntire_1 FM_101_Examples_TWO-Day_v7.31" xfId="531" xr:uid="{00000000-0005-0000-0000-0000120B0000}"/>
    <cellStyle name="d_yield_Disc Analysis_THEsumPage (2)_Val_1_Book_Lecture_Notes_v3.06" xfId="532" xr:uid="{00000000-0005-0000-0000-0000130B0000}"/>
    <cellStyle name="d_yield_Disc Analysis_Val_1_Book_Lecture_Notes_v3.06" xfId="533" xr:uid="{00000000-0005-0000-0000-0000140B0000}"/>
    <cellStyle name="d_yield_Fairness Opinion Valuation 4-23a.xls Chart 1" xfId="534" xr:uid="{00000000-0005-0000-0000-0000150B0000}"/>
    <cellStyle name="d_yield_Fairness Opinion Valuation 4-23a.xls Chart 1_LANCE_Model_v0.6.DCF.MASTER.Name" xfId="535" xr:uid="{00000000-0005-0000-0000-0000160B0000}"/>
    <cellStyle name="d_yield_Fairness Opinion Valuation 4-23a.xls Chart 1_LANCE_Model_v0.6.DCF.MASTER.Name_DCF &amp; Raios to CLX Tootsie_v1.33.xls" xfId="536" xr:uid="{00000000-0005-0000-0000-0000170B0000}"/>
    <cellStyle name="d_yield_Fairness Opinion Valuation 4-23a.xls Chart 1_LANCE_Model_v0.6.DCF.MASTER.Name_Tootsie_TWO_DAY_TTS_Solution_v1.34" xfId="537" xr:uid="{00000000-0005-0000-0000-0000180B0000}"/>
    <cellStyle name="d_yield_Fairness Opinion Valuation 4-23a.xls Chart 1_LANCE_Model_v0.6.DCF.MASTER.Name_Val_1_Book_Lecture_Notes_v3.06" xfId="538" xr:uid="{00000000-0005-0000-0000-0000190B0000}"/>
    <cellStyle name="d_yield_Fairness Opinion Valuation 4-23a.xls Chart 1_Val_1_Book_Lecture_Notes_v3.06" xfId="539" xr:uid="{00000000-0005-0000-0000-00001A0B0000}"/>
    <cellStyle name="d_yield_LP Chart" xfId="540" xr:uid="{00000000-0005-0000-0000-00001B0B0000}"/>
    <cellStyle name="d_yield_LP Chart_LANCE_Model_v0.6.DCF.MASTER.Name" xfId="541" xr:uid="{00000000-0005-0000-0000-00001C0B0000}"/>
    <cellStyle name="d_yield_LP Chart_LANCE_Model_v0.6.DCF.MASTER.Name_DCF &amp; Raios to CLX Tootsie_v1.33.xls" xfId="542" xr:uid="{00000000-0005-0000-0000-00001D0B0000}"/>
    <cellStyle name="d_yield_LP Chart_LANCE_Model_v0.6.DCF.MASTER.Name_Tootsie_TWO_DAY_TTS_Solution_v1.34" xfId="543" xr:uid="{00000000-0005-0000-0000-00001E0B0000}"/>
    <cellStyle name="d_yield_LP Chart_LANCE_Model_v0.6.DCF.MASTER.Name_Val_1_Book_Lecture_Notes_v3.06" xfId="544" xr:uid="{00000000-0005-0000-0000-00001F0B0000}"/>
    <cellStyle name="d_yield_LP Chart_THEsumPage (2)" xfId="545" xr:uid="{00000000-0005-0000-0000-0000200B0000}"/>
    <cellStyle name="d_yield_LP Chart_THEsumPage (2)_LANCE_Model_v0.6.DCF.MASTER.Name" xfId="546" xr:uid="{00000000-0005-0000-0000-0000210B0000}"/>
    <cellStyle name="d_yield_LP Chart_THEsumPage (2)_LANCE_Model_v0.6.DCF.MASTER.Name_DCF &amp; Raios to CLX Tootsie_v1.33.xls" xfId="547" xr:uid="{00000000-0005-0000-0000-0000220B0000}"/>
    <cellStyle name="d_yield_LP Chart_THEsumPage (2)_LANCE_Model_v0.6.DCF.MASTER.Name_Tootsie_TWO_DAY_TTS_Solution_v1.34" xfId="548" xr:uid="{00000000-0005-0000-0000-0000230B0000}"/>
    <cellStyle name="d_yield_LP Chart_THEsumPage (2)_LANCE_Model_v0.6.DCF.MASTER.Name_Val_1_Book_Lecture_Notes_v3.06" xfId="549" xr:uid="{00000000-0005-0000-0000-0000240B0000}"/>
    <cellStyle name="d_yield_LP Chart_THEsumPage (2)_Val_1_Book_Lecture_Notes_v3.06" xfId="550" xr:uid="{00000000-0005-0000-0000-0000250B0000}"/>
    <cellStyle name="d_yield_LP Chart_Val_1_Book_Lecture_Notes_v3.06" xfId="551" xr:uid="{00000000-0005-0000-0000-0000260B0000}"/>
    <cellStyle name="d_yield_Merg Cons" xfId="552" xr:uid="{00000000-0005-0000-0000-0000270B0000}"/>
    <cellStyle name="d_yield_Merg Cons_1 FM_101_Examples_v7.31McIntire" xfId="553" xr:uid="{00000000-0005-0000-0000-0000280B0000}"/>
    <cellStyle name="d_yield_Merg Cons_1 FM_101_Examples_v7.31McIntire_1 FM_101_Examples_TWO-Day_v7.31" xfId="554" xr:uid="{00000000-0005-0000-0000-0000290B0000}"/>
    <cellStyle name="d_yield_Merg Cons_CompSheet" xfId="555" xr:uid="{00000000-0005-0000-0000-00002A0B0000}"/>
    <cellStyle name="d_yield_Merg Cons_CompSheet_1 FM_101_Examples_v7.31McIntire" xfId="556" xr:uid="{00000000-0005-0000-0000-00002B0B0000}"/>
    <cellStyle name="d_yield_Merg Cons_CompSheet_1 FM_101_Examples_v7.31McIntire_1 FM_101_Examples_TWO-Day_v7.31" xfId="557" xr:uid="{00000000-0005-0000-0000-00002C0B0000}"/>
    <cellStyle name="d_yield_Merg Cons_CompSheet_Val_1_Book_Lecture_Notes_v3.06" xfId="558" xr:uid="{00000000-0005-0000-0000-00002D0B0000}"/>
    <cellStyle name="d_yield_Merg Cons_THEsumPage (2)" xfId="559" xr:uid="{00000000-0005-0000-0000-00002E0B0000}"/>
    <cellStyle name="d_yield_Merg Cons_THEsumPage (2)_1 FM_101_Examples_v7.31McIntire" xfId="560" xr:uid="{00000000-0005-0000-0000-00002F0B0000}"/>
    <cellStyle name="d_yield_Merg Cons_THEsumPage (2)_1 FM_101_Examples_v7.31McIntire_1 FM_101_Examples_TWO-Day_v7.31" xfId="561" xr:uid="{00000000-0005-0000-0000-0000300B0000}"/>
    <cellStyle name="d_yield_Merg Cons_THEsumPage (2)_Val_1_Book_Lecture_Notes_v3.06" xfId="562" xr:uid="{00000000-0005-0000-0000-0000310B0000}"/>
    <cellStyle name="d_yield_Merg Cons_Val_1_Book_Lecture_Notes_v3.06" xfId="563" xr:uid="{00000000-0005-0000-0000-0000320B0000}"/>
    <cellStyle name="d_yield_PowerValuation.xls Chart 21" xfId="564" xr:uid="{00000000-0005-0000-0000-0000330B0000}"/>
    <cellStyle name="d_yield_PowerValuation.xls Chart 21_LANCE_Model_v0.6.DCF.MASTER.Name" xfId="565" xr:uid="{00000000-0005-0000-0000-0000340B0000}"/>
    <cellStyle name="d_yield_PowerValuation.xls Chart 21_LANCE_Model_v0.6.DCF.MASTER.Name_DCF &amp; Raios to CLX Tootsie_v1.33.xls" xfId="566" xr:uid="{00000000-0005-0000-0000-0000350B0000}"/>
    <cellStyle name="d_yield_PowerValuation.xls Chart 21_LANCE_Model_v0.6.DCF.MASTER.Name_Tootsie_TWO_DAY_TTS_Solution_v1.34" xfId="567" xr:uid="{00000000-0005-0000-0000-0000360B0000}"/>
    <cellStyle name="d_yield_PowerValuation.xls Chart 21_LANCE_Model_v0.6.DCF.MASTER.Name_Val_1_Book_Lecture_Notes_v3.06" xfId="568" xr:uid="{00000000-0005-0000-0000-0000370B0000}"/>
    <cellStyle name="d_yield_PowerValuation.xls Chart 21_Val_1_Book_Lecture_Notes_v3.06" xfId="569" xr:uid="{00000000-0005-0000-0000-0000380B0000}"/>
    <cellStyle name="d_yield_PowerValuation.xls Chart 28" xfId="570" xr:uid="{00000000-0005-0000-0000-0000390B0000}"/>
    <cellStyle name="d_yield_PowerValuation.xls Chart 28_LANCE_Model_v0.6.DCF.MASTER.Name" xfId="571" xr:uid="{00000000-0005-0000-0000-00003A0B0000}"/>
    <cellStyle name="d_yield_PowerValuation.xls Chart 28_LANCE_Model_v0.6.DCF.MASTER.Name_DCF &amp; Raios to CLX Tootsie_v1.33.xls" xfId="572" xr:uid="{00000000-0005-0000-0000-00003B0B0000}"/>
    <cellStyle name="d_yield_PowerValuation.xls Chart 28_LANCE_Model_v0.6.DCF.MASTER.Name_Tootsie_TWO_DAY_TTS_Solution_v1.34" xfId="573" xr:uid="{00000000-0005-0000-0000-00003C0B0000}"/>
    <cellStyle name="d_yield_PowerValuation.xls Chart 28_LANCE_Model_v0.6.DCF.MASTER.Name_Val_1_Book_Lecture_Notes_v3.06" xfId="574" xr:uid="{00000000-0005-0000-0000-00003D0B0000}"/>
    <cellStyle name="d_yield_PowerValuation.xls Chart 28_Val_1_Book_Lecture_Notes_v3.06" xfId="575" xr:uid="{00000000-0005-0000-0000-00003E0B0000}"/>
    <cellStyle name="d_yield_Proj10" xfId="576" xr:uid="{00000000-0005-0000-0000-00003F0B0000}"/>
    <cellStyle name="d_yield_Proj10_1 FM_101_Examples_v7.31McIntire" xfId="577" xr:uid="{00000000-0005-0000-0000-0000400B0000}"/>
    <cellStyle name="d_yield_Proj10_1 FM_101_Examples_v7.31McIntire_1 FM_101_Examples_TWO-Day_v7.31" xfId="578" xr:uid="{00000000-0005-0000-0000-0000410B0000}"/>
    <cellStyle name="d_yield_Proj10_AVP" xfId="579" xr:uid="{00000000-0005-0000-0000-0000420B0000}"/>
    <cellStyle name="d_yield_Proj10_AVP_1 FM_101_Examples_v7.31McIntire" xfId="580" xr:uid="{00000000-0005-0000-0000-0000430B0000}"/>
    <cellStyle name="d_yield_Proj10_AVP_1 FM_101_Examples_v7.31McIntire_1 FM_101_Examples_TWO-Day_v7.31" xfId="581" xr:uid="{00000000-0005-0000-0000-0000440B0000}"/>
    <cellStyle name="d_yield_Proj10_AVP_Graphic Depiction - NO DEV" xfId="582" xr:uid="{00000000-0005-0000-0000-0000450B0000}"/>
    <cellStyle name="d_yield_Proj10_AVP_Graphic Depiction - NO DEV_1 FM_101_Examples_v7.31McIntire" xfId="583" xr:uid="{00000000-0005-0000-0000-0000460B0000}"/>
    <cellStyle name="d_yield_Proj10_AVP_Graphic Depiction - NO DEV_1 FM_101_Examples_v7.31McIntire_1 FM_101_Examples_TWO-Day_v7.31" xfId="584" xr:uid="{00000000-0005-0000-0000-0000470B0000}"/>
    <cellStyle name="d_yield_Proj10_AVP_Graphic Depiction - NO DEV_Val_1_Book_Lecture_Notes_v3.06" xfId="585" xr:uid="{00000000-0005-0000-0000-0000480B0000}"/>
    <cellStyle name="d_yield_Proj10_AVP_THEsumPage (2)" xfId="586" xr:uid="{00000000-0005-0000-0000-0000490B0000}"/>
    <cellStyle name="d_yield_Proj10_AVP_THEsumPage (2)_1 FM_101_Examples_v7.31McIntire" xfId="587" xr:uid="{00000000-0005-0000-0000-00004A0B0000}"/>
    <cellStyle name="d_yield_Proj10_AVP_THEsumPage (2)_1 FM_101_Examples_v7.31McIntire_1 FM_101_Examples_TWO-Day_v7.31" xfId="588" xr:uid="{00000000-0005-0000-0000-00004B0B0000}"/>
    <cellStyle name="d_yield_Proj10_AVP_THEsumPage (2)_Val_1_Book_Lecture_Notes_v3.06" xfId="589" xr:uid="{00000000-0005-0000-0000-00004C0B0000}"/>
    <cellStyle name="d_yield_Proj10_AVP_Val_1_Book_Lecture_Notes_v3.06" xfId="590" xr:uid="{00000000-0005-0000-0000-00004D0B0000}"/>
    <cellStyle name="d_yield_Proj10_CompSheet" xfId="591" xr:uid="{00000000-0005-0000-0000-00004E0B0000}"/>
    <cellStyle name="d_yield_Proj10_CompSheet_LANCE_Model_v0.6.DCF.MASTER.Name" xfId="592" xr:uid="{00000000-0005-0000-0000-00004F0B0000}"/>
    <cellStyle name="d_yield_Proj10_CompSheet_LANCE_Model_v0.6.DCF.MASTER.Name_DCF &amp; Raios to CLX Tootsie_v1.33.xls" xfId="593" xr:uid="{00000000-0005-0000-0000-0000500B0000}"/>
    <cellStyle name="d_yield_Proj10_CompSheet_LANCE_Model_v0.6.DCF.MASTER.Name_Tootsie_TWO_DAY_TTS_Solution_v1.34" xfId="594" xr:uid="{00000000-0005-0000-0000-0000510B0000}"/>
    <cellStyle name="d_yield_Proj10_CompSheet_LANCE_Model_v0.6.DCF.MASTER.Name_Val_1_Book_Lecture_Notes_v3.06" xfId="595" xr:uid="{00000000-0005-0000-0000-0000520B0000}"/>
    <cellStyle name="d_yield_Proj10_CompSheet_Val_1_Book_Lecture_Notes_v3.06" xfId="596" xr:uid="{00000000-0005-0000-0000-0000530B0000}"/>
    <cellStyle name="d_yield_Proj10_Disc Analysis" xfId="597" xr:uid="{00000000-0005-0000-0000-0000540B0000}"/>
    <cellStyle name="d_yield_Proj10_Disc Analysis_1 FM_101_Examples_v7.31McIntire" xfId="598" xr:uid="{00000000-0005-0000-0000-0000550B0000}"/>
    <cellStyle name="d_yield_Proj10_Disc Analysis_1 FM_101_Examples_v7.31McIntire_1 FM_101_Examples_TWO-Day_v7.31" xfId="599" xr:uid="{00000000-0005-0000-0000-0000560B0000}"/>
    <cellStyle name="d_yield_Proj10_Disc Analysis_CompSheet" xfId="600" xr:uid="{00000000-0005-0000-0000-0000570B0000}"/>
    <cellStyle name="d_yield_Proj10_Disc Analysis_CompSheet_1 FM_101_Examples_v7.31McIntire" xfId="601" xr:uid="{00000000-0005-0000-0000-0000580B0000}"/>
    <cellStyle name="d_yield_Proj10_Disc Analysis_CompSheet_1 FM_101_Examples_v7.31McIntire_1 FM_101_Examples_TWO-Day_v7.31" xfId="602" xr:uid="{00000000-0005-0000-0000-0000590B0000}"/>
    <cellStyle name="d_yield_Proj10_Disc Analysis_CompSheet_Val_1_Book_Lecture_Notes_v3.06" xfId="603" xr:uid="{00000000-0005-0000-0000-00005A0B0000}"/>
    <cellStyle name="d_yield_Proj10_Disc Analysis_THEsumPage (2)" xfId="604" xr:uid="{00000000-0005-0000-0000-00005B0B0000}"/>
    <cellStyle name="d_yield_Proj10_Disc Analysis_THEsumPage (2)_1 FM_101_Examples_v7.31McIntire" xfId="605" xr:uid="{00000000-0005-0000-0000-00005C0B0000}"/>
    <cellStyle name="d_yield_Proj10_Disc Analysis_THEsumPage (2)_1 FM_101_Examples_v7.31McIntire_1 FM_101_Examples_TWO-Day_v7.31" xfId="606" xr:uid="{00000000-0005-0000-0000-00005D0B0000}"/>
    <cellStyle name="d_yield_Proj10_Disc Analysis_THEsumPage (2)_Val_1_Book_Lecture_Notes_v3.06" xfId="607" xr:uid="{00000000-0005-0000-0000-00005E0B0000}"/>
    <cellStyle name="d_yield_Proj10_Disc Analysis_Val_1_Book_Lecture_Notes_v3.06" xfId="608" xr:uid="{00000000-0005-0000-0000-00005F0B0000}"/>
    <cellStyle name="d_yield_Proj10_Fairness Opinion Valuation 4-23a.xls Chart 1" xfId="609" xr:uid="{00000000-0005-0000-0000-0000600B0000}"/>
    <cellStyle name="d_yield_Proj10_Fairness Opinion Valuation 4-23a.xls Chart 1_LANCE_Model_v0.6.DCF.MASTER.Name" xfId="610" xr:uid="{00000000-0005-0000-0000-0000610B0000}"/>
    <cellStyle name="d_yield_Proj10_Fairness Opinion Valuation 4-23a.xls Chart 1_LANCE_Model_v0.6.DCF.MASTER.Name_DCF &amp; Raios to CLX Tootsie_v1.33.xls" xfId="611" xr:uid="{00000000-0005-0000-0000-0000620B0000}"/>
    <cellStyle name="d_yield_Proj10_Fairness Opinion Valuation 4-23a.xls Chart 1_LANCE_Model_v0.6.DCF.MASTER.Name_Tootsie_TWO_DAY_TTS_Solution_v1.34" xfId="612" xr:uid="{00000000-0005-0000-0000-0000630B0000}"/>
    <cellStyle name="d_yield_Proj10_Fairness Opinion Valuation 4-23a.xls Chart 1_LANCE_Model_v0.6.DCF.MASTER.Name_Val_1_Book_Lecture_Notes_v3.06" xfId="613" xr:uid="{00000000-0005-0000-0000-0000640B0000}"/>
    <cellStyle name="d_yield_Proj10_Fairness Opinion Valuation 4-23a.xls Chart 1_Val_1_Book_Lecture_Notes_v3.06" xfId="614" xr:uid="{00000000-0005-0000-0000-0000650B0000}"/>
    <cellStyle name="d_yield_Proj10_LP Chart" xfId="615" xr:uid="{00000000-0005-0000-0000-0000660B0000}"/>
    <cellStyle name="d_yield_Proj10_LP Chart_LANCE_Model_v0.6.DCF.MASTER.Name" xfId="616" xr:uid="{00000000-0005-0000-0000-0000670B0000}"/>
    <cellStyle name="d_yield_Proj10_LP Chart_LANCE_Model_v0.6.DCF.MASTER.Name_DCF &amp; Raios to CLX Tootsie_v1.33.xls" xfId="617" xr:uid="{00000000-0005-0000-0000-0000680B0000}"/>
    <cellStyle name="d_yield_Proj10_LP Chart_LANCE_Model_v0.6.DCF.MASTER.Name_Tootsie_TWO_DAY_TTS_Solution_v1.34" xfId="618" xr:uid="{00000000-0005-0000-0000-0000690B0000}"/>
    <cellStyle name="d_yield_Proj10_LP Chart_LANCE_Model_v0.6.DCF.MASTER.Name_Val_1_Book_Lecture_Notes_v3.06" xfId="619" xr:uid="{00000000-0005-0000-0000-00006A0B0000}"/>
    <cellStyle name="d_yield_Proj10_LP Chart_THEsumPage (2)" xfId="620" xr:uid="{00000000-0005-0000-0000-00006B0B0000}"/>
    <cellStyle name="d_yield_Proj10_LP Chart_THEsumPage (2)_LANCE_Model_v0.6.DCF.MASTER.Name" xfId="621" xr:uid="{00000000-0005-0000-0000-00006C0B0000}"/>
    <cellStyle name="d_yield_Proj10_LP Chart_THEsumPage (2)_LANCE_Model_v0.6.DCF.MASTER.Name_DCF &amp; Raios to CLX Tootsie_v1.33.xls" xfId="622" xr:uid="{00000000-0005-0000-0000-00006D0B0000}"/>
    <cellStyle name="d_yield_Proj10_LP Chart_THEsumPage (2)_LANCE_Model_v0.6.DCF.MASTER.Name_Tootsie_TWO_DAY_TTS_Solution_v1.34" xfId="623" xr:uid="{00000000-0005-0000-0000-00006E0B0000}"/>
    <cellStyle name="d_yield_Proj10_LP Chart_THEsumPage (2)_LANCE_Model_v0.6.DCF.MASTER.Name_Val_1_Book_Lecture_Notes_v3.06" xfId="624" xr:uid="{00000000-0005-0000-0000-00006F0B0000}"/>
    <cellStyle name="d_yield_Proj10_LP Chart_THEsumPage (2)_Val_1_Book_Lecture_Notes_v3.06" xfId="625" xr:uid="{00000000-0005-0000-0000-0000700B0000}"/>
    <cellStyle name="d_yield_Proj10_LP Chart_Val_1_Book_Lecture_Notes_v3.06" xfId="626" xr:uid="{00000000-0005-0000-0000-0000710B0000}"/>
    <cellStyle name="d_yield_Proj10_Merg Cons" xfId="627" xr:uid="{00000000-0005-0000-0000-0000720B0000}"/>
    <cellStyle name="d_yield_Proj10_Merg Cons_1 FM_101_Examples_v7.31McIntire" xfId="628" xr:uid="{00000000-0005-0000-0000-0000730B0000}"/>
    <cellStyle name="d_yield_Proj10_Merg Cons_1 FM_101_Examples_v7.31McIntire_1 FM_101_Examples_TWO-Day_v7.31" xfId="629" xr:uid="{00000000-0005-0000-0000-0000740B0000}"/>
    <cellStyle name="d_yield_Proj10_Merg Cons_CompSheet" xfId="630" xr:uid="{00000000-0005-0000-0000-0000750B0000}"/>
    <cellStyle name="d_yield_Proj10_Merg Cons_CompSheet_1 FM_101_Examples_v7.31McIntire" xfId="631" xr:uid="{00000000-0005-0000-0000-0000760B0000}"/>
    <cellStyle name="d_yield_Proj10_Merg Cons_CompSheet_1 FM_101_Examples_v7.31McIntire_1 FM_101_Examples_TWO-Day_v7.31" xfId="632" xr:uid="{00000000-0005-0000-0000-0000770B0000}"/>
    <cellStyle name="d_yield_Proj10_Merg Cons_CompSheet_Val_1_Book_Lecture_Notes_v3.06" xfId="633" xr:uid="{00000000-0005-0000-0000-0000780B0000}"/>
    <cellStyle name="d_yield_Proj10_Merg Cons_THEsumPage (2)" xfId="634" xr:uid="{00000000-0005-0000-0000-0000790B0000}"/>
    <cellStyle name="d_yield_Proj10_Merg Cons_THEsumPage (2)_1 FM_101_Examples_v7.31McIntire" xfId="635" xr:uid="{00000000-0005-0000-0000-00007A0B0000}"/>
    <cellStyle name="d_yield_Proj10_Merg Cons_THEsumPage (2)_1 FM_101_Examples_v7.31McIntire_1 FM_101_Examples_TWO-Day_v7.31" xfId="636" xr:uid="{00000000-0005-0000-0000-00007B0B0000}"/>
    <cellStyle name="d_yield_Proj10_Merg Cons_THEsumPage (2)_Val_1_Book_Lecture_Notes_v3.06" xfId="637" xr:uid="{00000000-0005-0000-0000-00007C0B0000}"/>
    <cellStyle name="d_yield_Proj10_Merg Cons_Val_1_Book_Lecture_Notes_v3.06" xfId="638" xr:uid="{00000000-0005-0000-0000-00007D0B0000}"/>
    <cellStyle name="d_yield_Proj10_PowerValuation.xls Chart 21" xfId="639" xr:uid="{00000000-0005-0000-0000-00007E0B0000}"/>
    <cellStyle name="d_yield_Proj10_PowerValuation.xls Chart 21_LANCE_Model_v0.6.DCF.MASTER.Name" xfId="640" xr:uid="{00000000-0005-0000-0000-00007F0B0000}"/>
    <cellStyle name="d_yield_Proj10_PowerValuation.xls Chart 21_LANCE_Model_v0.6.DCF.MASTER.Name_DCF &amp; Raios to CLX Tootsie_v1.33.xls" xfId="641" xr:uid="{00000000-0005-0000-0000-0000800B0000}"/>
    <cellStyle name="d_yield_Proj10_PowerValuation.xls Chart 21_LANCE_Model_v0.6.DCF.MASTER.Name_Tootsie_TWO_DAY_TTS_Solution_v1.34" xfId="642" xr:uid="{00000000-0005-0000-0000-0000810B0000}"/>
    <cellStyle name="d_yield_Proj10_PowerValuation.xls Chart 21_LANCE_Model_v0.6.DCF.MASTER.Name_Val_1_Book_Lecture_Notes_v3.06" xfId="643" xr:uid="{00000000-0005-0000-0000-0000820B0000}"/>
    <cellStyle name="d_yield_Proj10_PowerValuation.xls Chart 21_Val_1_Book_Lecture_Notes_v3.06" xfId="644" xr:uid="{00000000-0005-0000-0000-0000830B0000}"/>
    <cellStyle name="d_yield_Proj10_PowerValuation.xls Chart 28" xfId="645" xr:uid="{00000000-0005-0000-0000-0000840B0000}"/>
    <cellStyle name="d_yield_Proj10_PowerValuation.xls Chart 28_LANCE_Model_v0.6.DCF.MASTER.Name" xfId="646" xr:uid="{00000000-0005-0000-0000-0000850B0000}"/>
    <cellStyle name="d_yield_Proj10_PowerValuation.xls Chart 28_LANCE_Model_v0.6.DCF.MASTER.Name_DCF &amp; Raios to CLX Tootsie_v1.33.xls" xfId="647" xr:uid="{00000000-0005-0000-0000-0000860B0000}"/>
    <cellStyle name="d_yield_Proj10_PowerValuation.xls Chart 28_LANCE_Model_v0.6.DCF.MASTER.Name_Tootsie_TWO_DAY_TTS_Solution_v1.34" xfId="648" xr:uid="{00000000-0005-0000-0000-0000870B0000}"/>
    <cellStyle name="d_yield_Proj10_PowerValuation.xls Chart 28_LANCE_Model_v0.6.DCF.MASTER.Name_Val_1_Book_Lecture_Notes_v3.06" xfId="649" xr:uid="{00000000-0005-0000-0000-0000880B0000}"/>
    <cellStyle name="d_yield_Proj10_PowerValuation.xls Chart 28_Val_1_Book_Lecture_Notes_v3.06" xfId="650" xr:uid="{00000000-0005-0000-0000-0000890B0000}"/>
    <cellStyle name="d_yield_Proj10_Sensitivity" xfId="651" xr:uid="{00000000-0005-0000-0000-00008A0B0000}"/>
    <cellStyle name="d_yield_Proj10_Sensitivity_1 FM_101_Examples_v7.31McIntire" xfId="652" xr:uid="{00000000-0005-0000-0000-00008B0B0000}"/>
    <cellStyle name="d_yield_Proj10_Sensitivity_1 FM_101_Examples_v7.31McIntire_1 FM_101_Examples_TWO-Day_v7.31" xfId="653" xr:uid="{00000000-0005-0000-0000-00008C0B0000}"/>
    <cellStyle name="d_yield_Proj10_Sensitivity_CompSheet" xfId="654" xr:uid="{00000000-0005-0000-0000-00008D0B0000}"/>
    <cellStyle name="d_yield_Proj10_Sensitivity_CompSheet_1 FM_101_Examples_v7.31McIntire" xfId="655" xr:uid="{00000000-0005-0000-0000-00008E0B0000}"/>
    <cellStyle name="d_yield_Proj10_Sensitivity_CompSheet_1 FM_101_Examples_v7.31McIntire_1 FM_101_Examples_TWO-Day_v7.31" xfId="656" xr:uid="{00000000-0005-0000-0000-00008F0B0000}"/>
    <cellStyle name="d_yield_Proj10_Sensitivity_CompSheet_Val_1_Book_Lecture_Notes_v3.06" xfId="657" xr:uid="{00000000-0005-0000-0000-0000900B0000}"/>
    <cellStyle name="d_yield_Proj10_Sensitivity_THEsumPage (2)" xfId="658" xr:uid="{00000000-0005-0000-0000-0000910B0000}"/>
    <cellStyle name="d_yield_Proj10_Sensitivity_THEsumPage (2)_1 FM_101_Examples_v7.31McIntire" xfId="659" xr:uid="{00000000-0005-0000-0000-0000920B0000}"/>
    <cellStyle name="d_yield_Proj10_Sensitivity_THEsumPage (2)_1 FM_101_Examples_v7.31McIntire_1 FM_101_Examples_TWO-Day_v7.31" xfId="660" xr:uid="{00000000-0005-0000-0000-0000930B0000}"/>
    <cellStyle name="d_yield_Proj10_Sensitivity_THEsumPage (2)_Val_1_Book_Lecture_Notes_v3.06" xfId="661" xr:uid="{00000000-0005-0000-0000-0000940B0000}"/>
    <cellStyle name="d_yield_Proj10_Sensitivity_Val_1_Book_Lecture_Notes_v3.06" xfId="662" xr:uid="{00000000-0005-0000-0000-0000950B0000}"/>
    <cellStyle name="d_yield_Proj10_show-hold" xfId="663" xr:uid="{00000000-0005-0000-0000-0000960B0000}"/>
    <cellStyle name="d_yield_Proj10_show-hold_1 FM_101_Examples_v7.31McIntire" xfId="664" xr:uid="{00000000-0005-0000-0000-0000970B0000}"/>
    <cellStyle name="d_yield_Proj10_show-hold_1 FM_101_Examples_v7.31McIntire_1 FM_101_Examples_TWO-Day_v7.31" xfId="665" xr:uid="{00000000-0005-0000-0000-0000980B0000}"/>
    <cellStyle name="d_yield_Proj10_show-hold_Graphic Depiction - NO DEV" xfId="666" xr:uid="{00000000-0005-0000-0000-0000990B0000}"/>
    <cellStyle name="d_yield_Proj10_show-hold_Graphic Depiction - NO DEV_1 FM_101_Examples_v7.31McIntire" xfId="667" xr:uid="{00000000-0005-0000-0000-00009A0B0000}"/>
    <cellStyle name="d_yield_Proj10_show-hold_Graphic Depiction - NO DEV_1 FM_101_Examples_v7.31McIntire_1 FM_101_Examples_TWO-Day_v7.31" xfId="668" xr:uid="{00000000-0005-0000-0000-00009B0B0000}"/>
    <cellStyle name="d_yield_Proj10_show-hold_Graphic Depiction - NO DEV_Val_1_Book_Lecture_Notes_v3.06" xfId="669" xr:uid="{00000000-0005-0000-0000-00009C0B0000}"/>
    <cellStyle name="d_yield_Proj10_show-hold_THEsumPage (2)" xfId="670" xr:uid="{00000000-0005-0000-0000-00009D0B0000}"/>
    <cellStyle name="d_yield_Proj10_show-hold_THEsumPage (2)_1 FM_101_Examples_v7.31McIntire" xfId="671" xr:uid="{00000000-0005-0000-0000-00009E0B0000}"/>
    <cellStyle name="d_yield_Proj10_show-hold_THEsumPage (2)_1 FM_101_Examples_v7.31McIntire_1 FM_101_Examples_TWO-Day_v7.31" xfId="672" xr:uid="{00000000-0005-0000-0000-00009F0B0000}"/>
    <cellStyle name="d_yield_Proj10_show-hold_THEsumPage (2)_Val_1_Book_Lecture_Notes_v3.06" xfId="673" xr:uid="{00000000-0005-0000-0000-0000A00B0000}"/>
    <cellStyle name="d_yield_Proj10_show-hold_Val_1_Book_Lecture_Notes_v3.06" xfId="674" xr:uid="{00000000-0005-0000-0000-0000A10B0000}"/>
    <cellStyle name="d_yield_Proj10_THEsumPage (2)" xfId="675" xr:uid="{00000000-0005-0000-0000-0000A20B0000}"/>
    <cellStyle name="d_yield_Proj10_THEsumPage (2)_LANCE_Model_v0.6.DCF.MASTER.Name" xfId="676" xr:uid="{00000000-0005-0000-0000-0000A30B0000}"/>
    <cellStyle name="d_yield_Proj10_THEsumPage (2)_LANCE_Model_v0.6.DCF.MASTER.Name_DCF &amp; Raios to CLX Tootsie_v1.33.xls" xfId="677" xr:uid="{00000000-0005-0000-0000-0000A40B0000}"/>
    <cellStyle name="d_yield_Proj10_THEsumPage (2)_LANCE_Model_v0.6.DCF.MASTER.Name_Tootsie_TWO_DAY_TTS_Solution_v1.34" xfId="678" xr:uid="{00000000-0005-0000-0000-0000A50B0000}"/>
    <cellStyle name="d_yield_Proj10_THEsumPage (2)_LANCE_Model_v0.6.DCF.MASTER.Name_Val_1_Book_Lecture_Notes_v3.06" xfId="679" xr:uid="{00000000-0005-0000-0000-0000A60B0000}"/>
    <cellStyle name="d_yield_Proj10_THEsumPage (2)_Val_1_Book_Lecture_Notes_v3.06" xfId="680" xr:uid="{00000000-0005-0000-0000-0000A70B0000}"/>
    <cellStyle name="d_yield_Proj10_Val_1_Book_Lecture_Notes_v3.06" xfId="681" xr:uid="{00000000-0005-0000-0000-0000A80B0000}"/>
    <cellStyle name="d_yield_Proj10_Valuation summaries" xfId="682" xr:uid="{00000000-0005-0000-0000-0000A90B0000}"/>
    <cellStyle name="d_yield_Proj10_Valuation summaries_LANCE_Model_v0.6.DCF.MASTER.Name" xfId="683" xr:uid="{00000000-0005-0000-0000-0000AA0B0000}"/>
    <cellStyle name="d_yield_Proj10_Valuation summaries_LANCE_Model_v0.6.DCF.MASTER.Name_DCF &amp; Raios to CLX Tootsie_v1.33.xls" xfId="684" xr:uid="{00000000-0005-0000-0000-0000AB0B0000}"/>
    <cellStyle name="d_yield_Proj10_Valuation summaries_LANCE_Model_v0.6.DCF.MASTER.Name_Tootsie_TWO_DAY_TTS_Solution_v1.34" xfId="685" xr:uid="{00000000-0005-0000-0000-0000AC0B0000}"/>
    <cellStyle name="d_yield_Proj10_Valuation summaries_LANCE_Model_v0.6.DCF.MASTER.Name_Val_1_Book_Lecture_Notes_v3.06" xfId="686" xr:uid="{00000000-0005-0000-0000-0000AD0B0000}"/>
    <cellStyle name="d_yield_Proj10_Valuation summaries_Val_1_Book_Lecture_Notes_v3.06" xfId="687" xr:uid="{00000000-0005-0000-0000-0000AE0B0000}"/>
    <cellStyle name="d_yield_Proj10_WACC-CableCar" xfId="688" xr:uid="{00000000-0005-0000-0000-0000AF0B0000}"/>
    <cellStyle name="d_yield_Proj10_WACC-CableCar_LANCE_Model_v0.6.DCF.MASTER.Name" xfId="689" xr:uid="{00000000-0005-0000-0000-0000B00B0000}"/>
    <cellStyle name="d_yield_Proj10_WACC-CableCar_LANCE_Model_v0.6.DCF.MASTER.Name_DCF &amp; Raios to CLX Tootsie_v1.33.xls" xfId="690" xr:uid="{00000000-0005-0000-0000-0000B10B0000}"/>
    <cellStyle name="d_yield_Proj10_WACC-CableCar_LANCE_Model_v0.6.DCF.MASTER.Name_Tootsie_TWO_DAY_TTS_Solution_v1.34" xfId="691" xr:uid="{00000000-0005-0000-0000-0000B20B0000}"/>
    <cellStyle name="d_yield_Proj10_WACC-CableCar_LANCE_Model_v0.6.DCF.MASTER.Name_Val_1_Book_Lecture_Notes_v3.06" xfId="692" xr:uid="{00000000-0005-0000-0000-0000B30B0000}"/>
    <cellStyle name="d_yield_Proj10_WACC-CableCar_THEsumPage (2)" xfId="693" xr:uid="{00000000-0005-0000-0000-0000B40B0000}"/>
    <cellStyle name="d_yield_Proj10_WACC-CableCar_THEsumPage (2)_LANCE_Model_v0.6.DCF.MASTER.Name" xfId="694" xr:uid="{00000000-0005-0000-0000-0000B50B0000}"/>
    <cellStyle name="d_yield_Proj10_WACC-CableCar_THEsumPage (2)_LANCE_Model_v0.6.DCF.MASTER.Name_DCF &amp; Raios to CLX Tootsie_v1.33.xls" xfId="695" xr:uid="{00000000-0005-0000-0000-0000B60B0000}"/>
    <cellStyle name="d_yield_Proj10_WACC-CableCar_THEsumPage (2)_LANCE_Model_v0.6.DCF.MASTER.Name_Tootsie_TWO_DAY_TTS_Solution_v1.34" xfId="696" xr:uid="{00000000-0005-0000-0000-0000B70B0000}"/>
    <cellStyle name="d_yield_Proj10_WACC-CableCar_THEsumPage (2)_LANCE_Model_v0.6.DCF.MASTER.Name_Val_1_Book_Lecture_Notes_v3.06" xfId="697" xr:uid="{00000000-0005-0000-0000-0000B80B0000}"/>
    <cellStyle name="d_yield_Proj10_WACC-CableCar_THEsumPage (2)_Val_1_Book_Lecture_Notes_v3.06" xfId="698" xr:uid="{00000000-0005-0000-0000-0000B90B0000}"/>
    <cellStyle name="d_yield_Proj10_WACC-CableCar_Val_1_Book_Lecture_Notes_v3.06" xfId="699" xr:uid="{00000000-0005-0000-0000-0000BA0B0000}"/>
    <cellStyle name="d_yield_Proj10_WACC-RAD (2)" xfId="700" xr:uid="{00000000-0005-0000-0000-0000BB0B0000}"/>
    <cellStyle name="d_yield_Proj10_WACC-RAD (2)_LANCE_Model_v0.6.DCF.MASTER.Name" xfId="701" xr:uid="{00000000-0005-0000-0000-0000BC0B0000}"/>
    <cellStyle name="d_yield_Proj10_WACC-RAD (2)_LANCE_Model_v0.6.DCF.MASTER.Name_DCF &amp; Raios to CLX Tootsie_v1.33.xls" xfId="702" xr:uid="{00000000-0005-0000-0000-0000BD0B0000}"/>
    <cellStyle name="d_yield_Proj10_WACC-RAD (2)_LANCE_Model_v0.6.DCF.MASTER.Name_Tootsie_TWO_DAY_TTS_Solution_v1.34" xfId="703" xr:uid="{00000000-0005-0000-0000-0000BE0B0000}"/>
    <cellStyle name="d_yield_Proj10_WACC-RAD (2)_LANCE_Model_v0.6.DCF.MASTER.Name_Val_1_Book_Lecture_Notes_v3.06" xfId="704" xr:uid="{00000000-0005-0000-0000-0000BF0B0000}"/>
    <cellStyle name="d_yield_Proj10_WACC-RAD (2)_THEsumPage (2)" xfId="705" xr:uid="{00000000-0005-0000-0000-0000C00B0000}"/>
    <cellStyle name="d_yield_Proj10_WACC-RAD (2)_THEsumPage (2)_LANCE_Model_v0.6.DCF.MASTER.Name" xfId="706" xr:uid="{00000000-0005-0000-0000-0000C10B0000}"/>
    <cellStyle name="d_yield_Proj10_WACC-RAD (2)_THEsumPage (2)_LANCE_Model_v0.6.DCF.MASTER.Name_DCF &amp; Raios to CLX Tootsie_v1.33.xls" xfId="707" xr:uid="{00000000-0005-0000-0000-0000C20B0000}"/>
    <cellStyle name="d_yield_Proj10_WACC-RAD (2)_THEsumPage (2)_LANCE_Model_v0.6.DCF.MASTER.Name_Tootsie_TWO_DAY_TTS_Solution_v1.34" xfId="708" xr:uid="{00000000-0005-0000-0000-0000C30B0000}"/>
    <cellStyle name="d_yield_Proj10_WACC-RAD (2)_THEsumPage (2)_LANCE_Model_v0.6.DCF.MASTER.Name_Val_1_Book_Lecture_Notes_v3.06" xfId="709" xr:uid="{00000000-0005-0000-0000-0000C40B0000}"/>
    <cellStyle name="d_yield_Proj10_WACC-RAD (2)_THEsumPage (2)_Val_1_Book_Lecture_Notes_v3.06" xfId="710" xr:uid="{00000000-0005-0000-0000-0000C50B0000}"/>
    <cellStyle name="d_yield_Proj10_WACC-RAD (2)_Val_1_Book_Lecture_Notes_v3.06" xfId="711" xr:uid="{00000000-0005-0000-0000-0000C60B0000}"/>
    <cellStyle name="d_yield_Sensitivity" xfId="712" xr:uid="{00000000-0005-0000-0000-0000C70B0000}"/>
    <cellStyle name="d_yield_Sensitivity_1 FM_101_Examples_v7.31McIntire" xfId="713" xr:uid="{00000000-0005-0000-0000-0000C80B0000}"/>
    <cellStyle name="d_yield_Sensitivity_1 FM_101_Examples_v7.31McIntire_1 FM_101_Examples_TWO-Day_v7.31" xfId="714" xr:uid="{00000000-0005-0000-0000-0000C90B0000}"/>
    <cellStyle name="d_yield_Sensitivity_CompSheet" xfId="715" xr:uid="{00000000-0005-0000-0000-0000CA0B0000}"/>
    <cellStyle name="d_yield_Sensitivity_CompSheet_1 FM_101_Examples_v7.31McIntire" xfId="716" xr:uid="{00000000-0005-0000-0000-0000CB0B0000}"/>
    <cellStyle name="d_yield_Sensitivity_CompSheet_1 FM_101_Examples_v7.31McIntire_1 FM_101_Examples_TWO-Day_v7.31" xfId="717" xr:uid="{00000000-0005-0000-0000-0000CC0B0000}"/>
    <cellStyle name="d_yield_Sensitivity_CompSheet_Val_1_Book_Lecture_Notes_v3.06" xfId="718" xr:uid="{00000000-0005-0000-0000-0000CD0B0000}"/>
    <cellStyle name="d_yield_Sensitivity_THEsumPage (2)" xfId="719" xr:uid="{00000000-0005-0000-0000-0000CE0B0000}"/>
    <cellStyle name="d_yield_Sensitivity_THEsumPage (2)_1 FM_101_Examples_v7.31McIntire" xfId="720" xr:uid="{00000000-0005-0000-0000-0000CF0B0000}"/>
    <cellStyle name="d_yield_Sensitivity_THEsumPage (2)_1 FM_101_Examples_v7.31McIntire_1 FM_101_Examples_TWO-Day_v7.31" xfId="721" xr:uid="{00000000-0005-0000-0000-0000D00B0000}"/>
    <cellStyle name="d_yield_Sensitivity_THEsumPage (2)_Val_1_Book_Lecture_Notes_v3.06" xfId="722" xr:uid="{00000000-0005-0000-0000-0000D10B0000}"/>
    <cellStyle name="d_yield_Sensitivity_Val_1_Book_Lecture_Notes_v3.06" xfId="723" xr:uid="{00000000-0005-0000-0000-0000D20B0000}"/>
    <cellStyle name="d_yield_show-hold" xfId="724" xr:uid="{00000000-0005-0000-0000-0000D30B0000}"/>
    <cellStyle name="d_yield_show-hold_1 FM_101_Examples_v7.31McIntire" xfId="725" xr:uid="{00000000-0005-0000-0000-0000D40B0000}"/>
    <cellStyle name="d_yield_show-hold_1 FM_101_Examples_v7.31McIntire_1 FM_101_Examples_TWO-Day_v7.31" xfId="726" xr:uid="{00000000-0005-0000-0000-0000D50B0000}"/>
    <cellStyle name="d_yield_show-hold_CompSheet" xfId="727" xr:uid="{00000000-0005-0000-0000-0000D60B0000}"/>
    <cellStyle name="d_yield_show-hold_CompSheet_1 FM_101_Examples_v7.31McIntire" xfId="728" xr:uid="{00000000-0005-0000-0000-0000D70B0000}"/>
    <cellStyle name="d_yield_show-hold_CompSheet_1 FM_101_Examples_v7.31McIntire_1 FM_101_Examples_TWO-Day_v7.31" xfId="729" xr:uid="{00000000-0005-0000-0000-0000D80B0000}"/>
    <cellStyle name="d_yield_show-hold_CompSheet_Val_1_Book_Lecture_Notes_v3.06" xfId="730" xr:uid="{00000000-0005-0000-0000-0000D90B0000}"/>
    <cellStyle name="d_yield_show-hold_THEsumPage (2)" xfId="731" xr:uid="{00000000-0005-0000-0000-0000DA0B0000}"/>
    <cellStyle name="d_yield_show-hold_THEsumPage (2)_1 FM_101_Examples_v7.31McIntire" xfId="732" xr:uid="{00000000-0005-0000-0000-0000DB0B0000}"/>
    <cellStyle name="d_yield_show-hold_THEsumPage (2)_1 FM_101_Examples_v7.31McIntire_1 FM_101_Examples_TWO-Day_v7.31" xfId="733" xr:uid="{00000000-0005-0000-0000-0000DC0B0000}"/>
    <cellStyle name="d_yield_show-hold_THEsumPage (2)_Val_1_Book_Lecture_Notes_v3.06" xfId="734" xr:uid="{00000000-0005-0000-0000-0000DD0B0000}"/>
    <cellStyle name="d_yield_show-hold_Val_1_Book_Lecture_Notes_v3.06" xfId="735" xr:uid="{00000000-0005-0000-0000-0000DE0B0000}"/>
    <cellStyle name="d_yield_THEsumPage (2)" xfId="736" xr:uid="{00000000-0005-0000-0000-0000DF0B0000}"/>
    <cellStyle name="d_yield_THEsumPage (2)_LANCE_Model_v0.6.DCF.MASTER.Name" xfId="737" xr:uid="{00000000-0005-0000-0000-0000E00B0000}"/>
    <cellStyle name="d_yield_THEsumPage (2)_LANCE_Model_v0.6.DCF.MASTER.Name_DCF &amp; Raios to CLX Tootsie_v1.33.xls" xfId="738" xr:uid="{00000000-0005-0000-0000-0000E10B0000}"/>
    <cellStyle name="d_yield_THEsumPage (2)_LANCE_Model_v0.6.DCF.MASTER.Name_Tootsie_TWO_DAY_TTS_Solution_v1.34" xfId="739" xr:uid="{00000000-0005-0000-0000-0000E20B0000}"/>
    <cellStyle name="d_yield_THEsumPage (2)_LANCE_Model_v0.6.DCF.MASTER.Name_Val_1_Book_Lecture_Notes_v3.06" xfId="740" xr:uid="{00000000-0005-0000-0000-0000E30B0000}"/>
    <cellStyle name="d_yield_THEsumPage (2)_Val_1_Book_Lecture_Notes_v3.06" xfId="741" xr:uid="{00000000-0005-0000-0000-0000E40B0000}"/>
    <cellStyle name="d_yield_Val_1_Book_Lecture_Notes_v3.06" xfId="742" xr:uid="{00000000-0005-0000-0000-0000E50B0000}"/>
    <cellStyle name="d_yield_Valuation summaries" xfId="743" xr:uid="{00000000-0005-0000-0000-0000E60B0000}"/>
    <cellStyle name="d_yield_Valuation summaries_LANCE_Model_v0.6.DCF.MASTER.Name" xfId="744" xr:uid="{00000000-0005-0000-0000-0000E70B0000}"/>
    <cellStyle name="d_yield_Valuation summaries_LANCE_Model_v0.6.DCF.MASTER.Name_DCF &amp; Raios to CLX Tootsie_v1.33.xls" xfId="745" xr:uid="{00000000-0005-0000-0000-0000E80B0000}"/>
    <cellStyle name="d_yield_Valuation summaries_LANCE_Model_v0.6.DCF.MASTER.Name_Tootsie_TWO_DAY_TTS_Solution_v1.34" xfId="746" xr:uid="{00000000-0005-0000-0000-0000E90B0000}"/>
    <cellStyle name="d_yield_Valuation summaries_LANCE_Model_v0.6.DCF.MASTER.Name_Val_1_Book_Lecture_Notes_v3.06" xfId="747" xr:uid="{00000000-0005-0000-0000-0000EA0B0000}"/>
    <cellStyle name="d_yield_Valuation summaries_Val_1_Book_Lecture_Notes_v3.06" xfId="748" xr:uid="{00000000-0005-0000-0000-0000EB0B0000}"/>
    <cellStyle name="d_yield_WACC-CableCar" xfId="749" xr:uid="{00000000-0005-0000-0000-0000EC0B0000}"/>
    <cellStyle name="d_yield_WACC-CableCar_LANCE_Model_v0.6.DCF.MASTER.Name" xfId="750" xr:uid="{00000000-0005-0000-0000-0000ED0B0000}"/>
    <cellStyle name="d_yield_WACC-CableCar_LANCE_Model_v0.6.DCF.MASTER.Name_DCF &amp; Raios to CLX Tootsie_v1.33.xls" xfId="751" xr:uid="{00000000-0005-0000-0000-0000EE0B0000}"/>
    <cellStyle name="d_yield_WACC-CableCar_LANCE_Model_v0.6.DCF.MASTER.Name_Tootsie_TWO_DAY_TTS_Solution_v1.34" xfId="752" xr:uid="{00000000-0005-0000-0000-0000EF0B0000}"/>
    <cellStyle name="d_yield_WACC-CableCar_LANCE_Model_v0.6.DCF.MASTER.Name_Val_1_Book_Lecture_Notes_v3.06" xfId="753" xr:uid="{00000000-0005-0000-0000-0000F00B0000}"/>
    <cellStyle name="d_yield_WACC-CableCar_THEsumPage (2)" xfId="754" xr:uid="{00000000-0005-0000-0000-0000F10B0000}"/>
    <cellStyle name="d_yield_WACC-CableCar_THEsumPage (2)_LANCE_Model_v0.6.DCF.MASTER.Name" xfId="755" xr:uid="{00000000-0005-0000-0000-0000F20B0000}"/>
    <cellStyle name="d_yield_WACC-CableCar_THEsumPage (2)_LANCE_Model_v0.6.DCF.MASTER.Name_DCF &amp; Raios to CLX Tootsie_v1.33.xls" xfId="756" xr:uid="{00000000-0005-0000-0000-0000F30B0000}"/>
    <cellStyle name="d_yield_WACC-CableCar_THEsumPage (2)_LANCE_Model_v0.6.DCF.MASTER.Name_Tootsie_TWO_DAY_TTS_Solution_v1.34" xfId="757" xr:uid="{00000000-0005-0000-0000-0000F40B0000}"/>
    <cellStyle name="d_yield_WACC-CableCar_THEsumPage (2)_LANCE_Model_v0.6.DCF.MASTER.Name_Val_1_Book_Lecture_Notes_v3.06" xfId="758" xr:uid="{00000000-0005-0000-0000-0000F50B0000}"/>
    <cellStyle name="d_yield_WACC-CableCar_THEsumPage (2)_Val_1_Book_Lecture_Notes_v3.06" xfId="759" xr:uid="{00000000-0005-0000-0000-0000F60B0000}"/>
    <cellStyle name="d_yield_WACC-CableCar_Val_1_Book_Lecture_Notes_v3.06" xfId="760" xr:uid="{00000000-0005-0000-0000-0000F70B0000}"/>
    <cellStyle name="d_yield_WACC-RAD (2)" xfId="761" xr:uid="{00000000-0005-0000-0000-0000F80B0000}"/>
    <cellStyle name="d_yield_WACC-RAD (2)_LANCE_Model_v0.6.DCF.MASTER.Name" xfId="762" xr:uid="{00000000-0005-0000-0000-0000F90B0000}"/>
    <cellStyle name="d_yield_WACC-RAD (2)_LANCE_Model_v0.6.DCF.MASTER.Name_DCF &amp; Raios to CLX Tootsie_v1.33.xls" xfId="763" xr:uid="{00000000-0005-0000-0000-0000FA0B0000}"/>
    <cellStyle name="d_yield_WACC-RAD (2)_LANCE_Model_v0.6.DCF.MASTER.Name_Tootsie_TWO_DAY_TTS_Solution_v1.34" xfId="764" xr:uid="{00000000-0005-0000-0000-0000FB0B0000}"/>
    <cellStyle name="d_yield_WACC-RAD (2)_LANCE_Model_v0.6.DCF.MASTER.Name_Val_1_Book_Lecture_Notes_v3.06" xfId="765" xr:uid="{00000000-0005-0000-0000-0000FC0B0000}"/>
    <cellStyle name="d_yield_WACC-RAD (2)_THEsumPage (2)" xfId="766" xr:uid="{00000000-0005-0000-0000-0000FD0B0000}"/>
    <cellStyle name="d_yield_WACC-RAD (2)_THEsumPage (2)_LANCE_Model_v0.6.DCF.MASTER.Name" xfId="767" xr:uid="{00000000-0005-0000-0000-0000FE0B0000}"/>
    <cellStyle name="d_yield_WACC-RAD (2)_THEsumPage (2)_LANCE_Model_v0.6.DCF.MASTER.Name_DCF &amp; Raios to CLX Tootsie_v1.33.xls" xfId="768" xr:uid="{00000000-0005-0000-0000-0000FF0B0000}"/>
    <cellStyle name="d_yield_WACC-RAD (2)_THEsumPage (2)_LANCE_Model_v0.6.DCF.MASTER.Name_Tootsie_TWO_DAY_TTS_Solution_v1.34" xfId="769" xr:uid="{00000000-0005-0000-0000-0000000C0000}"/>
    <cellStyle name="d_yield_WACC-RAD (2)_THEsumPage (2)_LANCE_Model_v0.6.DCF.MASTER.Name_Val_1_Book_Lecture_Notes_v3.06" xfId="770" xr:uid="{00000000-0005-0000-0000-0000010C0000}"/>
    <cellStyle name="d_yield_WACC-RAD (2)_THEsumPage (2)_Val_1_Book_Lecture_Notes_v3.06" xfId="771" xr:uid="{00000000-0005-0000-0000-0000020C0000}"/>
    <cellStyle name="d_yield_WACC-RAD (2)_Val_1_Book_Lecture_Notes_v3.06" xfId="772" xr:uid="{00000000-0005-0000-0000-0000030C0000}"/>
    <cellStyle name="Dash" xfId="773" xr:uid="{00000000-0005-0000-0000-0000040C0000}"/>
    <cellStyle name="Dash 2" xfId="1875" xr:uid="{00000000-0005-0000-0000-0000050C0000}"/>
    <cellStyle name="data" xfId="774" xr:uid="{00000000-0005-0000-0000-0000060C0000}"/>
    <cellStyle name="Date" xfId="775" xr:uid="{00000000-0005-0000-0000-0000070C0000}"/>
    <cellStyle name="Date 2" xfId="1876" xr:uid="{00000000-0005-0000-0000-0000080C0000}"/>
    <cellStyle name="Date, mmm-yy" xfId="1877" xr:uid="{00000000-0005-0000-0000-0000090C0000}"/>
    <cellStyle name="Date, mmm-yy 2" xfId="11087" xr:uid="{00000000-0005-0000-0000-00000A0C0000}"/>
    <cellStyle name="Date, mmm-yy 3" xfId="11290" xr:uid="{00000000-0005-0000-0000-00000B0C0000}"/>
    <cellStyle name="D-No Decimal" xfId="1878" xr:uid="{00000000-0005-0000-0000-00000C0C0000}"/>
    <cellStyle name="dollar" xfId="776" xr:uid="{00000000-0005-0000-0000-00000D0C0000}"/>
    <cellStyle name="dollar[0]" xfId="777" xr:uid="{00000000-0005-0000-0000-00000E0C0000}"/>
    <cellStyle name="dollar_MBA_Val_101_CAD_2009_BACKUP_v1.0_Draft_10" xfId="778" xr:uid="{00000000-0005-0000-0000-00000F0C0000}"/>
    <cellStyle name="Dollars" xfId="779" xr:uid="{00000000-0005-0000-0000-0000100C0000}"/>
    <cellStyle name="Dollars []" xfId="780" xr:uid="{00000000-0005-0000-0000-0000110C0000}"/>
    <cellStyle name="Dollars_Annotated_Templates_Hershey-2006_0.2" xfId="781" xr:uid="{00000000-0005-0000-0000-0000120C0000}"/>
    <cellStyle name="En miles" xfId="1879" xr:uid="{00000000-0005-0000-0000-0000130C0000}"/>
    <cellStyle name="En millones" xfId="1880" xr:uid="{00000000-0005-0000-0000-0000140C0000}"/>
    <cellStyle name="Encabezado 4" xfId="1881" xr:uid="{00000000-0005-0000-0000-0000150C0000}"/>
    <cellStyle name="Ênfase1" xfId="1882" xr:uid="{00000000-0005-0000-0000-0000160C0000}"/>
    <cellStyle name="Ênfase2" xfId="1883" xr:uid="{00000000-0005-0000-0000-0000170C0000}"/>
    <cellStyle name="Ênfase3" xfId="1884" xr:uid="{00000000-0005-0000-0000-0000180C0000}"/>
    <cellStyle name="Ênfase4" xfId="1885" xr:uid="{00000000-0005-0000-0000-0000190C0000}"/>
    <cellStyle name="Ênfase5" xfId="1886" xr:uid="{00000000-0005-0000-0000-00001A0C0000}"/>
    <cellStyle name="Ênfase6" xfId="1887" xr:uid="{00000000-0005-0000-0000-00001B0C0000}"/>
    <cellStyle name="Énfasis1" xfId="1888" xr:uid="{00000000-0005-0000-0000-00001C0C0000}"/>
    <cellStyle name="Énfasis2" xfId="1889" xr:uid="{00000000-0005-0000-0000-00001D0C0000}"/>
    <cellStyle name="Énfasis3" xfId="1890" xr:uid="{00000000-0005-0000-0000-00001E0C0000}"/>
    <cellStyle name="Énfasis4" xfId="1891" xr:uid="{00000000-0005-0000-0000-00001F0C0000}"/>
    <cellStyle name="Énfasis5" xfId="1892" xr:uid="{00000000-0005-0000-0000-0000200C0000}"/>
    <cellStyle name="Énfasis6" xfId="1893" xr:uid="{00000000-0005-0000-0000-0000210C0000}"/>
    <cellStyle name="Entered" xfId="361" xr:uid="{00000000-0005-0000-0000-0000220C0000}"/>
    <cellStyle name="EnteredGrowth" xfId="362" xr:uid="{00000000-0005-0000-0000-0000230C0000}"/>
    <cellStyle name="Entrada" xfId="1894" xr:uid="{00000000-0005-0000-0000-0000240C0000}"/>
    <cellStyle name="Entrada 2" xfId="11088" xr:uid="{00000000-0005-0000-0000-0000250C0000}"/>
    <cellStyle name="eps" xfId="782" xr:uid="{00000000-0005-0000-0000-0000260C0000}"/>
    <cellStyle name="eps$" xfId="783" xr:uid="{00000000-0005-0000-0000-0000270C0000}"/>
    <cellStyle name="eps$A" xfId="784" xr:uid="{00000000-0005-0000-0000-0000280C0000}"/>
    <cellStyle name="eps$E" xfId="785" xr:uid="{00000000-0005-0000-0000-0000290C0000}"/>
    <cellStyle name="eps_1 FM_101_Examples_v7.31McIntire" xfId="786" xr:uid="{00000000-0005-0000-0000-00002A0C0000}"/>
    <cellStyle name="epsA" xfId="787" xr:uid="{00000000-0005-0000-0000-00002B0C0000}"/>
    <cellStyle name="epsE" xfId="788" xr:uid="{00000000-0005-0000-0000-00002C0C0000}"/>
    <cellStyle name="Euro" xfId="789" xr:uid="{00000000-0005-0000-0000-00002D0C0000}"/>
    <cellStyle name="Euro-" xfId="790" xr:uid="{00000000-0005-0000-0000-00002E0C0000}"/>
    <cellStyle name="Euro 2" xfId="1895" xr:uid="{00000000-0005-0000-0000-00002F0C0000}"/>
    <cellStyle name="Euro 3" xfId="2118" xr:uid="{00000000-0005-0000-0000-0000300C0000}"/>
    <cellStyle name="Euro 4" xfId="11089" xr:uid="{00000000-0005-0000-0000-0000310C0000}"/>
    <cellStyle name="Euro 5" xfId="11289" xr:uid="{00000000-0005-0000-0000-0000320C0000}"/>
    <cellStyle name="Explanatory Text" xfId="1753" builtinId="53" customBuiltin="1"/>
    <cellStyle name="Explanatory Text 10" xfId="11437" xr:uid="{00000000-0005-0000-0000-0000340C0000}"/>
    <cellStyle name="Explanatory Text 11" xfId="11466" xr:uid="{00000000-0005-0000-0000-0000350C0000}"/>
    <cellStyle name="Explanatory Text 12" xfId="11498" xr:uid="{00000000-0005-0000-0000-0000360C0000}"/>
    <cellStyle name="Explanatory Text 13" xfId="11620" xr:uid="{00000000-0005-0000-0000-0000370C0000}"/>
    <cellStyle name="Explanatory Text 14" xfId="11618" xr:uid="{00000000-0005-0000-0000-0000380C0000}"/>
    <cellStyle name="Explanatory Text 15" xfId="11661" xr:uid="{00000000-0005-0000-0000-0000390C0000}"/>
    <cellStyle name="Explanatory Text 16" xfId="11521" xr:uid="{00000000-0005-0000-0000-00003A0C0000}"/>
    <cellStyle name="Explanatory Text 17" xfId="11655" xr:uid="{00000000-0005-0000-0000-00003B0C0000}"/>
    <cellStyle name="Explanatory Text 18" xfId="11529" xr:uid="{00000000-0005-0000-0000-00003C0C0000}"/>
    <cellStyle name="Explanatory Text 19" xfId="11649" xr:uid="{00000000-0005-0000-0000-00003D0C0000}"/>
    <cellStyle name="Explanatory Text 2" xfId="57" xr:uid="{00000000-0005-0000-0000-00003E0C0000}"/>
    <cellStyle name="Explanatory Text 20" xfId="11535" xr:uid="{00000000-0005-0000-0000-00003F0C0000}"/>
    <cellStyle name="Explanatory Text 21" xfId="11517" xr:uid="{00000000-0005-0000-0000-0000400C0000}"/>
    <cellStyle name="Explanatory Text 22" xfId="11659" xr:uid="{00000000-0005-0000-0000-0000410C0000}"/>
    <cellStyle name="Explanatory Text 23" xfId="11524" xr:uid="{00000000-0005-0000-0000-0000420C0000}"/>
    <cellStyle name="Explanatory Text 24" xfId="11652" xr:uid="{00000000-0005-0000-0000-0000430C0000}"/>
    <cellStyle name="Explanatory Text 25" xfId="11532" xr:uid="{00000000-0005-0000-0000-0000440C0000}"/>
    <cellStyle name="Explanatory Text 26" xfId="11647" xr:uid="{00000000-0005-0000-0000-0000450C0000}"/>
    <cellStyle name="Explanatory Text 27" xfId="11537" xr:uid="{00000000-0005-0000-0000-0000460C0000}"/>
    <cellStyle name="Explanatory Text 28" xfId="11644" xr:uid="{00000000-0005-0000-0000-0000470C0000}"/>
    <cellStyle name="Explanatory Text 29" xfId="11540" xr:uid="{00000000-0005-0000-0000-0000480C0000}"/>
    <cellStyle name="Explanatory Text 3" xfId="791" xr:uid="{00000000-0005-0000-0000-0000490C0000}"/>
    <cellStyle name="Explanatory Text 3 2" xfId="11321" xr:uid="{00000000-0005-0000-0000-00004A0C0000}"/>
    <cellStyle name="Explanatory Text 30" xfId="11642" xr:uid="{00000000-0005-0000-0000-00004B0C0000}"/>
    <cellStyle name="Explanatory Text 31" xfId="11680" xr:uid="{00000000-0005-0000-0000-00004C0C0000}"/>
    <cellStyle name="Explanatory Text 32" xfId="11695" xr:uid="{00000000-0005-0000-0000-00004D0C0000}"/>
    <cellStyle name="Explanatory Text 33" xfId="11712" xr:uid="{00000000-0005-0000-0000-00004E0C0000}"/>
    <cellStyle name="Explanatory Text 34" xfId="19832" xr:uid="{00000000-0005-0000-0000-00004F0C0000}"/>
    <cellStyle name="Explanatory Text 35" xfId="19849" xr:uid="{00000000-0005-0000-0000-0000500C0000}"/>
    <cellStyle name="Explanatory Text 36" xfId="19852" xr:uid="{00000000-0005-0000-0000-0000510C0000}"/>
    <cellStyle name="Explanatory Text 37" xfId="19882" xr:uid="{00000000-0005-0000-0000-0000520C0000}"/>
    <cellStyle name="Explanatory Text 38" xfId="19894" xr:uid="{00000000-0005-0000-0000-0000530C0000}"/>
    <cellStyle name="Explanatory Text 39" xfId="19910" xr:uid="{00000000-0005-0000-0000-0000540C0000}"/>
    <cellStyle name="Explanatory Text 4" xfId="11337" xr:uid="{00000000-0005-0000-0000-0000550C0000}"/>
    <cellStyle name="Explanatory Text 40" xfId="19886" xr:uid="{00000000-0005-0000-0000-0000560C0000}"/>
    <cellStyle name="Explanatory Text 41" xfId="19932" xr:uid="{00000000-0005-0000-0000-0000570C0000}"/>
    <cellStyle name="Explanatory Text 42" xfId="19961" xr:uid="{00000000-0005-0000-0000-0000580C0000}"/>
    <cellStyle name="Explanatory Text 43" xfId="19980" xr:uid="{00000000-0005-0000-0000-0000590C0000}"/>
    <cellStyle name="Explanatory Text 44" xfId="20093" xr:uid="{00000000-0005-0000-0000-00005A0C0000}"/>
    <cellStyle name="Explanatory Text 45" xfId="20091" xr:uid="{00000000-0005-0000-0000-00005B0C0000}"/>
    <cellStyle name="Explanatory Text 46" xfId="20131" xr:uid="{00000000-0005-0000-0000-00005C0C0000}"/>
    <cellStyle name="Explanatory Text 47" xfId="19998" xr:uid="{00000000-0005-0000-0000-00005D0C0000}"/>
    <cellStyle name="Explanatory Text 48" xfId="20126" xr:uid="{00000000-0005-0000-0000-00005E0C0000}"/>
    <cellStyle name="Explanatory Text 49" xfId="20005" xr:uid="{00000000-0005-0000-0000-00005F0C0000}"/>
    <cellStyle name="Explanatory Text 5" xfId="11351" xr:uid="{00000000-0005-0000-0000-0000600C0000}"/>
    <cellStyle name="Explanatory Text 50" xfId="20120" xr:uid="{00000000-0005-0000-0000-0000610C0000}"/>
    <cellStyle name="Explanatory Text 51" xfId="20011" xr:uid="{00000000-0005-0000-0000-0000620C0000}"/>
    <cellStyle name="Explanatory Text 52" xfId="19995" xr:uid="{00000000-0005-0000-0000-0000630C0000}"/>
    <cellStyle name="Explanatory Text 53" xfId="20129" xr:uid="{00000000-0005-0000-0000-0000640C0000}"/>
    <cellStyle name="Explanatory Text 54" xfId="20001" xr:uid="{00000000-0005-0000-0000-0000650C0000}"/>
    <cellStyle name="Explanatory Text 55" xfId="20123" xr:uid="{00000000-0005-0000-0000-0000660C0000}"/>
    <cellStyle name="Explanatory Text 56" xfId="20008" xr:uid="{00000000-0005-0000-0000-0000670C0000}"/>
    <cellStyle name="Explanatory Text 57" xfId="20118" xr:uid="{00000000-0005-0000-0000-0000680C0000}"/>
    <cellStyle name="Explanatory Text 58" xfId="20013" xr:uid="{00000000-0005-0000-0000-0000690C0000}"/>
    <cellStyle name="Explanatory Text 59" xfId="20115" xr:uid="{00000000-0005-0000-0000-00006A0C0000}"/>
    <cellStyle name="Explanatory Text 6" xfId="11382" xr:uid="{00000000-0005-0000-0000-00006B0C0000}"/>
    <cellStyle name="Explanatory Text 60" xfId="20016" xr:uid="{00000000-0005-0000-0000-00006C0C0000}"/>
    <cellStyle name="Explanatory Text 61" xfId="20113" xr:uid="{00000000-0005-0000-0000-00006D0C0000}"/>
    <cellStyle name="Explanatory Text 62" xfId="20149" xr:uid="{00000000-0005-0000-0000-00006E0C0000}"/>
    <cellStyle name="Explanatory Text 63" xfId="20164" xr:uid="{00000000-0005-0000-0000-00006F0C0000}"/>
    <cellStyle name="Explanatory Text 64" xfId="20180" xr:uid="{00000000-0005-0000-0000-0000700C0000}"/>
    <cellStyle name="Explanatory Text 7" xfId="11399" xr:uid="{00000000-0005-0000-0000-0000710C0000}"/>
    <cellStyle name="Explanatory Text 8" xfId="11415" xr:uid="{00000000-0005-0000-0000-0000720C0000}"/>
    <cellStyle name="Explanatory Text 9" xfId="11390" xr:uid="{00000000-0005-0000-0000-0000730C0000}"/>
    <cellStyle name="ExternalFormula" xfId="792" xr:uid="{00000000-0005-0000-0000-0000740C0000}"/>
    <cellStyle name="F2" xfId="1896" xr:uid="{00000000-0005-0000-0000-0000750C0000}"/>
    <cellStyle name="F3" xfId="1897" xr:uid="{00000000-0005-0000-0000-0000760C0000}"/>
    <cellStyle name="F4" xfId="1898" xr:uid="{00000000-0005-0000-0000-0000770C0000}"/>
    <cellStyle name="F5" xfId="1899" xr:uid="{00000000-0005-0000-0000-0000780C0000}"/>
    <cellStyle name="F6" xfId="1900" xr:uid="{00000000-0005-0000-0000-0000790C0000}"/>
    <cellStyle name="F7" xfId="1901" xr:uid="{00000000-0005-0000-0000-00007A0C0000}"/>
    <cellStyle name="F8" xfId="1902" xr:uid="{00000000-0005-0000-0000-00007B0C0000}"/>
    <cellStyle name="facha" xfId="1903" xr:uid="{00000000-0005-0000-0000-00007C0C0000}"/>
    <cellStyle name="Fit" xfId="793" xr:uid="{00000000-0005-0000-0000-00007D0C0000}"/>
    <cellStyle name="Fixed" xfId="1904" xr:uid="{00000000-0005-0000-0000-00007E0C0000}"/>
    <cellStyle name="FontanaPh#" xfId="172" xr:uid="{00000000-0005-0000-0000-00007F0C0000}"/>
    <cellStyle name="Fraction Change" xfId="1905" xr:uid="{00000000-0005-0000-0000-0000800C0000}"/>
    <cellStyle name="Fractions" xfId="1906" xr:uid="{00000000-0005-0000-0000-0000810C0000}"/>
    <cellStyle name="fy_eps$" xfId="794" xr:uid="{00000000-0005-0000-0000-0000820C0000}"/>
    <cellStyle name="g_rate" xfId="795" xr:uid="{00000000-0005-0000-0000-0000830C0000}"/>
    <cellStyle name="g_rate_1 FM_101_Examples_v7.31McIntire" xfId="796" xr:uid="{00000000-0005-0000-0000-0000840C0000}"/>
    <cellStyle name="g_rate_1 FM_101_Examples_v7.31McIntire_1 FM_101_Examples_TWO-Day_v7.31" xfId="797" xr:uid="{00000000-0005-0000-0000-0000850C0000}"/>
    <cellStyle name="g_rate_AVP" xfId="798" xr:uid="{00000000-0005-0000-0000-0000860C0000}"/>
    <cellStyle name="g_rate_AVP_1 FM_101_Examples_v7.31McIntire" xfId="799" xr:uid="{00000000-0005-0000-0000-0000870C0000}"/>
    <cellStyle name="g_rate_AVP_1 FM_101_Examples_v7.31McIntire_1 FM_101_Examples_TWO-Day_v7.31" xfId="800" xr:uid="{00000000-0005-0000-0000-0000880C0000}"/>
    <cellStyle name="g_rate_AVP_Graphic Depiction - NO DEV" xfId="801" xr:uid="{00000000-0005-0000-0000-0000890C0000}"/>
    <cellStyle name="g_rate_AVP_Graphic Depiction - NO DEV_1 FM_101_Examples_v7.31McIntire" xfId="802" xr:uid="{00000000-0005-0000-0000-00008A0C0000}"/>
    <cellStyle name="g_rate_AVP_Graphic Depiction - NO DEV_1 FM_101_Examples_v7.31McIntire_1 FM_101_Examples_TWO-Day_v7.31" xfId="803" xr:uid="{00000000-0005-0000-0000-00008B0C0000}"/>
    <cellStyle name="g_rate_AVP_Graphic Depiction - NO DEV_Val_1_Book_Lecture_Notes_v3.06" xfId="804" xr:uid="{00000000-0005-0000-0000-00008C0C0000}"/>
    <cellStyle name="g_rate_AVP_THEsumPage (2)" xfId="805" xr:uid="{00000000-0005-0000-0000-00008D0C0000}"/>
    <cellStyle name="g_rate_AVP_THEsumPage (2)_1 FM_101_Examples_v7.31McIntire" xfId="806" xr:uid="{00000000-0005-0000-0000-00008E0C0000}"/>
    <cellStyle name="g_rate_AVP_THEsumPage (2)_1 FM_101_Examples_v7.31McIntire_1 FM_101_Examples_TWO-Day_v7.31" xfId="807" xr:uid="{00000000-0005-0000-0000-00008F0C0000}"/>
    <cellStyle name="g_rate_AVP_THEsumPage (2)_Val_1_Book_Lecture_Notes_v3.06" xfId="808" xr:uid="{00000000-0005-0000-0000-0000900C0000}"/>
    <cellStyle name="g_rate_AVP_Val_1_Book_Lecture_Notes_v3.06" xfId="809" xr:uid="{00000000-0005-0000-0000-0000910C0000}"/>
    <cellStyle name="g_rate_CompSheet" xfId="810" xr:uid="{00000000-0005-0000-0000-0000920C0000}"/>
    <cellStyle name="g_rate_CompSheet_LANCE_Model_v0.6.DCF.MASTER.Name" xfId="811" xr:uid="{00000000-0005-0000-0000-0000930C0000}"/>
    <cellStyle name="g_rate_CompSheet_LANCE_Model_v0.6.DCF.MASTER.Name_DCF &amp; Raios to CLX Tootsie_v1.33.xls" xfId="812" xr:uid="{00000000-0005-0000-0000-0000940C0000}"/>
    <cellStyle name="g_rate_CompSheet_LANCE_Model_v0.6.DCF.MASTER.Name_Tootsie_TWO_DAY_TTS_Solution_v1.34" xfId="813" xr:uid="{00000000-0005-0000-0000-0000950C0000}"/>
    <cellStyle name="g_rate_CompSheet_LANCE_Model_v0.6.DCF.MASTER.Name_Val_1_Book_Lecture_Notes_v3.06" xfId="814" xr:uid="{00000000-0005-0000-0000-0000960C0000}"/>
    <cellStyle name="g_rate_CompSheet_Val_1_Book_Lecture_Notes_v3.06" xfId="815" xr:uid="{00000000-0005-0000-0000-0000970C0000}"/>
    <cellStyle name="g_rate_Disc Analysis" xfId="816" xr:uid="{00000000-0005-0000-0000-0000980C0000}"/>
    <cellStyle name="g_rate_Disc Analysis_1 FM_101_Examples_v7.31McIntire" xfId="817" xr:uid="{00000000-0005-0000-0000-0000990C0000}"/>
    <cellStyle name="g_rate_Disc Analysis_1 FM_101_Examples_v7.31McIntire_1 FM_101_Examples_TWO-Day_v7.31" xfId="818" xr:uid="{00000000-0005-0000-0000-00009A0C0000}"/>
    <cellStyle name="g_rate_Disc Analysis_CompSheet" xfId="819" xr:uid="{00000000-0005-0000-0000-00009B0C0000}"/>
    <cellStyle name="g_rate_Disc Analysis_CompSheet_1 FM_101_Examples_v7.31McIntire" xfId="820" xr:uid="{00000000-0005-0000-0000-00009C0C0000}"/>
    <cellStyle name="g_rate_Disc Analysis_CompSheet_1 FM_101_Examples_v7.31McIntire_1 FM_101_Examples_TWO-Day_v7.31" xfId="821" xr:uid="{00000000-0005-0000-0000-00009D0C0000}"/>
    <cellStyle name="g_rate_Disc Analysis_CompSheet_Val_1_Book_Lecture_Notes_v3.06" xfId="822" xr:uid="{00000000-0005-0000-0000-00009E0C0000}"/>
    <cellStyle name="g_rate_Disc Analysis_THEsumPage (2)" xfId="823" xr:uid="{00000000-0005-0000-0000-00009F0C0000}"/>
    <cellStyle name="g_rate_Disc Analysis_THEsumPage (2)_1 FM_101_Examples_v7.31McIntire" xfId="824" xr:uid="{00000000-0005-0000-0000-0000A00C0000}"/>
    <cellStyle name="g_rate_Disc Analysis_THEsumPage (2)_1 FM_101_Examples_v7.31McIntire_1 FM_101_Examples_TWO-Day_v7.31" xfId="825" xr:uid="{00000000-0005-0000-0000-0000A10C0000}"/>
    <cellStyle name="g_rate_Disc Analysis_THEsumPage (2)_Val_1_Book_Lecture_Notes_v3.06" xfId="826" xr:uid="{00000000-0005-0000-0000-0000A20C0000}"/>
    <cellStyle name="g_rate_Disc Analysis_Val_1_Book_Lecture_Notes_v3.06" xfId="827" xr:uid="{00000000-0005-0000-0000-0000A30C0000}"/>
    <cellStyle name="g_rate_Fairness Opinion Valuation 4-23a.xls Chart 1" xfId="828" xr:uid="{00000000-0005-0000-0000-0000A40C0000}"/>
    <cellStyle name="g_rate_Fairness Opinion Valuation 4-23a.xls Chart 1_LANCE_Model_v0.6.DCF.MASTER.Name" xfId="829" xr:uid="{00000000-0005-0000-0000-0000A50C0000}"/>
    <cellStyle name="g_rate_Fairness Opinion Valuation 4-23a.xls Chart 1_LANCE_Model_v0.6.DCF.MASTER.Name_DCF &amp; Raios to CLX Tootsie_v1.33.xls" xfId="830" xr:uid="{00000000-0005-0000-0000-0000A60C0000}"/>
    <cellStyle name="g_rate_Fairness Opinion Valuation 4-23a.xls Chart 1_LANCE_Model_v0.6.DCF.MASTER.Name_Tootsie_TWO_DAY_TTS_Solution_v1.34" xfId="831" xr:uid="{00000000-0005-0000-0000-0000A70C0000}"/>
    <cellStyle name="g_rate_Fairness Opinion Valuation 4-23a.xls Chart 1_LANCE_Model_v0.6.DCF.MASTER.Name_Val_1_Book_Lecture_Notes_v3.06" xfId="832" xr:uid="{00000000-0005-0000-0000-0000A80C0000}"/>
    <cellStyle name="g_rate_Fairness Opinion Valuation 4-23a.xls Chart 1_Val_1_Book_Lecture_Notes_v3.06" xfId="833" xr:uid="{00000000-0005-0000-0000-0000A90C0000}"/>
    <cellStyle name="g_rate_LP Chart" xfId="834" xr:uid="{00000000-0005-0000-0000-0000AA0C0000}"/>
    <cellStyle name="g_rate_LP Chart_THEsumPage (2)" xfId="835" xr:uid="{00000000-0005-0000-0000-0000AB0C0000}"/>
    <cellStyle name="g_rate_LP Chart_THEsumPage (2)_Val_1_Book_Lecture_Notes_v3.06" xfId="836" xr:uid="{00000000-0005-0000-0000-0000AC0C0000}"/>
    <cellStyle name="g_rate_LP Chart_Val_1_Book_Lecture_Notes_v3.06" xfId="837" xr:uid="{00000000-0005-0000-0000-0000AD0C0000}"/>
    <cellStyle name="g_rate_Merg Cons" xfId="838" xr:uid="{00000000-0005-0000-0000-0000AE0C0000}"/>
    <cellStyle name="g_rate_Merg Cons_1 FM_101_Examples_v7.31McIntire" xfId="839" xr:uid="{00000000-0005-0000-0000-0000AF0C0000}"/>
    <cellStyle name="g_rate_Merg Cons_1 FM_101_Examples_v7.31McIntire_1 FM_101_Examples_TWO-Day_v7.31" xfId="840" xr:uid="{00000000-0005-0000-0000-0000B00C0000}"/>
    <cellStyle name="g_rate_Merg Cons_CompSheet" xfId="841" xr:uid="{00000000-0005-0000-0000-0000B10C0000}"/>
    <cellStyle name="g_rate_Merg Cons_CompSheet_1 FM_101_Examples_v7.31McIntire" xfId="842" xr:uid="{00000000-0005-0000-0000-0000B20C0000}"/>
    <cellStyle name="g_rate_Merg Cons_CompSheet_1 FM_101_Examples_v7.31McIntire_1 FM_101_Examples_TWO-Day_v7.31" xfId="843" xr:uid="{00000000-0005-0000-0000-0000B30C0000}"/>
    <cellStyle name="g_rate_Merg Cons_CompSheet_Val_1_Book_Lecture_Notes_v3.06" xfId="844" xr:uid="{00000000-0005-0000-0000-0000B40C0000}"/>
    <cellStyle name="g_rate_Merg Cons_THEsumPage (2)" xfId="845" xr:uid="{00000000-0005-0000-0000-0000B50C0000}"/>
    <cellStyle name="g_rate_Merg Cons_THEsumPage (2)_1 FM_101_Examples_v7.31McIntire" xfId="846" xr:uid="{00000000-0005-0000-0000-0000B60C0000}"/>
    <cellStyle name="g_rate_Merg Cons_THEsumPage (2)_1 FM_101_Examples_v7.31McIntire_1 FM_101_Examples_TWO-Day_v7.31" xfId="847" xr:uid="{00000000-0005-0000-0000-0000B70C0000}"/>
    <cellStyle name="g_rate_Merg Cons_THEsumPage (2)_Val_1_Book_Lecture_Notes_v3.06" xfId="848" xr:uid="{00000000-0005-0000-0000-0000B80C0000}"/>
    <cellStyle name="g_rate_Merg Cons_Val_1_Book_Lecture_Notes_v3.06" xfId="849" xr:uid="{00000000-0005-0000-0000-0000B90C0000}"/>
    <cellStyle name="g_rate_PowerValuation.xls Chart 21" xfId="850" xr:uid="{00000000-0005-0000-0000-0000BA0C0000}"/>
    <cellStyle name="g_rate_PowerValuation.xls Chart 21_LANCE_Model_v0.6.DCF.MASTER.Name" xfId="851" xr:uid="{00000000-0005-0000-0000-0000BB0C0000}"/>
    <cellStyle name="g_rate_PowerValuation.xls Chart 21_LANCE_Model_v0.6.DCF.MASTER.Name_DCF &amp; Raios to CLX Tootsie_v1.33.xls" xfId="852" xr:uid="{00000000-0005-0000-0000-0000BC0C0000}"/>
    <cellStyle name="g_rate_PowerValuation.xls Chart 21_LANCE_Model_v0.6.DCF.MASTER.Name_Tootsie_TWO_DAY_TTS_Solution_v1.34" xfId="853" xr:uid="{00000000-0005-0000-0000-0000BD0C0000}"/>
    <cellStyle name="g_rate_PowerValuation.xls Chart 21_LANCE_Model_v0.6.DCF.MASTER.Name_Val_1_Book_Lecture_Notes_v3.06" xfId="854" xr:uid="{00000000-0005-0000-0000-0000BE0C0000}"/>
    <cellStyle name="g_rate_PowerValuation.xls Chart 21_Val_1_Book_Lecture_Notes_v3.06" xfId="855" xr:uid="{00000000-0005-0000-0000-0000BF0C0000}"/>
    <cellStyle name="g_rate_PowerValuation.xls Chart 28" xfId="856" xr:uid="{00000000-0005-0000-0000-0000C00C0000}"/>
    <cellStyle name="g_rate_PowerValuation.xls Chart 28_LANCE_Model_v0.6.DCF.MASTER.Name" xfId="857" xr:uid="{00000000-0005-0000-0000-0000C10C0000}"/>
    <cellStyle name="g_rate_PowerValuation.xls Chart 28_LANCE_Model_v0.6.DCF.MASTER.Name_DCF &amp; Raios to CLX Tootsie_v1.33.xls" xfId="858" xr:uid="{00000000-0005-0000-0000-0000C20C0000}"/>
    <cellStyle name="g_rate_PowerValuation.xls Chart 28_LANCE_Model_v0.6.DCF.MASTER.Name_Tootsie_TWO_DAY_TTS_Solution_v1.34" xfId="859" xr:uid="{00000000-0005-0000-0000-0000C30C0000}"/>
    <cellStyle name="g_rate_PowerValuation.xls Chart 28_LANCE_Model_v0.6.DCF.MASTER.Name_Val_1_Book_Lecture_Notes_v3.06" xfId="860" xr:uid="{00000000-0005-0000-0000-0000C40C0000}"/>
    <cellStyle name="g_rate_PowerValuation.xls Chart 28_Val_1_Book_Lecture_Notes_v3.06" xfId="861" xr:uid="{00000000-0005-0000-0000-0000C50C0000}"/>
    <cellStyle name="g_rate_Proj10" xfId="862" xr:uid="{00000000-0005-0000-0000-0000C60C0000}"/>
    <cellStyle name="g_rate_Proj10_1 FM_101_Examples_v7.31McIntire" xfId="863" xr:uid="{00000000-0005-0000-0000-0000C70C0000}"/>
    <cellStyle name="g_rate_Proj10_1 FM_101_Examples_v7.31McIntire_1 FM_101_Examples_TWO-Day_v7.31" xfId="864" xr:uid="{00000000-0005-0000-0000-0000C80C0000}"/>
    <cellStyle name="g_rate_Proj10_AVP" xfId="865" xr:uid="{00000000-0005-0000-0000-0000C90C0000}"/>
    <cellStyle name="g_rate_Proj10_AVP_1 FM_101_Examples_v7.31McIntire" xfId="866" xr:uid="{00000000-0005-0000-0000-0000CA0C0000}"/>
    <cellStyle name="g_rate_Proj10_AVP_1 FM_101_Examples_v7.31McIntire_1 FM_101_Examples_TWO-Day_v7.31" xfId="867" xr:uid="{00000000-0005-0000-0000-0000CB0C0000}"/>
    <cellStyle name="g_rate_Proj10_AVP_Graphic Depiction - NO DEV" xfId="868" xr:uid="{00000000-0005-0000-0000-0000CC0C0000}"/>
    <cellStyle name="g_rate_Proj10_AVP_Graphic Depiction - NO DEV_1 FM_101_Examples_v7.31McIntire" xfId="869" xr:uid="{00000000-0005-0000-0000-0000CD0C0000}"/>
    <cellStyle name="g_rate_Proj10_AVP_Graphic Depiction - NO DEV_1 FM_101_Examples_v7.31McIntire_1 FM_101_Examples_TWO-Day_v7.31" xfId="870" xr:uid="{00000000-0005-0000-0000-0000CE0C0000}"/>
    <cellStyle name="g_rate_Proj10_AVP_Graphic Depiction - NO DEV_Val_1_Book_Lecture_Notes_v3.06" xfId="871" xr:uid="{00000000-0005-0000-0000-0000CF0C0000}"/>
    <cellStyle name="g_rate_Proj10_AVP_THEsumPage (2)" xfId="872" xr:uid="{00000000-0005-0000-0000-0000D00C0000}"/>
    <cellStyle name="g_rate_Proj10_AVP_THEsumPage (2)_1 FM_101_Examples_v7.31McIntire" xfId="873" xr:uid="{00000000-0005-0000-0000-0000D10C0000}"/>
    <cellStyle name="g_rate_Proj10_AVP_THEsumPage (2)_1 FM_101_Examples_v7.31McIntire_1 FM_101_Examples_TWO-Day_v7.31" xfId="874" xr:uid="{00000000-0005-0000-0000-0000D20C0000}"/>
    <cellStyle name="g_rate_Proj10_AVP_THEsumPage (2)_Val_1_Book_Lecture_Notes_v3.06" xfId="875" xr:uid="{00000000-0005-0000-0000-0000D30C0000}"/>
    <cellStyle name="g_rate_Proj10_AVP_Val_1_Book_Lecture_Notes_v3.06" xfId="876" xr:uid="{00000000-0005-0000-0000-0000D40C0000}"/>
    <cellStyle name="g_rate_Proj10_CompSheet" xfId="877" xr:uid="{00000000-0005-0000-0000-0000D50C0000}"/>
    <cellStyle name="g_rate_Proj10_CompSheet_LANCE_Model_v0.6.DCF.MASTER.Name" xfId="878" xr:uid="{00000000-0005-0000-0000-0000D60C0000}"/>
    <cellStyle name="g_rate_Proj10_CompSheet_LANCE_Model_v0.6.DCF.MASTER.Name_DCF &amp; Raios to CLX Tootsie_v1.33.xls" xfId="879" xr:uid="{00000000-0005-0000-0000-0000D70C0000}"/>
    <cellStyle name="g_rate_Proj10_CompSheet_LANCE_Model_v0.6.DCF.MASTER.Name_Tootsie_TWO_DAY_TTS_Solution_v1.34" xfId="880" xr:uid="{00000000-0005-0000-0000-0000D80C0000}"/>
    <cellStyle name="g_rate_Proj10_CompSheet_LANCE_Model_v0.6.DCF.MASTER.Name_Val_1_Book_Lecture_Notes_v3.06" xfId="881" xr:uid="{00000000-0005-0000-0000-0000D90C0000}"/>
    <cellStyle name="g_rate_Proj10_CompSheet_Val_1_Book_Lecture_Notes_v3.06" xfId="882" xr:uid="{00000000-0005-0000-0000-0000DA0C0000}"/>
    <cellStyle name="g_rate_Proj10_Disc Analysis" xfId="883" xr:uid="{00000000-0005-0000-0000-0000DB0C0000}"/>
    <cellStyle name="g_rate_Proj10_Disc Analysis_1 FM_101_Examples_v7.31McIntire" xfId="884" xr:uid="{00000000-0005-0000-0000-0000DC0C0000}"/>
    <cellStyle name="g_rate_Proj10_Disc Analysis_1 FM_101_Examples_v7.31McIntire_1 FM_101_Examples_TWO-Day_v7.31" xfId="885" xr:uid="{00000000-0005-0000-0000-0000DD0C0000}"/>
    <cellStyle name="g_rate_Proj10_Disc Analysis_CompSheet" xfId="886" xr:uid="{00000000-0005-0000-0000-0000DE0C0000}"/>
    <cellStyle name="g_rate_Proj10_Disc Analysis_CompSheet_1 FM_101_Examples_v7.31McIntire" xfId="887" xr:uid="{00000000-0005-0000-0000-0000DF0C0000}"/>
    <cellStyle name="g_rate_Proj10_Disc Analysis_CompSheet_1 FM_101_Examples_v7.31McIntire_1 FM_101_Examples_TWO-Day_v7.31" xfId="888" xr:uid="{00000000-0005-0000-0000-0000E00C0000}"/>
    <cellStyle name="g_rate_Proj10_Disc Analysis_CompSheet_Val_1_Book_Lecture_Notes_v3.06" xfId="889" xr:uid="{00000000-0005-0000-0000-0000E10C0000}"/>
    <cellStyle name="g_rate_Proj10_Disc Analysis_THEsumPage (2)" xfId="890" xr:uid="{00000000-0005-0000-0000-0000E20C0000}"/>
    <cellStyle name="g_rate_Proj10_Disc Analysis_THEsumPage (2)_1 FM_101_Examples_v7.31McIntire" xfId="891" xr:uid="{00000000-0005-0000-0000-0000E30C0000}"/>
    <cellStyle name="g_rate_Proj10_Disc Analysis_THEsumPage (2)_1 FM_101_Examples_v7.31McIntire_1 FM_101_Examples_TWO-Day_v7.31" xfId="892" xr:uid="{00000000-0005-0000-0000-0000E40C0000}"/>
    <cellStyle name="g_rate_Proj10_Disc Analysis_THEsumPage (2)_Val_1_Book_Lecture_Notes_v3.06" xfId="893" xr:uid="{00000000-0005-0000-0000-0000E50C0000}"/>
    <cellStyle name="g_rate_Proj10_Disc Analysis_Val_1_Book_Lecture_Notes_v3.06" xfId="894" xr:uid="{00000000-0005-0000-0000-0000E60C0000}"/>
    <cellStyle name="g_rate_Proj10_Fairness Opinion Valuation 4-23a.xls Chart 1" xfId="895" xr:uid="{00000000-0005-0000-0000-0000E70C0000}"/>
    <cellStyle name="g_rate_Proj10_Fairness Opinion Valuation 4-23a.xls Chart 1_LANCE_Model_v0.6.DCF.MASTER.Name" xfId="896" xr:uid="{00000000-0005-0000-0000-0000E80C0000}"/>
    <cellStyle name="g_rate_Proj10_Fairness Opinion Valuation 4-23a.xls Chart 1_LANCE_Model_v0.6.DCF.MASTER.Name_DCF &amp; Raios to CLX Tootsie_v1.33.xls" xfId="897" xr:uid="{00000000-0005-0000-0000-0000E90C0000}"/>
    <cellStyle name="g_rate_Proj10_Fairness Opinion Valuation 4-23a.xls Chart 1_LANCE_Model_v0.6.DCF.MASTER.Name_Tootsie_TWO_DAY_TTS_Solution_v1.34" xfId="898" xr:uid="{00000000-0005-0000-0000-0000EA0C0000}"/>
    <cellStyle name="g_rate_Proj10_Fairness Opinion Valuation 4-23a.xls Chart 1_LANCE_Model_v0.6.DCF.MASTER.Name_Val_1_Book_Lecture_Notes_v3.06" xfId="899" xr:uid="{00000000-0005-0000-0000-0000EB0C0000}"/>
    <cellStyle name="g_rate_Proj10_Fairness Opinion Valuation 4-23a.xls Chart 1_Val_1_Book_Lecture_Notes_v3.06" xfId="900" xr:uid="{00000000-0005-0000-0000-0000EC0C0000}"/>
    <cellStyle name="g_rate_Proj10_LP Chart" xfId="901" xr:uid="{00000000-0005-0000-0000-0000ED0C0000}"/>
    <cellStyle name="g_rate_Proj10_LP Chart_THEsumPage (2)" xfId="902" xr:uid="{00000000-0005-0000-0000-0000EE0C0000}"/>
    <cellStyle name="g_rate_Proj10_LP Chart_THEsumPage (2)_Val_1_Book_Lecture_Notes_v3.06" xfId="903" xr:uid="{00000000-0005-0000-0000-0000EF0C0000}"/>
    <cellStyle name="g_rate_Proj10_LP Chart_Val_1_Book_Lecture_Notes_v3.06" xfId="904" xr:uid="{00000000-0005-0000-0000-0000F00C0000}"/>
    <cellStyle name="g_rate_Proj10_Merg Cons" xfId="905" xr:uid="{00000000-0005-0000-0000-0000F10C0000}"/>
    <cellStyle name="g_rate_Proj10_Merg Cons_1 FM_101_Examples_v7.31McIntire" xfId="906" xr:uid="{00000000-0005-0000-0000-0000F20C0000}"/>
    <cellStyle name="g_rate_Proj10_Merg Cons_1 FM_101_Examples_v7.31McIntire_1 FM_101_Examples_TWO-Day_v7.31" xfId="907" xr:uid="{00000000-0005-0000-0000-0000F30C0000}"/>
    <cellStyle name="g_rate_Proj10_Merg Cons_CompSheet" xfId="908" xr:uid="{00000000-0005-0000-0000-0000F40C0000}"/>
    <cellStyle name="g_rate_Proj10_Merg Cons_CompSheet_1 FM_101_Examples_v7.31McIntire" xfId="909" xr:uid="{00000000-0005-0000-0000-0000F50C0000}"/>
    <cellStyle name="g_rate_Proj10_Merg Cons_CompSheet_1 FM_101_Examples_v7.31McIntire_1 FM_101_Examples_TWO-Day_v7.31" xfId="910" xr:uid="{00000000-0005-0000-0000-0000F60C0000}"/>
    <cellStyle name="g_rate_Proj10_Merg Cons_CompSheet_Val_1_Book_Lecture_Notes_v3.06" xfId="911" xr:uid="{00000000-0005-0000-0000-0000F70C0000}"/>
    <cellStyle name="g_rate_Proj10_Merg Cons_THEsumPage (2)" xfId="912" xr:uid="{00000000-0005-0000-0000-0000F80C0000}"/>
    <cellStyle name="g_rate_Proj10_Merg Cons_THEsumPage (2)_1 FM_101_Examples_v7.31McIntire" xfId="913" xr:uid="{00000000-0005-0000-0000-0000F90C0000}"/>
    <cellStyle name="g_rate_Proj10_Merg Cons_THEsumPage (2)_1 FM_101_Examples_v7.31McIntire_1 FM_101_Examples_TWO-Day_v7.31" xfId="914" xr:uid="{00000000-0005-0000-0000-0000FA0C0000}"/>
    <cellStyle name="g_rate_Proj10_Merg Cons_THEsumPage (2)_Val_1_Book_Lecture_Notes_v3.06" xfId="915" xr:uid="{00000000-0005-0000-0000-0000FB0C0000}"/>
    <cellStyle name="g_rate_Proj10_Merg Cons_Val_1_Book_Lecture_Notes_v3.06" xfId="916" xr:uid="{00000000-0005-0000-0000-0000FC0C0000}"/>
    <cellStyle name="g_rate_Proj10_PowerValuation.xls Chart 21" xfId="917" xr:uid="{00000000-0005-0000-0000-0000FD0C0000}"/>
    <cellStyle name="g_rate_Proj10_PowerValuation.xls Chart 21_LANCE_Model_v0.6.DCF.MASTER.Name" xfId="918" xr:uid="{00000000-0005-0000-0000-0000FE0C0000}"/>
    <cellStyle name="g_rate_Proj10_PowerValuation.xls Chart 21_LANCE_Model_v0.6.DCF.MASTER.Name_DCF &amp; Raios to CLX Tootsie_v1.33.xls" xfId="919" xr:uid="{00000000-0005-0000-0000-0000FF0C0000}"/>
    <cellStyle name="g_rate_Proj10_PowerValuation.xls Chart 21_LANCE_Model_v0.6.DCF.MASTER.Name_Tootsie_TWO_DAY_TTS_Solution_v1.34" xfId="920" xr:uid="{00000000-0005-0000-0000-0000000D0000}"/>
    <cellStyle name="g_rate_Proj10_PowerValuation.xls Chart 21_LANCE_Model_v0.6.DCF.MASTER.Name_Val_1_Book_Lecture_Notes_v3.06" xfId="921" xr:uid="{00000000-0005-0000-0000-0000010D0000}"/>
    <cellStyle name="g_rate_Proj10_PowerValuation.xls Chart 21_Val_1_Book_Lecture_Notes_v3.06" xfId="922" xr:uid="{00000000-0005-0000-0000-0000020D0000}"/>
    <cellStyle name="g_rate_Proj10_PowerValuation.xls Chart 28" xfId="923" xr:uid="{00000000-0005-0000-0000-0000030D0000}"/>
    <cellStyle name="g_rate_Proj10_PowerValuation.xls Chart 28_LANCE_Model_v0.6.DCF.MASTER.Name" xfId="924" xr:uid="{00000000-0005-0000-0000-0000040D0000}"/>
    <cellStyle name="g_rate_Proj10_PowerValuation.xls Chart 28_LANCE_Model_v0.6.DCF.MASTER.Name_DCF &amp; Raios to CLX Tootsie_v1.33.xls" xfId="925" xr:uid="{00000000-0005-0000-0000-0000050D0000}"/>
    <cellStyle name="g_rate_Proj10_PowerValuation.xls Chart 28_LANCE_Model_v0.6.DCF.MASTER.Name_Tootsie_TWO_DAY_TTS_Solution_v1.34" xfId="926" xr:uid="{00000000-0005-0000-0000-0000060D0000}"/>
    <cellStyle name="g_rate_Proj10_PowerValuation.xls Chart 28_LANCE_Model_v0.6.DCF.MASTER.Name_Val_1_Book_Lecture_Notes_v3.06" xfId="927" xr:uid="{00000000-0005-0000-0000-0000070D0000}"/>
    <cellStyle name="g_rate_Proj10_PowerValuation.xls Chart 28_Val_1_Book_Lecture_Notes_v3.06" xfId="928" xr:uid="{00000000-0005-0000-0000-0000080D0000}"/>
    <cellStyle name="g_rate_Proj10_Sensitivity" xfId="929" xr:uid="{00000000-0005-0000-0000-0000090D0000}"/>
    <cellStyle name="g_rate_Proj10_Sensitivity_1 FM_101_Examples_v7.31McIntire" xfId="930" xr:uid="{00000000-0005-0000-0000-00000A0D0000}"/>
    <cellStyle name="g_rate_Proj10_Sensitivity_1 FM_101_Examples_v7.31McIntire_1 FM_101_Examples_TWO-Day_v7.31" xfId="931" xr:uid="{00000000-0005-0000-0000-00000B0D0000}"/>
    <cellStyle name="g_rate_Proj10_Sensitivity_CompSheet" xfId="932" xr:uid="{00000000-0005-0000-0000-00000C0D0000}"/>
    <cellStyle name="g_rate_Proj10_Sensitivity_CompSheet_1 FM_101_Examples_v7.31McIntire" xfId="933" xr:uid="{00000000-0005-0000-0000-00000D0D0000}"/>
    <cellStyle name="g_rate_Proj10_Sensitivity_CompSheet_1 FM_101_Examples_v7.31McIntire_1 FM_101_Examples_TWO-Day_v7.31" xfId="934" xr:uid="{00000000-0005-0000-0000-00000E0D0000}"/>
    <cellStyle name="g_rate_Proj10_Sensitivity_CompSheet_Val_1_Book_Lecture_Notes_v3.06" xfId="935" xr:uid="{00000000-0005-0000-0000-00000F0D0000}"/>
    <cellStyle name="g_rate_Proj10_Sensitivity_THEsumPage (2)" xfId="936" xr:uid="{00000000-0005-0000-0000-0000100D0000}"/>
    <cellStyle name="g_rate_Proj10_Sensitivity_THEsumPage (2)_1 FM_101_Examples_v7.31McIntire" xfId="937" xr:uid="{00000000-0005-0000-0000-0000110D0000}"/>
    <cellStyle name="g_rate_Proj10_Sensitivity_THEsumPage (2)_1 FM_101_Examples_v7.31McIntire_1 FM_101_Examples_TWO-Day_v7.31" xfId="938" xr:uid="{00000000-0005-0000-0000-0000120D0000}"/>
    <cellStyle name="g_rate_Proj10_Sensitivity_THEsumPage (2)_Val_1_Book_Lecture_Notes_v3.06" xfId="939" xr:uid="{00000000-0005-0000-0000-0000130D0000}"/>
    <cellStyle name="g_rate_Proj10_Sensitivity_Val_1_Book_Lecture_Notes_v3.06" xfId="940" xr:uid="{00000000-0005-0000-0000-0000140D0000}"/>
    <cellStyle name="g_rate_Proj10_show-hold" xfId="941" xr:uid="{00000000-0005-0000-0000-0000150D0000}"/>
    <cellStyle name="g_rate_Proj10_show-hold_1 FM_101_Examples_v7.31McIntire" xfId="942" xr:uid="{00000000-0005-0000-0000-0000160D0000}"/>
    <cellStyle name="g_rate_Proj10_show-hold_1 FM_101_Examples_v7.31McIntire_1 FM_101_Examples_TWO-Day_v7.31" xfId="943" xr:uid="{00000000-0005-0000-0000-0000170D0000}"/>
    <cellStyle name="g_rate_Proj10_show-hold_Graphic Depiction - NO DEV" xfId="944" xr:uid="{00000000-0005-0000-0000-0000180D0000}"/>
    <cellStyle name="g_rate_Proj10_show-hold_Graphic Depiction - NO DEV_1 FM_101_Examples_v7.31McIntire" xfId="945" xr:uid="{00000000-0005-0000-0000-0000190D0000}"/>
    <cellStyle name="g_rate_Proj10_show-hold_Graphic Depiction - NO DEV_1 FM_101_Examples_v7.31McIntire_1 FM_101_Examples_TWO-Day_v7.31" xfId="946" xr:uid="{00000000-0005-0000-0000-00001A0D0000}"/>
    <cellStyle name="g_rate_Proj10_show-hold_Graphic Depiction - NO DEV_Val_1_Book_Lecture_Notes_v3.06" xfId="947" xr:uid="{00000000-0005-0000-0000-00001B0D0000}"/>
    <cellStyle name="g_rate_Proj10_show-hold_THEsumPage (2)" xfId="948" xr:uid="{00000000-0005-0000-0000-00001C0D0000}"/>
    <cellStyle name="g_rate_Proj10_show-hold_THEsumPage (2)_1 FM_101_Examples_v7.31McIntire" xfId="949" xr:uid="{00000000-0005-0000-0000-00001D0D0000}"/>
    <cellStyle name="g_rate_Proj10_show-hold_THEsumPage (2)_1 FM_101_Examples_v7.31McIntire_1 FM_101_Examples_TWO-Day_v7.31" xfId="950" xr:uid="{00000000-0005-0000-0000-00001E0D0000}"/>
    <cellStyle name="g_rate_Proj10_show-hold_THEsumPage (2)_Val_1_Book_Lecture_Notes_v3.06" xfId="951" xr:uid="{00000000-0005-0000-0000-00001F0D0000}"/>
    <cellStyle name="g_rate_Proj10_show-hold_Val_1_Book_Lecture_Notes_v3.06" xfId="952" xr:uid="{00000000-0005-0000-0000-0000200D0000}"/>
    <cellStyle name="g_rate_Proj10_THEsumPage (2)" xfId="953" xr:uid="{00000000-0005-0000-0000-0000210D0000}"/>
    <cellStyle name="g_rate_Proj10_THEsumPage (2)_LANCE_Model_v0.6.DCF.MASTER.Name" xfId="954" xr:uid="{00000000-0005-0000-0000-0000220D0000}"/>
    <cellStyle name="g_rate_Proj10_THEsumPage (2)_LANCE_Model_v0.6.DCF.MASTER.Name_DCF &amp; Raios to CLX Tootsie_v1.33.xls" xfId="955" xr:uid="{00000000-0005-0000-0000-0000230D0000}"/>
    <cellStyle name="g_rate_Proj10_THEsumPage (2)_LANCE_Model_v0.6.DCF.MASTER.Name_Tootsie_TWO_DAY_TTS_Solution_v1.34" xfId="956" xr:uid="{00000000-0005-0000-0000-0000240D0000}"/>
    <cellStyle name="g_rate_Proj10_THEsumPage (2)_LANCE_Model_v0.6.DCF.MASTER.Name_Val_1_Book_Lecture_Notes_v3.06" xfId="957" xr:uid="{00000000-0005-0000-0000-0000250D0000}"/>
    <cellStyle name="g_rate_Proj10_THEsumPage (2)_Val_1_Book_Lecture_Notes_v3.06" xfId="958" xr:uid="{00000000-0005-0000-0000-0000260D0000}"/>
    <cellStyle name="g_rate_Proj10_Val_1_Book_Lecture_Notes_v3.06" xfId="959" xr:uid="{00000000-0005-0000-0000-0000270D0000}"/>
    <cellStyle name="g_rate_Proj10_Valuation summaries" xfId="960" xr:uid="{00000000-0005-0000-0000-0000280D0000}"/>
    <cellStyle name="g_rate_Proj10_Valuation summaries_LANCE_Model_v0.6.DCF.MASTER.Name" xfId="961" xr:uid="{00000000-0005-0000-0000-0000290D0000}"/>
    <cellStyle name="g_rate_Proj10_Valuation summaries_LANCE_Model_v0.6.DCF.MASTER.Name_DCF &amp; Raios to CLX Tootsie_v1.33.xls" xfId="962" xr:uid="{00000000-0005-0000-0000-00002A0D0000}"/>
    <cellStyle name="g_rate_Proj10_Valuation summaries_LANCE_Model_v0.6.DCF.MASTER.Name_Tootsie_TWO_DAY_TTS_Solution_v1.34" xfId="963" xr:uid="{00000000-0005-0000-0000-00002B0D0000}"/>
    <cellStyle name="g_rate_Proj10_Valuation summaries_LANCE_Model_v0.6.DCF.MASTER.Name_Val_1_Book_Lecture_Notes_v3.06" xfId="964" xr:uid="{00000000-0005-0000-0000-00002C0D0000}"/>
    <cellStyle name="g_rate_Proj10_Valuation summaries_Val_1_Book_Lecture_Notes_v3.06" xfId="965" xr:uid="{00000000-0005-0000-0000-00002D0D0000}"/>
    <cellStyle name="g_rate_Proj10_WACC-CableCar" xfId="966" xr:uid="{00000000-0005-0000-0000-00002E0D0000}"/>
    <cellStyle name="g_rate_Proj10_WACC-CableCar_LANCE_Model_v0.6.DCF.MASTER.Name" xfId="967" xr:uid="{00000000-0005-0000-0000-00002F0D0000}"/>
    <cellStyle name="g_rate_Proj10_WACC-CableCar_LANCE_Model_v0.6.DCF.MASTER.Name_DCF &amp; Raios to CLX Tootsie_v1.33.xls" xfId="968" xr:uid="{00000000-0005-0000-0000-0000300D0000}"/>
    <cellStyle name="g_rate_Proj10_WACC-CableCar_LANCE_Model_v0.6.DCF.MASTER.Name_Tootsie_TWO_DAY_TTS_Solution_v1.34" xfId="969" xr:uid="{00000000-0005-0000-0000-0000310D0000}"/>
    <cellStyle name="g_rate_Proj10_WACC-CableCar_LANCE_Model_v0.6.DCF.MASTER.Name_Val_1_Book_Lecture_Notes_v3.06" xfId="970" xr:uid="{00000000-0005-0000-0000-0000320D0000}"/>
    <cellStyle name="g_rate_Proj10_WACC-CableCar_THEsumPage (2)" xfId="971" xr:uid="{00000000-0005-0000-0000-0000330D0000}"/>
    <cellStyle name="g_rate_Proj10_WACC-CableCar_THEsumPage (2)_LANCE_Model_v0.6.DCF.MASTER.Name" xfId="972" xr:uid="{00000000-0005-0000-0000-0000340D0000}"/>
    <cellStyle name="g_rate_Proj10_WACC-CableCar_THEsumPage (2)_LANCE_Model_v0.6.DCF.MASTER.Name_DCF &amp; Raios to CLX Tootsie_v1.33.xls" xfId="973" xr:uid="{00000000-0005-0000-0000-0000350D0000}"/>
    <cellStyle name="g_rate_Proj10_WACC-CableCar_THEsumPage (2)_LANCE_Model_v0.6.DCF.MASTER.Name_Tootsie_TWO_DAY_TTS_Solution_v1.34" xfId="974" xr:uid="{00000000-0005-0000-0000-0000360D0000}"/>
    <cellStyle name="g_rate_Proj10_WACC-CableCar_THEsumPage (2)_LANCE_Model_v0.6.DCF.MASTER.Name_Val_1_Book_Lecture_Notes_v3.06" xfId="975" xr:uid="{00000000-0005-0000-0000-0000370D0000}"/>
    <cellStyle name="g_rate_Proj10_WACC-CableCar_THEsumPage (2)_Val_1_Book_Lecture_Notes_v3.06" xfId="976" xr:uid="{00000000-0005-0000-0000-0000380D0000}"/>
    <cellStyle name="g_rate_Proj10_WACC-CableCar_Val_1_Book_Lecture_Notes_v3.06" xfId="977" xr:uid="{00000000-0005-0000-0000-0000390D0000}"/>
    <cellStyle name="g_rate_Proj10_WACC-RAD (2)" xfId="978" xr:uid="{00000000-0005-0000-0000-00003A0D0000}"/>
    <cellStyle name="g_rate_Proj10_WACC-RAD (2)_THEsumPage (2)" xfId="979" xr:uid="{00000000-0005-0000-0000-00003B0D0000}"/>
    <cellStyle name="g_rate_Proj10_WACC-RAD (2)_THEsumPage (2)_Val_1_Book_Lecture_Notes_v3.06" xfId="980" xr:uid="{00000000-0005-0000-0000-00003C0D0000}"/>
    <cellStyle name="g_rate_Proj10_WACC-RAD (2)_Val_1_Book_Lecture_Notes_v3.06" xfId="981" xr:uid="{00000000-0005-0000-0000-00003D0D0000}"/>
    <cellStyle name="g_rate_Sensitivity" xfId="982" xr:uid="{00000000-0005-0000-0000-00003E0D0000}"/>
    <cellStyle name="g_rate_Sensitivity_1 FM_101_Examples_v7.31McIntire" xfId="983" xr:uid="{00000000-0005-0000-0000-00003F0D0000}"/>
    <cellStyle name="g_rate_Sensitivity_1 FM_101_Examples_v7.31McIntire_1 FM_101_Examples_TWO-Day_v7.31" xfId="984" xr:uid="{00000000-0005-0000-0000-0000400D0000}"/>
    <cellStyle name="g_rate_Sensitivity_CompSheet" xfId="985" xr:uid="{00000000-0005-0000-0000-0000410D0000}"/>
    <cellStyle name="g_rate_Sensitivity_CompSheet_1 FM_101_Examples_v7.31McIntire" xfId="986" xr:uid="{00000000-0005-0000-0000-0000420D0000}"/>
    <cellStyle name="g_rate_Sensitivity_CompSheet_1 FM_101_Examples_v7.31McIntire_1 FM_101_Examples_TWO-Day_v7.31" xfId="987" xr:uid="{00000000-0005-0000-0000-0000430D0000}"/>
    <cellStyle name="g_rate_Sensitivity_CompSheet_Val_1_Book_Lecture_Notes_v3.06" xfId="988" xr:uid="{00000000-0005-0000-0000-0000440D0000}"/>
    <cellStyle name="g_rate_Sensitivity_THEsumPage (2)" xfId="989" xr:uid="{00000000-0005-0000-0000-0000450D0000}"/>
    <cellStyle name="g_rate_Sensitivity_THEsumPage (2)_1 FM_101_Examples_v7.31McIntire" xfId="990" xr:uid="{00000000-0005-0000-0000-0000460D0000}"/>
    <cellStyle name="g_rate_Sensitivity_THEsumPage (2)_1 FM_101_Examples_v7.31McIntire_1 FM_101_Examples_TWO-Day_v7.31" xfId="991" xr:uid="{00000000-0005-0000-0000-0000470D0000}"/>
    <cellStyle name="g_rate_Sensitivity_THEsumPage (2)_Val_1_Book_Lecture_Notes_v3.06" xfId="992" xr:uid="{00000000-0005-0000-0000-0000480D0000}"/>
    <cellStyle name="g_rate_Sensitivity_Val_1_Book_Lecture_Notes_v3.06" xfId="993" xr:uid="{00000000-0005-0000-0000-0000490D0000}"/>
    <cellStyle name="g_rate_show-hold" xfId="994" xr:uid="{00000000-0005-0000-0000-00004A0D0000}"/>
    <cellStyle name="g_rate_show-hold_1 FM_101_Examples_v7.31McIntire" xfId="995" xr:uid="{00000000-0005-0000-0000-00004B0D0000}"/>
    <cellStyle name="g_rate_show-hold_1 FM_101_Examples_v7.31McIntire_1 FM_101_Examples_TWO-Day_v7.31" xfId="996" xr:uid="{00000000-0005-0000-0000-00004C0D0000}"/>
    <cellStyle name="g_rate_show-hold_CompSheet" xfId="997" xr:uid="{00000000-0005-0000-0000-00004D0D0000}"/>
    <cellStyle name="g_rate_show-hold_CompSheet_1 FM_101_Examples_v7.31McIntire" xfId="998" xr:uid="{00000000-0005-0000-0000-00004E0D0000}"/>
    <cellStyle name="g_rate_show-hold_CompSheet_1 FM_101_Examples_v7.31McIntire_1 FM_101_Examples_TWO-Day_v7.31" xfId="999" xr:uid="{00000000-0005-0000-0000-00004F0D0000}"/>
    <cellStyle name="g_rate_show-hold_CompSheet_Val_1_Book_Lecture_Notes_v3.06" xfId="1000" xr:uid="{00000000-0005-0000-0000-0000500D0000}"/>
    <cellStyle name="g_rate_show-hold_THEsumPage (2)" xfId="1001" xr:uid="{00000000-0005-0000-0000-0000510D0000}"/>
    <cellStyle name="g_rate_show-hold_THEsumPage (2)_1 FM_101_Examples_v7.31McIntire" xfId="1002" xr:uid="{00000000-0005-0000-0000-0000520D0000}"/>
    <cellStyle name="g_rate_show-hold_THEsumPage (2)_1 FM_101_Examples_v7.31McIntire_1 FM_101_Examples_TWO-Day_v7.31" xfId="1003" xr:uid="{00000000-0005-0000-0000-0000530D0000}"/>
    <cellStyle name="g_rate_show-hold_THEsumPage (2)_Val_1_Book_Lecture_Notes_v3.06" xfId="1004" xr:uid="{00000000-0005-0000-0000-0000540D0000}"/>
    <cellStyle name="g_rate_show-hold_Val_1_Book_Lecture_Notes_v3.06" xfId="1005" xr:uid="{00000000-0005-0000-0000-0000550D0000}"/>
    <cellStyle name="g_rate_THEsumPage (2)" xfId="1006" xr:uid="{00000000-0005-0000-0000-0000560D0000}"/>
    <cellStyle name="g_rate_THEsumPage (2)_LANCE_Model_v0.6.DCF.MASTER.Name" xfId="1007" xr:uid="{00000000-0005-0000-0000-0000570D0000}"/>
    <cellStyle name="g_rate_THEsumPage (2)_LANCE_Model_v0.6.DCF.MASTER.Name_DCF &amp; Raios to CLX Tootsie_v1.33.xls" xfId="1008" xr:uid="{00000000-0005-0000-0000-0000580D0000}"/>
    <cellStyle name="g_rate_THEsumPage (2)_LANCE_Model_v0.6.DCF.MASTER.Name_Tootsie_TWO_DAY_TTS_Solution_v1.34" xfId="1009" xr:uid="{00000000-0005-0000-0000-0000590D0000}"/>
    <cellStyle name="g_rate_THEsumPage (2)_LANCE_Model_v0.6.DCF.MASTER.Name_Val_1_Book_Lecture_Notes_v3.06" xfId="1010" xr:uid="{00000000-0005-0000-0000-00005A0D0000}"/>
    <cellStyle name="g_rate_THEsumPage (2)_Val_1_Book_Lecture_Notes_v3.06" xfId="1011" xr:uid="{00000000-0005-0000-0000-00005B0D0000}"/>
    <cellStyle name="g_rate_Val_1_Book_Lecture_Notes_v3.06" xfId="1012" xr:uid="{00000000-0005-0000-0000-00005C0D0000}"/>
    <cellStyle name="g_rate_Valuation summaries" xfId="1013" xr:uid="{00000000-0005-0000-0000-00005D0D0000}"/>
    <cellStyle name="g_rate_Valuation summaries_LANCE_Model_v0.6.DCF.MASTER.Name" xfId="1014" xr:uid="{00000000-0005-0000-0000-00005E0D0000}"/>
    <cellStyle name="g_rate_Valuation summaries_LANCE_Model_v0.6.DCF.MASTER.Name_DCF &amp; Raios to CLX Tootsie_v1.33.xls" xfId="1015" xr:uid="{00000000-0005-0000-0000-00005F0D0000}"/>
    <cellStyle name="g_rate_Valuation summaries_LANCE_Model_v0.6.DCF.MASTER.Name_Tootsie_TWO_DAY_TTS_Solution_v1.34" xfId="1016" xr:uid="{00000000-0005-0000-0000-0000600D0000}"/>
    <cellStyle name="g_rate_Valuation summaries_LANCE_Model_v0.6.DCF.MASTER.Name_Val_1_Book_Lecture_Notes_v3.06" xfId="1017" xr:uid="{00000000-0005-0000-0000-0000610D0000}"/>
    <cellStyle name="g_rate_Valuation summaries_Val_1_Book_Lecture_Notes_v3.06" xfId="1018" xr:uid="{00000000-0005-0000-0000-0000620D0000}"/>
    <cellStyle name="g_rate_WACC-CableCar" xfId="1019" xr:uid="{00000000-0005-0000-0000-0000630D0000}"/>
    <cellStyle name="g_rate_WACC-CableCar_LANCE_Model_v0.6.DCF.MASTER.Name" xfId="1020" xr:uid="{00000000-0005-0000-0000-0000640D0000}"/>
    <cellStyle name="g_rate_WACC-CableCar_LANCE_Model_v0.6.DCF.MASTER.Name_DCF &amp; Raios to CLX Tootsie_v1.33.xls" xfId="1021" xr:uid="{00000000-0005-0000-0000-0000650D0000}"/>
    <cellStyle name="g_rate_WACC-CableCar_LANCE_Model_v0.6.DCF.MASTER.Name_Tootsie_TWO_DAY_TTS_Solution_v1.34" xfId="1022" xr:uid="{00000000-0005-0000-0000-0000660D0000}"/>
    <cellStyle name="g_rate_WACC-CableCar_LANCE_Model_v0.6.DCF.MASTER.Name_Val_1_Book_Lecture_Notes_v3.06" xfId="1023" xr:uid="{00000000-0005-0000-0000-0000670D0000}"/>
    <cellStyle name="g_rate_WACC-CableCar_THEsumPage (2)" xfId="1024" xr:uid="{00000000-0005-0000-0000-0000680D0000}"/>
    <cellStyle name="g_rate_WACC-CableCar_THEsumPage (2)_LANCE_Model_v0.6.DCF.MASTER.Name" xfId="1025" xr:uid="{00000000-0005-0000-0000-0000690D0000}"/>
    <cellStyle name="g_rate_WACC-CableCar_THEsumPage (2)_LANCE_Model_v0.6.DCF.MASTER.Name_DCF &amp; Raios to CLX Tootsie_v1.33.xls" xfId="1026" xr:uid="{00000000-0005-0000-0000-00006A0D0000}"/>
    <cellStyle name="g_rate_WACC-CableCar_THEsumPage (2)_LANCE_Model_v0.6.DCF.MASTER.Name_Tootsie_TWO_DAY_TTS_Solution_v1.34" xfId="1027" xr:uid="{00000000-0005-0000-0000-00006B0D0000}"/>
    <cellStyle name="g_rate_WACC-CableCar_THEsumPage (2)_LANCE_Model_v0.6.DCF.MASTER.Name_Val_1_Book_Lecture_Notes_v3.06" xfId="1028" xr:uid="{00000000-0005-0000-0000-00006C0D0000}"/>
    <cellStyle name="g_rate_WACC-CableCar_THEsumPage (2)_Val_1_Book_Lecture_Notes_v3.06" xfId="1029" xr:uid="{00000000-0005-0000-0000-00006D0D0000}"/>
    <cellStyle name="g_rate_WACC-CableCar_Val_1_Book_Lecture_Notes_v3.06" xfId="1030" xr:uid="{00000000-0005-0000-0000-00006E0D0000}"/>
    <cellStyle name="g_rate_WACC-RAD (2)" xfId="1031" xr:uid="{00000000-0005-0000-0000-00006F0D0000}"/>
    <cellStyle name="g_rate_WACC-RAD (2)_THEsumPage (2)" xfId="1032" xr:uid="{00000000-0005-0000-0000-0000700D0000}"/>
    <cellStyle name="g_rate_WACC-RAD (2)_THEsumPage (2)_Val_1_Book_Lecture_Notes_v3.06" xfId="1033" xr:uid="{00000000-0005-0000-0000-0000710D0000}"/>
    <cellStyle name="g_rate_WACC-RAD (2)_Val_1_Book_Lecture_Notes_v3.06" xfId="1034" xr:uid="{00000000-0005-0000-0000-0000720D0000}"/>
    <cellStyle name="Good" xfId="1743" builtinId="26" customBuiltin="1"/>
    <cellStyle name="Good 10" xfId="11447" xr:uid="{00000000-0005-0000-0000-0000740D0000}"/>
    <cellStyle name="Good 11" xfId="11456" xr:uid="{00000000-0005-0000-0000-0000750D0000}"/>
    <cellStyle name="Good 12" xfId="11488" xr:uid="{00000000-0005-0000-0000-0000760D0000}"/>
    <cellStyle name="Good 13" xfId="11631" xr:uid="{00000000-0005-0000-0000-0000770D0000}"/>
    <cellStyle name="Good 14" xfId="11637" xr:uid="{00000000-0005-0000-0000-0000780D0000}"/>
    <cellStyle name="Good 15" xfId="11671" xr:uid="{00000000-0005-0000-0000-0000790D0000}"/>
    <cellStyle name="Good 16" xfId="11688" xr:uid="{00000000-0005-0000-0000-00007A0D0000}"/>
    <cellStyle name="Good 17" xfId="11703" xr:uid="{00000000-0005-0000-0000-00007B0D0000}"/>
    <cellStyle name="Good 18" xfId="11720" xr:uid="{00000000-0005-0000-0000-00007C0D0000}"/>
    <cellStyle name="Good 19" xfId="11736" xr:uid="{00000000-0005-0000-0000-00007D0D0000}"/>
    <cellStyle name="Good 2" xfId="58" xr:uid="{00000000-0005-0000-0000-00007E0D0000}"/>
    <cellStyle name="Good 20" xfId="11752" xr:uid="{00000000-0005-0000-0000-00007F0D0000}"/>
    <cellStyle name="Good 21" xfId="11768" xr:uid="{00000000-0005-0000-0000-0000800D0000}"/>
    <cellStyle name="Good 22" xfId="11784" xr:uid="{00000000-0005-0000-0000-0000810D0000}"/>
    <cellStyle name="Good 23" xfId="11799" xr:uid="{00000000-0005-0000-0000-0000820D0000}"/>
    <cellStyle name="Good 24" xfId="11816" xr:uid="{00000000-0005-0000-0000-0000830D0000}"/>
    <cellStyle name="Good 25" xfId="11831" xr:uid="{00000000-0005-0000-0000-0000840D0000}"/>
    <cellStyle name="Good 26" xfId="11847" xr:uid="{00000000-0005-0000-0000-0000850D0000}"/>
    <cellStyle name="Good 27" xfId="11861" xr:uid="{00000000-0005-0000-0000-0000860D0000}"/>
    <cellStyle name="Good 28" xfId="11876" xr:uid="{00000000-0005-0000-0000-0000870D0000}"/>
    <cellStyle name="Good 29" xfId="11891" xr:uid="{00000000-0005-0000-0000-0000880D0000}"/>
    <cellStyle name="Good 3" xfId="1035" xr:uid="{00000000-0005-0000-0000-0000890D0000}"/>
    <cellStyle name="Good 3 2" xfId="11311" xr:uid="{00000000-0005-0000-0000-00008A0D0000}"/>
    <cellStyle name="Good 30" xfId="11906" xr:uid="{00000000-0005-0000-0000-00008B0D0000}"/>
    <cellStyle name="Good 31" xfId="11921" xr:uid="{00000000-0005-0000-0000-00008C0D0000}"/>
    <cellStyle name="Good 32" xfId="11936" xr:uid="{00000000-0005-0000-0000-00008D0D0000}"/>
    <cellStyle name="Good 33" xfId="11953" xr:uid="{00000000-0005-0000-0000-00008E0D0000}"/>
    <cellStyle name="Good 34" xfId="19822" xr:uid="{00000000-0005-0000-0000-00008F0D0000}"/>
    <cellStyle name="Good 35" xfId="19839" xr:uid="{00000000-0005-0000-0000-0000900D0000}"/>
    <cellStyle name="Good 36" xfId="19862" xr:uid="{00000000-0005-0000-0000-0000910D0000}"/>
    <cellStyle name="Good 37" xfId="19872" xr:uid="{00000000-0005-0000-0000-0000920D0000}"/>
    <cellStyle name="Good 38" xfId="19904" xr:uid="{00000000-0005-0000-0000-0000930D0000}"/>
    <cellStyle name="Good 39" xfId="19920" xr:uid="{00000000-0005-0000-0000-0000940D0000}"/>
    <cellStyle name="Good 4" xfId="11327" xr:uid="{00000000-0005-0000-0000-0000950D0000}"/>
    <cellStyle name="Good 40" xfId="19926" xr:uid="{00000000-0005-0000-0000-0000960D0000}"/>
    <cellStyle name="Good 41" xfId="19942" xr:uid="{00000000-0005-0000-0000-0000970D0000}"/>
    <cellStyle name="Good 42" xfId="19951" xr:uid="{00000000-0005-0000-0000-0000980D0000}"/>
    <cellStyle name="Good 43" xfId="19970" xr:uid="{00000000-0005-0000-0000-0000990D0000}"/>
    <cellStyle name="Good 44" xfId="20103" xr:uid="{00000000-0005-0000-0000-00009A0D0000}"/>
    <cellStyle name="Good 45" xfId="20109" xr:uid="{00000000-0005-0000-0000-00009B0D0000}"/>
    <cellStyle name="Good 46" xfId="20141" xr:uid="{00000000-0005-0000-0000-00009C0D0000}"/>
    <cellStyle name="Good 47" xfId="20157" xr:uid="{00000000-0005-0000-0000-00009D0D0000}"/>
    <cellStyle name="Good 48" xfId="20172" xr:uid="{00000000-0005-0000-0000-00009E0D0000}"/>
    <cellStyle name="Good 49" xfId="20188" xr:uid="{00000000-0005-0000-0000-00009F0D0000}"/>
    <cellStyle name="Good 5" xfId="11362" xr:uid="{00000000-0005-0000-0000-0000A00D0000}"/>
    <cellStyle name="Good 50" xfId="20203" xr:uid="{00000000-0005-0000-0000-0000A10D0000}"/>
    <cellStyle name="Good 51" xfId="20219" xr:uid="{00000000-0005-0000-0000-0000A20D0000}"/>
    <cellStyle name="Good 52" xfId="20234" xr:uid="{00000000-0005-0000-0000-0000A30D0000}"/>
    <cellStyle name="Good 53" xfId="20249" xr:uid="{00000000-0005-0000-0000-0000A40D0000}"/>
    <cellStyle name="Good 54" xfId="20263" xr:uid="{00000000-0005-0000-0000-0000A50D0000}"/>
    <cellStyle name="Good 55" xfId="20279" xr:uid="{00000000-0005-0000-0000-0000A60D0000}"/>
    <cellStyle name="Good 56" xfId="20293" xr:uid="{00000000-0005-0000-0000-0000A70D0000}"/>
    <cellStyle name="Good 57" xfId="20308" xr:uid="{00000000-0005-0000-0000-0000A80D0000}"/>
    <cellStyle name="Good 58" xfId="20321" xr:uid="{00000000-0005-0000-0000-0000A90D0000}"/>
    <cellStyle name="Good 59" xfId="20335" xr:uid="{00000000-0005-0000-0000-0000AA0D0000}"/>
    <cellStyle name="Good 6" xfId="11372" xr:uid="{00000000-0005-0000-0000-0000AB0D0000}"/>
    <cellStyle name="Good 60" xfId="20350" xr:uid="{00000000-0005-0000-0000-0000AC0D0000}"/>
    <cellStyle name="Good 61" xfId="20365" xr:uid="{00000000-0005-0000-0000-0000AD0D0000}"/>
    <cellStyle name="Good 62" xfId="20381" xr:uid="{00000000-0005-0000-0000-0000AE0D0000}"/>
    <cellStyle name="Good 63" xfId="20396" xr:uid="{00000000-0005-0000-0000-0000AF0D0000}"/>
    <cellStyle name="Good 64" xfId="20413" xr:uid="{00000000-0005-0000-0000-0000B00D0000}"/>
    <cellStyle name="Good 7" xfId="11409" xr:uid="{00000000-0005-0000-0000-0000B10D0000}"/>
    <cellStyle name="Good 8" xfId="11425" xr:uid="{00000000-0005-0000-0000-0000B20D0000}"/>
    <cellStyle name="Good 9" xfId="11431" xr:uid="{00000000-0005-0000-0000-0000B30D0000}"/>
    <cellStyle name="Grey" xfId="1907" xr:uid="{00000000-0005-0000-0000-0000B40D0000}"/>
    <cellStyle name="Growth Rates/Margins" xfId="1908" xr:uid="{00000000-0005-0000-0000-0000B50D0000}"/>
    <cellStyle name="Header1" xfId="173" xr:uid="{00000000-0005-0000-0000-0000B60D0000}"/>
    <cellStyle name="Header1 2" xfId="10406" xr:uid="{00000000-0005-0000-0000-0000B70D0000}"/>
    <cellStyle name="Header1 2 2" xfId="11234" xr:uid="{00000000-0005-0000-0000-0000B80D0000}"/>
    <cellStyle name="Header1 3" xfId="11101" xr:uid="{00000000-0005-0000-0000-0000B90D0000}"/>
    <cellStyle name="Header2" xfId="174" xr:uid="{00000000-0005-0000-0000-0000BA0D0000}"/>
    <cellStyle name="Header2 10" xfId="36710" xr:uid="{00000000-0005-0000-0000-0000BB0D0000}"/>
    <cellStyle name="Header2 2" xfId="1590" xr:uid="{00000000-0005-0000-0000-0000BC0D0000}"/>
    <cellStyle name="Header2 2 2" xfId="1633" xr:uid="{00000000-0005-0000-0000-0000BD0D0000}"/>
    <cellStyle name="Header2 2 2 2" xfId="11190" xr:uid="{00000000-0005-0000-0000-0000BE0D0000}"/>
    <cellStyle name="Header2 2 2 3" xfId="36781" xr:uid="{00000000-0005-0000-0000-0000BF0D0000}"/>
    <cellStyle name="Header2 2 2 4" xfId="36588" xr:uid="{00000000-0005-0000-0000-0000C00D0000}"/>
    <cellStyle name="Header2 2 2 5" xfId="36668" xr:uid="{00000000-0005-0000-0000-0000C10D0000}"/>
    <cellStyle name="Header2 2 3" xfId="1652" xr:uid="{00000000-0005-0000-0000-0000C20D0000}"/>
    <cellStyle name="Header2 2 3 2" xfId="11209" xr:uid="{00000000-0005-0000-0000-0000C30D0000}"/>
    <cellStyle name="Header2 2 3 3" xfId="36800" xr:uid="{00000000-0005-0000-0000-0000C40D0000}"/>
    <cellStyle name="Header2 2 3 4" xfId="36713" xr:uid="{00000000-0005-0000-0000-0000C50D0000}"/>
    <cellStyle name="Header2 2 3 5" xfId="36630" xr:uid="{00000000-0005-0000-0000-0000C60D0000}"/>
    <cellStyle name="Header2 2 4" xfId="19748" xr:uid="{00000000-0005-0000-0000-0000C70D0000}"/>
    <cellStyle name="Header2 2 5" xfId="11151" xr:uid="{00000000-0005-0000-0000-0000C80D0000}"/>
    <cellStyle name="Header2 2 6" xfId="36742" xr:uid="{00000000-0005-0000-0000-0000C90D0000}"/>
    <cellStyle name="Header2 2 7" xfId="36944" xr:uid="{00000000-0005-0000-0000-0000CA0D0000}"/>
    <cellStyle name="Header2 2 8" xfId="36593" xr:uid="{00000000-0005-0000-0000-0000CB0D0000}"/>
    <cellStyle name="Header2 3" xfId="10407" xr:uid="{00000000-0005-0000-0000-0000CC0D0000}"/>
    <cellStyle name="Header2 3 2" xfId="11235" xr:uid="{00000000-0005-0000-0000-0000CD0D0000}"/>
    <cellStyle name="Header2 4" xfId="11114" xr:uid="{00000000-0005-0000-0000-0000CE0D0000}"/>
    <cellStyle name="Header2 5" xfId="36391" xr:uid="{00000000-0005-0000-0000-0000CF0D0000}"/>
    <cellStyle name="Header2 6" xfId="36446" xr:uid="{00000000-0005-0000-0000-0000D00D0000}"/>
    <cellStyle name="Header2 7" xfId="36450" xr:uid="{00000000-0005-0000-0000-0000D10D0000}"/>
    <cellStyle name="Header2 8" xfId="36476" xr:uid="{00000000-0005-0000-0000-0000D20D0000}"/>
    <cellStyle name="Header2 9" xfId="36617" xr:uid="{00000000-0005-0000-0000-0000D30D0000}"/>
    <cellStyle name="headers" xfId="1036" xr:uid="{00000000-0005-0000-0000-0000D40D0000}"/>
    <cellStyle name="Heading" xfId="1037" xr:uid="{00000000-0005-0000-0000-0000D50D0000}"/>
    <cellStyle name="Heading 1" xfId="1739" builtinId="16" customBuiltin="1"/>
    <cellStyle name="Heading 1 10" xfId="11451" xr:uid="{00000000-0005-0000-0000-0000D70D0000}"/>
    <cellStyle name="Heading 1 11" xfId="11452" xr:uid="{00000000-0005-0000-0000-0000D80D0000}"/>
    <cellStyle name="Heading 1 12" xfId="11484" xr:uid="{00000000-0005-0000-0000-0000D90D0000}"/>
    <cellStyle name="Heading 1 13" xfId="11635" xr:uid="{00000000-0005-0000-0000-0000DA0D0000}"/>
    <cellStyle name="Heading 1 14" xfId="11501" xr:uid="{00000000-0005-0000-0000-0000DB0D0000}"/>
    <cellStyle name="Heading 1 15" xfId="11675" xr:uid="{00000000-0005-0000-0000-0000DC0D0000}"/>
    <cellStyle name="Heading 1 16" xfId="11692" xr:uid="{00000000-0005-0000-0000-0000DD0D0000}"/>
    <cellStyle name="Heading 1 17" xfId="11707" xr:uid="{00000000-0005-0000-0000-0000DE0D0000}"/>
    <cellStyle name="Heading 1 18" xfId="11724" xr:uid="{00000000-0005-0000-0000-0000DF0D0000}"/>
    <cellStyle name="Heading 1 19" xfId="11740" xr:uid="{00000000-0005-0000-0000-0000E00D0000}"/>
    <cellStyle name="Heading 1 2" xfId="59" xr:uid="{00000000-0005-0000-0000-0000E10D0000}"/>
    <cellStyle name="Heading 1 2 2" xfId="175" xr:uid="{00000000-0005-0000-0000-0000E20D0000}"/>
    <cellStyle name="Heading 1 20" xfId="11756" xr:uid="{00000000-0005-0000-0000-0000E30D0000}"/>
    <cellStyle name="Heading 1 21" xfId="11772" xr:uid="{00000000-0005-0000-0000-0000E40D0000}"/>
    <cellStyle name="Heading 1 22" xfId="11788" xr:uid="{00000000-0005-0000-0000-0000E50D0000}"/>
    <cellStyle name="Heading 1 23" xfId="11803" xr:uid="{00000000-0005-0000-0000-0000E60D0000}"/>
    <cellStyle name="Heading 1 24" xfId="11820" xr:uid="{00000000-0005-0000-0000-0000E70D0000}"/>
    <cellStyle name="Heading 1 25" xfId="11835" xr:uid="{00000000-0005-0000-0000-0000E80D0000}"/>
    <cellStyle name="Heading 1 26" xfId="11851" xr:uid="{00000000-0005-0000-0000-0000E90D0000}"/>
    <cellStyle name="Heading 1 27" xfId="11865" xr:uid="{00000000-0005-0000-0000-0000EA0D0000}"/>
    <cellStyle name="Heading 1 28" xfId="11880" xr:uid="{00000000-0005-0000-0000-0000EB0D0000}"/>
    <cellStyle name="Heading 1 29" xfId="11895" xr:uid="{00000000-0005-0000-0000-0000EC0D0000}"/>
    <cellStyle name="Heading 1 3" xfId="1038" xr:uid="{00000000-0005-0000-0000-0000ED0D0000}"/>
    <cellStyle name="Heading 1 3 2" xfId="11307" xr:uid="{00000000-0005-0000-0000-0000EE0D0000}"/>
    <cellStyle name="Heading 1 30" xfId="11910" xr:uid="{00000000-0005-0000-0000-0000EF0D0000}"/>
    <cellStyle name="Heading 1 31" xfId="11925" xr:uid="{00000000-0005-0000-0000-0000F00D0000}"/>
    <cellStyle name="Heading 1 32" xfId="11940" xr:uid="{00000000-0005-0000-0000-0000F10D0000}"/>
    <cellStyle name="Heading 1 33" xfId="11957" xr:uid="{00000000-0005-0000-0000-0000F20D0000}"/>
    <cellStyle name="Heading 1 34" xfId="19818" xr:uid="{00000000-0005-0000-0000-0000F30D0000}"/>
    <cellStyle name="Heading 1 35" xfId="19835" xr:uid="{00000000-0005-0000-0000-0000F40D0000}"/>
    <cellStyle name="Heading 1 36" xfId="19866" xr:uid="{00000000-0005-0000-0000-0000F50D0000}"/>
    <cellStyle name="Heading 1 37" xfId="19868" xr:uid="{00000000-0005-0000-0000-0000F60D0000}"/>
    <cellStyle name="Heading 1 38" xfId="19908" xr:uid="{00000000-0005-0000-0000-0000F70D0000}"/>
    <cellStyle name="Heading 1 39" xfId="19924" xr:uid="{00000000-0005-0000-0000-0000F80D0000}"/>
    <cellStyle name="Heading 1 4" xfId="11323" xr:uid="{00000000-0005-0000-0000-0000F90D0000}"/>
    <cellStyle name="Heading 1 40" xfId="19930" xr:uid="{00000000-0005-0000-0000-0000FA0D0000}"/>
    <cellStyle name="Heading 1 41" xfId="19946" xr:uid="{00000000-0005-0000-0000-0000FB0D0000}"/>
    <cellStyle name="Heading 1 42" xfId="19947" xr:uid="{00000000-0005-0000-0000-0000FC0D0000}"/>
    <cellStyle name="Heading 1 43" xfId="19966" xr:uid="{00000000-0005-0000-0000-0000FD0D0000}"/>
    <cellStyle name="Heading 1 44" xfId="20107" xr:uid="{00000000-0005-0000-0000-0000FE0D0000}"/>
    <cellStyle name="Heading 1 45" xfId="19983" xr:uid="{00000000-0005-0000-0000-0000FF0D0000}"/>
    <cellStyle name="Heading 1 46" xfId="20145" xr:uid="{00000000-0005-0000-0000-0000000E0000}"/>
    <cellStyle name="Heading 1 47" xfId="20161" xr:uid="{00000000-0005-0000-0000-0000010E0000}"/>
    <cellStyle name="Heading 1 48" xfId="20176" xr:uid="{00000000-0005-0000-0000-0000020E0000}"/>
    <cellStyle name="Heading 1 49" xfId="20192" xr:uid="{00000000-0005-0000-0000-0000030E0000}"/>
    <cellStyle name="Heading 1 5" xfId="11366" xr:uid="{00000000-0005-0000-0000-0000040E0000}"/>
    <cellStyle name="Heading 1 50" xfId="20207" xr:uid="{00000000-0005-0000-0000-0000050E0000}"/>
    <cellStyle name="Heading 1 51" xfId="20223" xr:uid="{00000000-0005-0000-0000-0000060E0000}"/>
    <cellStyle name="Heading 1 52" xfId="20238" xr:uid="{00000000-0005-0000-0000-0000070E0000}"/>
    <cellStyle name="Heading 1 53" xfId="20253" xr:uid="{00000000-0005-0000-0000-0000080E0000}"/>
    <cellStyle name="Heading 1 54" xfId="20267" xr:uid="{00000000-0005-0000-0000-0000090E0000}"/>
    <cellStyle name="Heading 1 55" xfId="20283" xr:uid="{00000000-0005-0000-0000-00000A0E0000}"/>
    <cellStyle name="Heading 1 56" xfId="20297" xr:uid="{00000000-0005-0000-0000-00000B0E0000}"/>
    <cellStyle name="Heading 1 57" xfId="20312" xr:uid="{00000000-0005-0000-0000-00000C0E0000}"/>
    <cellStyle name="Heading 1 58" xfId="20325" xr:uid="{00000000-0005-0000-0000-00000D0E0000}"/>
    <cellStyle name="Heading 1 59" xfId="20339" xr:uid="{00000000-0005-0000-0000-00000E0E0000}"/>
    <cellStyle name="Heading 1 6" xfId="11368" xr:uid="{00000000-0005-0000-0000-00000F0E0000}"/>
    <cellStyle name="Heading 1 60" xfId="20354" xr:uid="{00000000-0005-0000-0000-0000100E0000}"/>
    <cellStyle name="Heading 1 61" xfId="20369" xr:uid="{00000000-0005-0000-0000-0000110E0000}"/>
    <cellStyle name="Heading 1 62" xfId="20385" xr:uid="{00000000-0005-0000-0000-0000120E0000}"/>
    <cellStyle name="Heading 1 63" xfId="20400" xr:uid="{00000000-0005-0000-0000-0000130E0000}"/>
    <cellStyle name="Heading 1 64" xfId="20417" xr:uid="{00000000-0005-0000-0000-0000140E0000}"/>
    <cellStyle name="Heading 1 7" xfId="11413" xr:uid="{00000000-0005-0000-0000-0000150E0000}"/>
    <cellStyle name="Heading 1 8" xfId="11429" xr:uid="{00000000-0005-0000-0000-0000160E0000}"/>
    <cellStyle name="Heading 1 9" xfId="11435" xr:uid="{00000000-0005-0000-0000-0000170E0000}"/>
    <cellStyle name="Heading 2" xfId="1740" builtinId="17" customBuiltin="1"/>
    <cellStyle name="Heading 2 10" xfId="11450" xr:uid="{00000000-0005-0000-0000-0000190E0000}"/>
    <cellStyle name="Heading 2 11" xfId="11453" xr:uid="{00000000-0005-0000-0000-00001A0E0000}"/>
    <cellStyle name="Heading 2 12" xfId="11485" xr:uid="{00000000-0005-0000-0000-00001B0E0000}"/>
    <cellStyle name="Heading 2 13" xfId="11634" xr:uid="{00000000-0005-0000-0000-00001C0E0000}"/>
    <cellStyle name="Heading 2 14" xfId="11506" xr:uid="{00000000-0005-0000-0000-00001D0E0000}"/>
    <cellStyle name="Heading 2 15" xfId="11674" xr:uid="{00000000-0005-0000-0000-00001E0E0000}"/>
    <cellStyle name="Heading 2 16" xfId="11691" xr:uid="{00000000-0005-0000-0000-00001F0E0000}"/>
    <cellStyle name="Heading 2 17" xfId="11706" xr:uid="{00000000-0005-0000-0000-0000200E0000}"/>
    <cellStyle name="Heading 2 18" xfId="11723" xr:uid="{00000000-0005-0000-0000-0000210E0000}"/>
    <cellStyle name="Heading 2 19" xfId="11739" xr:uid="{00000000-0005-0000-0000-0000220E0000}"/>
    <cellStyle name="Heading 2 2" xfId="60" xr:uid="{00000000-0005-0000-0000-0000230E0000}"/>
    <cellStyle name="Heading 2 2 2" xfId="176" xr:uid="{00000000-0005-0000-0000-0000240E0000}"/>
    <cellStyle name="Heading 2 20" xfId="11755" xr:uid="{00000000-0005-0000-0000-0000250E0000}"/>
    <cellStyle name="Heading 2 21" xfId="11771" xr:uid="{00000000-0005-0000-0000-0000260E0000}"/>
    <cellStyle name="Heading 2 22" xfId="11787" xr:uid="{00000000-0005-0000-0000-0000270E0000}"/>
    <cellStyle name="Heading 2 23" xfId="11802" xr:uid="{00000000-0005-0000-0000-0000280E0000}"/>
    <cellStyle name="Heading 2 24" xfId="11819" xr:uid="{00000000-0005-0000-0000-0000290E0000}"/>
    <cellStyle name="Heading 2 25" xfId="11834" xr:uid="{00000000-0005-0000-0000-00002A0E0000}"/>
    <cellStyle name="Heading 2 26" xfId="11850" xr:uid="{00000000-0005-0000-0000-00002B0E0000}"/>
    <cellStyle name="Heading 2 27" xfId="11864" xr:uid="{00000000-0005-0000-0000-00002C0E0000}"/>
    <cellStyle name="Heading 2 28" xfId="11879" xr:uid="{00000000-0005-0000-0000-00002D0E0000}"/>
    <cellStyle name="Heading 2 29" xfId="11894" xr:uid="{00000000-0005-0000-0000-00002E0E0000}"/>
    <cellStyle name="Heading 2 3" xfId="1039" xr:uid="{00000000-0005-0000-0000-00002F0E0000}"/>
    <cellStyle name="Heading 2 3 2" xfId="11308" xr:uid="{00000000-0005-0000-0000-0000300E0000}"/>
    <cellStyle name="Heading 2 30" xfId="11909" xr:uid="{00000000-0005-0000-0000-0000310E0000}"/>
    <cellStyle name="Heading 2 31" xfId="11924" xr:uid="{00000000-0005-0000-0000-0000320E0000}"/>
    <cellStyle name="Heading 2 32" xfId="11939" xr:uid="{00000000-0005-0000-0000-0000330E0000}"/>
    <cellStyle name="Heading 2 33" xfId="11956" xr:uid="{00000000-0005-0000-0000-0000340E0000}"/>
    <cellStyle name="Heading 2 34" xfId="19819" xr:uid="{00000000-0005-0000-0000-0000350E0000}"/>
    <cellStyle name="Heading 2 35" xfId="19836" xr:uid="{00000000-0005-0000-0000-0000360E0000}"/>
    <cellStyle name="Heading 2 36" xfId="19865" xr:uid="{00000000-0005-0000-0000-0000370E0000}"/>
    <cellStyle name="Heading 2 37" xfId="19869" xr:uid="{00000000-0005-0000-0000-0000380E0000}"/>
    <cellStyle name="Heading 2 38" xfId="19907" xr:uid="{00000000-0005-0000-0000-0000390E0000}"/>
    <cellStyle name="Heading 2 39" xfId="19923" xr:uid="{00000000-0005-0000-0000-00003A0E0000}"/>
    <cellStyle name="Heading 2 4" xfId="11324" xr:uid="{00000000-0005-0000-0000-00003B0E0000}"/>
    <cellStyle name="Heading 2 40" xfId="19929" xr:uid="{00000000-0005-0000-0000-00003C0E0000}"/>
    <cellStyle name="Heading 2 41" xfId="19945" xr:uid="{00000000-0005-0000-0000-00003D0E0000}"/>
    <cellStyle name="Heading 2 42" xfId="19948" xr:uid="{00000000-0005-0000-0000-00003E0E0000}"/>
    <cellStyle name="Heading 2 43" xfId="19967" xr:uid="{00000000-0005-0000-0000-00003F0E0000}"/>
    <cellStyle name="Heading 2 44" xfId="20106" xr:uid="{00000000-0005-0000-0000-0000400E0000}"/>
    <cellStyle name="Heading 2 45" xfId="19984" xr:uid="{00000000-0005-0000-0000-0000410E0000}"/>
    <cellStyle name="Heading 2 46" xfId="20144" xr:uid="{00000000-0005-0000-0000-0000420E0000}"/>
    <cellStyle name="Heading 2 47" xfId="20160" xr:uid="{00000000-0005-0000-0000-0000430E0000}"/>
    <cellStyle name="Heading 2 48" xfId="20175" xr:uid="{00000000-0005-0000-0000-0000440E0000}"/>
    <cellStyle name="Heading 2 49" xfId="20191" xr:uid="{00000000-0005-0000-0000-0000450E0000}"/>
    <cellStyle name="Heading 2 5" xfId="11365" xr:uid="{00000000-0005-0000-0000-0000460E0000}"/>
    <cellStyle name="Heading 2 50" xfId="20206" xr:uid="{00000000-0005-0000-0000-0000470E0000}"/>
    <cellStyle name="Heading 2 51" xfId="20222" xr:uid="{00000000-0005-0000-0000-0000480E0000}"/>
    <cellStyle name="Heading 2 52" xfId="20237" xr:uid="{00000000-0005-0000-0000-0000490E0000}"/>
    <cellStyle name="Heading 2 53" xfId="20252" xr:uid="{00000000-0005-0000-0000-00004A0E0000}"/>
    <cellStyle name="Heading 2 54" xfId="20266" xr:uid="{00000000-0005-0000-0000-00004B0E0000}"/>
    <cellStyle name="Heading 2 55" xfId="20282" xr:uid="{00000000-0005-0000-0000-00004C0E0000}"/>
    <cellStyle name="Heading 2 56" xfId="20296" xr:uid="{00000000-0005-0000-0000-00004D0E0000}"/>
    <cellStyle name="Heading 2 57" xfId="20311" xr:uid="{00000000-0005-0000-0000-00004E0E0000}"/>
    <cellStyle name="Heading 2 58" xfId="20324" xr:uid="{00000000-0005-0000-0000-00004F0E0000}"/>
    <cellStyle name="Heading 2 59" xfId="20338" xr:uid="{00000000-0005-0000-0000-0000500E0000}"/>
    <cellStyle name="Heading 2 6" xfId="11369" xr:uid="{00000000-0005-0000-0000-0000510E0000}"/>
    <cellStyle name="Heading 2 60" xfId="20353" xr:uid="{00000000-0005-0000-0000-0000520E0000}"/>
    <cellStyle name="Heading 2 61" xfId="20368" xr:uid="{00000000-0005-0000-0000-0000530E0000}"/>
    <cellStyle name="Heading 2 62" xfId="20384" xr:uid="{00000000-0005-0000-0000-0000540E0000}"/>
    <cellStyle name="Heading 2 63" xfId="20399" xr:uid="{00000000-0005-0000-0000-0000550E0000}"/>
    <cellStyle name="Heading 2 64" xfId="20416" xr:uid="{00000000-0005-0000-0000-0000560E0000}"/>
    <cellStyle name="Heading 2 7" xfId="11412" xr:uid="{00000000-0005-0000-0000-0000570E0000}"/>
    <cellStyle name="Heading 2 8" xfId="11428" xr:uid="{00000000-0005-0000-0000-0000580E0000}"/>
    <cellStyle name="Heading 2 9" xfId="11434" xr:uid="{00000000-0005-0000-0000-0000590E0000}"/>
    <cellStyle name="Heading 3" xfId="1741" builtinId="18" customBuiltin="1"/>
    <cellStyle name="Heading 3 10" xfId="11449" xr:uid="{00000000-0005-0000-0000-00005B0E0000}"/>
    <cellStyle name="Heading 3 11" xfId="11454" xr:uid="{00000000-0005-0000-0000-00005C0E0000}"/>
    <cellStyle name="Heading 3 12" xfId="11486" xr:uid="{00000000-0005-0000-0000-00005D0E0000}"/>
    <cellStyle name="Heading 3 13" xfId="11633" xr:uid="{00000000-0005-0000-0000-00005E0E0000}"/>
    <cellStyle name="Heading 3 14" xfId="11616" xr:uid="{00000000-0005-0000-0000-00005F0E0000}"/>
    <cellStyle name="Heading 3 15" xfId="11673" xr:uid="{00000000-0005-0000-0000-0000600E0000}"/>
    <cellStyle name="Heading 3 16" xfId="11690" xr:uid="{00000000-0005-0000-0000-0000610E0000}"/>
    <cellStyle name="Heading 3 17" xfId="11705" xr:uid="{00000000-0005-0000-0000-0000620E0000}"/>
    <cellStyle name="Heading 3 18" xfId="11722" xr:uid="{00000000-0005-0000-0000-0000630E0000}"/>
    <cellStyle name="Heading 3 19" xfId="11738" xr:uid="{00000000-0005-0000-0000-0000640E0000}"/>
    <cellStyle name="Heading 3 2" xfId="61" xr:uid="{00000000-0005-0000-0000-0000650E0000}"/>
    <cellStyle name="Heading 3 2 2" xfId="177" xr:uid="{00000000-0005-0000-0000-0000660E0000}"/>
    <cellStyle name="Heading 3 20" xfId="11754" xr:uid="{00000000-0005-0000-0000-0000670E0000}"/>
    <cellStyle name="Heading 3 21" xfId="11770" xr:uid="{00000000-0005-0000-0000-0000680E0000}"/>
    <cellStyle name="Heading 3 22" xfId="11786" xr:uid="{00000000-0005-0000-0000-0000690E0000}"/>
    <cellStyle name="Heading 3 23" xfId="11801" xr:uid="{00000000-0005-0000-0000-00006A0E0000}"/>
    <cellStyle name="Heading 3 24" xfId="11818" xr:uid="{00000000-0005-0000-0000-00006B0E0000}"/>
    <cellStyle name="Heading 3 25" xfId="11833" xr:uid="{00000000-0005-0000-0000-00006C0E0000}"/>
    <cellStyle name="Heading 3 26" xfId="11849" xr:uid="{00000000-0005-0000-0000-00006D0E0000}"/>
    <cellStyle name="Heading 3 27" xfId="11863" xr:uid="{00000000-0005-0000-0000-00006E0E0000}"/>
    <cellStyle name="Heading 3 28" xfId="11878" xr:uid="{00000000-0005-0000-0000-00006F0E0000}"/>
    <cellStyle name="Heading 3 29" xfId="11893" xr:uid="{00000000-0005-0000-0000-0000700E0000}"/>
    <cellStyle name="Heading 3 3" xfId="1040" xr:uid="{00000000-0005-0000-0000-0000710E0000}"/>
    <cellStyle name="Heading 3 3 2" xfId="11309" xr:uid="{00000000-0005-0000-0000-0000720E0000}"/>
    <cellStyle name="Heading 3 30" xfId="11908" xr:uid="{00000000-0005-0000-0000-0000730E0000}"/>
    <cellStyle name="Heading 3 31" xfId="11923" xr:uid="{00000000-0005-0000-0000-0000740E0000}"/>
    <cellStyle name="Heading 3 32" xfId="11938" xr:uid="{00000000-0005-0000-0000-0000750E0000}"/>
    <cellStyle name="Heading 3 33" xfId="11955" xr:uid="{00000000-0005-0000-0000-0000760E0000}"/>
    <cellStyle name="Heading 3 34" xfId="19820" xr:uid="{00000000-0005-0000-0000-0000770E0000}"/>
    <cellStyle name="Heading 3 35" xfId="19837" xr:uid="{00000000-0005-0000-0000-0000780E0000}"/>
    <cellStyle name="Heading 3 36" xfId="19864" xr:uid="{00000000-0005-0000-0000-0000790E0000}"/>
    <cellStyle name="Heading 3 37" xfId="19870" xr:uid="{00000000-0005-0000-0000-00007A0E0000}"/>
    <cellStyle name="Heading 3 38" xfId="19906" xr:uid="{00000000-0005-0000-0000-00007B0E0000}"/>
    <cellStyle name="Heading 3 39" xfId="19922" xr:uid="{00000000-0005-0000-0000-00007C0E0000}"/>
    <cellStyle name="Heading 3 4" xfId="11325" xr:uid="{00000000-0005-0000-0000-00007D0E0000}"/>
    <cellStyle name="Heading 3 40" xfId="19928" xr:uid="{00000000-0005-0000-0000-00007E0E0000}"/>
    <cellStyle name="Heading 3 41" xfId="19944" xr:uid="{00000000-0005-0000-0000-00007F0E0000}"/>
    <cellStyle name="Heading 3 42" xfId="19949" xr:uid="{00000000-0005-0000-0000-0000800E0000}"/>
    <cellStyle name="Heading 3 43" xfId="19968" xr:uid="{00000000-0005-0000-0000-0000810E0000}"/>
    <cellStyle name="Heading 3 44" xfId="20105" xr:uid="{00000000-0005-0000-0000-0000820E0000}"/>
    <cellStyle name="Heading 3 45" xfId="20089" xr:uid="{00000000-0005-0000-0000-0000830E0000}"/>
    <cellStyle name="Heading 3 46" xfId="20143" xr:uid="{00000000-0005-0000-0000-0000840E0000}"/>
    <cellStyle name="Heading 3 47" xfId="20159" xr:uid="{00000000-0005-0000-0000-0000850E0000}"/>
    <cellStyle name="Heading 3 48" xfId="20174" xr:uid="{00000000-0005-0000-0000-0000860E0000}"/>
    <cellStyle name="Heading 3 49" xfId="20190" xr:uid="{00000000-0005-0000-0000-0000870E0000}"/>
    <cellStyle name="Heading 3 5" xfId="11364" xr:uid="{00000000-0005-0000-0000-0000880E0000}"/>
    <cellStyle name="Heading 3 50" xfId="20205" xr:uid="{00000000-0005-0000-0000-0000890E0000}"/>
    <cellStyle name="Heading 3 51" xfId="20221" xr:uid="{00000000-0005-0000-0000-00008A0E0000}"/>
    <cellStyle name="Heading 3 52" xfId="20236" xr:uid="{00000000-0005-0000-0000-00008B0E0000}"/>
    <cellStyle name="Heading 3 53" xfId="20251" xr:uid="{00000000-0005-0000-0000-00008C0E0000}"/>
    <cellStyle name="Heading 3 54" xfId="20265" xr:uid="{00000000-0005-0000-0000-00008D0E0000}"/>
    <cellStyle name="Heading 3 55" xfId="20281" xr:uid="{00000000-0005-0000-0000-00008E0E0000}"/>
    <cellStyle name="Heading 3 56" xfId="20295" xr:uid="{00000000-0005-0000-0000-00008F0E0000}"/>
    <cellStyle name="Heading 3 57" xfId="20310" xr:uid="{00000000-0005-0000-0000-0000900E0000}"/>
    <cellStyle name="Heading 3 58" xfId="20323" xr:uid="{00000000-0005-0000-0000-0000910E0000}"/>
    <cellStyle name="Heading 3 59" xfId="20337" xr:uid="{00000000-0005-0000-0000-0000920E0000}"/>
    <cellStyle name="Heading 3 6" xfId="11370" xr:uid="{00000000-0005-0000-0000-0000930E0000}"/>
    <cellStyle name="Heading 3 60" xfId="20352" xr:uid="{00000000-0005-0000-0000-0000940E0000}"/>
    <cellStyle name="Heading 3 61" xfId="20367" xr:uid="{00000000-0005-0000-0000-0000950E0000}"/>
    <cellStyle name="Heading 3 62" xfId="20383" xr:uid="{00000000-0005-0000-0000-0000960E0000}"/>
    <cellStyle name="Heading 3 63" xfId="20398" xr:uid="{00000000-0005-0000-0000-0000970E0000}"/>
    <cellStyle name="Heading 3 64" xfId="20415" xr:uid="{00000000-0005-0000-0000-0000980E0000}"/>
    <cellStyle name="Heading 3 7" xfId="11411" xr:uid="{00000000-0005-0000-0000-0000990E0000}"/>
    <cellStyle name="Heading 3 8" xfId="11427" xr:uid="{00000000-0005-0000-0000-00009A0E0000}"/>
    <cellStyle name="Heading 3 9" xfId="11433" xr:uid="{00000000-0005-0000-0000-00009B0E0000}"/>
    <cellStyle name="Heading 4" xfId="1742" builtinId="19" customBuiltin="1"/>
    <cellStyle name="Heading 4 10" xfId="11448" xr:uid="{00000000-0005-0000-0000-00009D0E0000}"/>
    <cellStyle name="Heading 4 11" xfId="11455" xr:uid="{00000000-0005-0000-0000-00009E0E0000}"/>
    <cellStyle name="Heading 4 12" xfId="11487" xr:uid="{00000000-0005-0000-0000-00009F0E0000}"/>
    <cellStyle name="Heading 4 13" xfId="11632" xr:uid="{00000000-0005-0000-0000-0000A00E0000}"/>
    <cellStyle name="Heading 4 14" xfId="11507" xr:uid="{00000000-0005-0000-0000-0000A10E0000}"/>
    <cellStyle name="Heading 4 15" xfId="11672" xr:uid="{00000000-0005-0000-0000-0000A20E0000}"/>
    <cellStyle name="Heading 4 16" xfId="11689" xr:uid="{00000000-0005-0000-0000-0000A30E0000}"/>
    <cellStyle name="Heading 4 17" xfId="11704" xr:uid="{00000000-0005-0000-0000-0000A40E0000}"/>
    <cellStyle name="Heading 4 18" xfId="11721" xr:uid="{00000000-0005-0000-0000-0000A50E0000}"/>
    <cellStyle name="Heading 4 19" xfId="11737" xr:uid="{00000000-0005-0000-0000-0000A60E0000}"/>
    <cellStyle name="Heading 4 2" xfId="62" xr:uid="{00000000-0005-0000-0000-0000A70E0000}"/>
    <cellStyle name="Heading 4 2 2" xfId="178" xr:uid="{00000000-0005-0000-0000-0000A80E0000}"/>
    <cellStyle name="Heading 4 20" xfId="11753" xr:uid="{00000000-0005-0000-0000-0000A90E0000}"/>
    <cellStyle name="Heading 4 21" xfId="11769" xr:uid="{00000000-0005-0000-0000-0000AA0E0000}"/>
    <cellStyle name="Heading 4 22" xfId="11785" xr:uid="{00000000-0005-0000-0000-0000AB0E0000}"/>
    <cellStyle name="Heading 4 23" xfId="11800" xr:uid="{00000000-0005-0000-0000-0000AC0E0000}"/>
    <cellStyle name="Heading 4 24" xfId="11817" xr:uid="{00000000-0005-0000-0000-0000AD0E0000}"/>
    <cellStyle name="Heading 4 25" xfId="11832" xr:uid="{00000000-0005-0000-0000-0000AE0E0000}"/>
    <cellStyle name="Heading 4 26" xfId="11848" xr:uid="{00000000-0005-0000-0000-0000AF0E0000}"/>
    <cellStyle name="Heading 4 27" xfId="11862" xr:uid="{00000000-0005-0000-0000-0000B00E0000}"/>
    <cellStyle name="Heading 4 28" xfId="11877" xr:uid="{00000000-0005-0000-0000-0000B10E0000}"/>
    <cellStyle name="Heading 4 29" xfId="11892" xr:uid="{00000000-0005-0000-0000-0000B20E0000}"/>
    <cellStyle name="Heading 4 3" xfId="1041" xr:uid="{00000000-0005-0000-0000-0000B30E0000}"/>
    <cellStyle name="Heading 4 3 2" xfId="11310" xr:uid="{00000000-0005-0000-0000-0000B40E0000}"/>
    <cellStyle name="Heading 4 30" xfId="11907" xr:uid="{00000000-0005-0000-0000-0000B50E0000}"/>
    <cellStyle name="Heading 4 31" xfId="11922" xr:uid="{00000000-0005-0000-0000-0000B60E0000}"/>
    <cellStyle name="Heading 4 32" xfId="11937" xr:uid="{00000000-0005-0000-0000-0000B70E0000}"/>
    <cellStyle name="Heading 4 33" xfId="11954" xr:uid="{00000000-0005-0000-0000-0000B80E0000}"/>
    <cellStyle name="Heading 4 34" xfId="19821" xr:uid="{00000000-0005-0000-0000-0000B90E0000}"/>
    <cellStyle name="Heading 4 35" xfId="19838" xr:uid="{00000000-0005-0000-0000-0000BA0E0000}"/>
    <cellStyle name="Heading 4 36" xfId="19863" xr:uid="{00000000-0005-0000-0000-0000BB0E0000}"/>
    <cellStyle name="Heading 4 37" xfId="19871" xr:uid="{00000000-0005-0000-0000-0000BC0E0000}"/>
    <cellStyle name="Heading 4 38" xfId="19905" xr:uid="{00000000-0005-0000-0000-0000BD0E0000}"/>
    <cellStyle name="Heading 4 39" xfId="19921" xr:uid="{00000000-0005-0000-0000-0000BE0E0000}"/>
    <cellStyle name="Heading 4 4" xfId="11326" xr:uid="{00000000-0005-0000-0000-0000BF0E0000}"/>
    <cellStyle name="Heading 4 40" xfId="19927" xr:uid="{00000000-0005-0000-0000-0000C00E0000}"/>
    <cellStyle name="Heading 4 41" xfId="19943" xr:uid="{00000000-0005-0000-0000-0000C10E0000}"/>
    <cellStyle name="Heading 4 42" xfId="19950" xr:uid="{00000000-0005-0000-0000-0000C20E0000}"/>
    <cellStyle name="Heading 4 43" xfId="19969" xr:uid="{00000000-0005-0000-0000-0000C30E0000}"/>
    <cellStyle name="Heading 4 44" xfId="20104" xr:uid="{00000000-0005-0000-0000-0000C40E0000}"/>
    <cellStyle name="Heading 4 45" xfId="19985" xr:uid="{00000000-0005-0000-0000-0000C50E0000}"/>
    <cellStyle name="Heading 4 46" xfId="20142" xr:uid="{00000000-0005-0000-0000-0000C60E0000}"/>
    <cellStyle name="Heading 4 47" xfId="20158" xr:uid="{00000000-0005-0000-0000-0000C70E0000}"/>
    <cellStyle name="Heading 4 48" xfId="20173" xr:uid="{00000000-0005-0000-0000-0000C80E0000}"/>
    <cellStyle name="Heading 4 49" xfId="20189" xr:uid="{00000000-0005-0000-0000-0000C90E0000}"/>
    <cellStyle name="Heading 4 5" xfId="11363" xr:uid="{00000000-0005-0000-0000-0000CA0E0000}"/>
    <cellStyle name="Heading 4 50" xfId="20204" xr:uid="{00000000-0005-0000-0000-0000CB0E0000}"/>
    <cellStyle name="Heading 4 51" xfId="20220" xr:uid="{00000000-0005-0000-0000-0000CC0E0000}"/>
    <cellStyle name="Heading 4 52" xfId="20235" xr:uid="{00000000-0005-0000-0000-0000CD0E0000}"/>
    <cellStyle name="Heading 4 53" xfId="20250" xr:uid="{00000000-0005-0000-0000-0000CE0E0000}"/>
    <cellStyle name="Heading 4 54" xfId="20264" xr:uid="{00000000-0005-0000-0000-0000CF0E0000}"/>
    <cellStyle name="Heading 4 55" xfId="20280" xr:uid="{00000000-0005-0000-0000-0000D00E0000}"/>
    <cellStyle name="Heading 4 56" xfId="20294" xr:uid="{00000000-0005-0000-0000-0000D10E0000}"/>
    <cellStyle name="Heading 4 57" xfId="20309" xr:uid="{00000000-0005-0000-0000-0000D20E0000}"/>
    <cellStyle name="Heading 4 58" xfId="20322" xr:uid="{00000000-0005-0000-0000-0000D30E0000}"/>
    <cellStyle name="Heading 4 59" xfId="20336" xr:uid="{00000000-0005-0000-0000-0000D40E0000}"/>
    <cellStyle name="Heading 4 6" xfId="11371" xr:uid="{00000000-0005-0000-0000-0000D50E0000}"/>
    <cellStyle name="Heading 4 60" xfId="20351" xr:uid="{00000000-0005-0000-0000-0000D60E0000}"/>
    <cellStyle name="Heading 4 61" xfId="20366" xr:uid="{00000000-0005-0000-0000-0000D70E0000}"/>
    <cellStyle name="Heading 4 62" xfId="20382" xr:uid="{00000000-0005-0000-0000-0000D80E0000}"/>
    <cellStyle name="Heading 4 63" xfId="20397" xr:uid="{00000000-0005-0000-0000-0000D90E0000}"/>
    <cellStyle name="Heading 4 64" xfId="20414" xr:uid="{00000000-0005-0000-0000-0000DA0E0000}"/>
    <cellStyle name="Heading 4 7" xfId="11410" xr:uid="{00000000-0005-0000-0000-0000DB0E0000}"/>
    <cellStyle name="Heading 4 8" xfId="11426" xr:uid="{00000000-0005-0000-0000-0000DC0E0000}"/>
    <cellStyle name="Heading 4 9" xfId="11432" xr:uid="{00000000-0005-0000-0000-0000DD0E0000}"/>
    <cellStyle name="Heading No Underline" xfId="2096" xr:uid="{00000000-0005-0000-0000-0000DE0E0000}"/>
    <cellStyle name="Heading With Underline" xfId="2127" xr:uid="{00000000-0005-0000-0000-0000DF0E0000}"/>
    <cellStyle name="Heading With Underline 2" xfId="11230" xr:uid="{00000000-0005-0000-0000-0000E00E0000}"/>
    <cellStyle name="Hipervínculo" xfId="1909" xr:uid="{00000000-0005-0000-0000-0000E10E0000}"/>
    <cellStyle name="HNU" xfId="2005" xr:uid="{00000000-0005-0000-0000-0000E20E0000}"/>
    <cellStyle name="Hyperlink 2" xfId="363" xr:uid="{00000000-0005-0000-0000-0000E30E0000}"/>
    <cellStyle name="Hyperlink 2 2" xfId="6609" xr:uid="{00000000-0005-0000-0000-0000E40E0000}"/>
    <cellStyle name="Hyperlink 2 3" xfId="2442" xr:uid="{00000000-0005-0000-0000-0000E50E0000}"/>
    <cellStyle name="Hyperlink 2 4" xfId="1910" xr:uid="{00000000-0005-0000-0000-0000E60E0000}"/>
    <cellStyle name="Hyperlink 3" xfId="6610" hidden="1" xr:uid="{00000000-0005-0000-0000-0000E70E0000}"/>
    <cellStyle name="Hyperlink 3" xfId="10907" hidden="1" xr:uid="{00000000-0005-0000-0000-0000E80E0000}"/>
    <cellStyle name="Hyperlink 3" xfId="10920" hidden="1" xr:uid="{00000000-0005-0000-0000-0000E90E0000}"/>
    <cellStyle name="Hyperlink 3" xfId="10897" hidden="1" xr:uid="{00000000-0005-0000-0000-0000EA0E0000}"/>
    <cellStyle name="Hyperlink 3" xfId="10924" hidden="1" xr:uid="{00000000-0005-0000-0000-0000EB0E0000}"/>
    <cellStyle name="Hyperlink 3" xfId="10891" hidden="1" xr:uid="{00000000-0005-0000-0000-0000EC0E0000}"/>
    <cellStyle name="Hyperlink 3" xfId="10930" hidden="1" xr:uid="{00000000-0005-0000-0000-0000ED0E0000}"/>
    <cellStyle name="Hyperlink 3" xfId="10912" hidden="1" xr:uid="{00000000-0005-0000-0000-0000EE0E0000}"/>
    <cellStyle name="Hyperlink 3" xfId="10934" hidden="1" xr:uid="{00000000-0005-0000-0000-0000EF0E0000}"/>
    <cellStyle name="Hyperlink 3" xfId="10914" hidden="1" xr:uid="{00000000-0005-0000-0000-0000F00E0000}"/>
    <cellStyle name="Hyperlink 3" xfId="10941" hidden="1" xr:uid="{00000000-0005-0000-0000-0000F10E0000}"/>
    <cellStyle name="Hyperlink 3" xfId="11054" hidden="1" xr:uid="{00000000-0005-0000-0000-0000F20E0000}"/>
    <cellStyle name="Hyperlink 3" xfId="11060" hidden="1" xr:uid="{00000000-0005-0000-0000-0000F30E0000}"/>
    <cellStyle name="Hyperlink 3" xfId="11053" hidden="1" xr:uid="{00000000-0005-0000-0000-0000F40E0000}"/>
    <cellStyle name="Hyperlink 3" xfId="11064" hidden="1" xr:uid="{00000000-0005-0000-0000-0000F50E0000}"/>
    <cellStyle name="Hyperlink 3" xfId="11052" hidden="1" xr:uid="{00000000-0005-0000-0000-0000F60E0000}"/>
    <cellStyle name="Hyperlink 3" xfId="11068" hidden="1" xr:uid="{00000000-0005-0000-0000-0000F70E0000}"/>
    <cellStyle name="Hyperlink 3" xfId="11058" hidden="1" xr:uid="{00000000-0005-0000-0000-0000F80E0000}"/>
    <cellStyle name="Hyperlink 3" xfId="11072" hidden="1" xr:uid="{00000000-0005-0000-0000-0000F90E0000}"/>
    <cellStyle name="Hyperlink 3" xfId="11059" hidden="1" xr:uid="{00000000-0005-0000-0000-0000FA0E0000}"/>
    <cellStyle name="Hyperlink 3" xfId="11076" hidden="1" xr:uid="{00000000-0005-0000-0000-0000FB0E0000}"/>
    <cellStyle name="Hyperlink 3" xfId="11238" hidden="1" xr:uid="{00000000-0005-0000-0000-0000FC0E0000}"/>
    <cellStyle name="Hyperlink 3" xfId="11244" hidden="1" xr:uid="{00000000-0005-0000-0000-0000FD0E0000}"/>
    <cellStyle name="Hyperlink 3" xfId="11237" hidden="1" xr:uid="{00000000-0005-0000-0000-0000FE0E0000}"/>
    <cellStyle name="Hyperlink 3" xfId="11248" hidden="1" xr:uid="{00000000-0005-0000-0000-0000FF0E0000}"/>
    <cellStyle name="Hyperlink 3" xfId="11236" hidden="1" xr:uid="{00000000-0005-0000-0000-0000000F0000}"/>
    <cellStyle name="Hyperlink 3" xfId="11252" hidden="1" xr:uid="{00000000-0005-0000-0000-0000010F0000}"/>
    <cellStyle name="Hyperlink 3" xfId="11242" hidden="1" xr:uid="{00000000-0005-0000-0000-0000020F0000}"/>
    <cellStyle name="Hyperlink 3" xfId="11256" hidden="1" xr:uid="{00000000-0005-0000-0000-0000030F0000}"/>
    <cellStyle name="Hyperlink 3" xfId="11243" hidden="1" xr:uid="{00000000-0005-0000-0000-0000040F0000}"/>
    <cellStyle name="Hyperlink 3" xfId="11260" hidden="1" xr:uid="{00000000-0005-0000-0000-0000050F0000}"/>
    <cellStyle name="Hyperlink 3" xfId="11263" hidden="1" xr:uid="{00000000-0005-0000-0000-0000060F0000}"/>
    <cellStyle name="Hyperlink 3" xfId="11269" hidden="1" xr:uid="{00000000-0005-0000-0000-0000070F0000}"/>
    <cellStyle name="Hyperlink 3" xfId="11262" hidden="1" xr:uid="{00000000-0005-0000-0000-0000080F0000}"/>
    <cellStyle name="Hyperlink 3" xfId="11273" hidden="1" xr:uid="{00000000-0005-0000-0000-0000090F0000}"/>
    <cellStyle name="Hyperlink 3" xfId="11261" hidden="1" xr:uid="{00000000-0005-0000-0000-00000A0F0000}"/>
    <cellStyle name="Hyperlink 3" xfId="11277" hidden="1" xr:uid="{00000000-0005-0000-0000-00000B0F0000}"/>
    <cellStyle name="Hyperlink 3" xfId="11267" hidden="1" xr:uid="{00000000-0005-0000-0000-00000C0F0000}"/>
    <cellStyle name="Hyperlink 3" xfId="11281" hidden="1" xr:uid="{00000000-0005-0000-0000-00000D0F0000}"/>
    <cellStyle name="Hyperlink 3" xfId="11268" hidden="1" xr:uid="{00000000-0005-0000-0000-00000E0F0000}"/>
    <cellStyle name="Hyperlink 3" xfId="11285" xr:uid="{00000000-0005-0000-0000-00000F0F0000}"/>
    <cellStyle name="Hyperlink 3 2" xfId="36887" xr:uid="{00000000-0005-0000-0000-0000100F0000}"/>
    <cellStyle name="Hyperlink 4" xfId="10908" hidden="1" xr:uid="{00000000-0005-0000-0000-0000110F0000}"/>
    <cellStyle name="Hyperlink 4" xfId="10921" hidden="1" xr:uid="{00000000-0005-0000-0000-0000120F0000}"/>
    <cellStyle name="Hyperlink 4" xfId="10926" hidden="1" xr:uid="{00000000-0005-0000-0000-0000130F0000}"/>
    <cellStyle name="Hyperlink 4" xfId="10931" hidden="1" xr:uid="{00000000-0005-0000-0000-0000140F0000}"/>
    <cellStyle name="Hyperlink 4" xfId="10935" hidden="1" xr:uid="{00000000-0005-0000-0000-0000150F0000}"/>
    <cellStyle name="Hyperlink 4" xfId="11055" hidden="1" xr:uid="{00000000-0005-0000-0000-0000160F0000}"/>
    <cellStyle name="Hyperlink 4" xfId="11061" hidden="1" xr:uid="{00000000-0005-0000-0000-0000170F0000}"/>
    <cellStyle name="Hyperlink 4" xfId="11065" hidden="1" xr:uid="{00000000-0005-0000-0000-0000180F0000}"/>
    <cellStyle name="Hyperlink 4" xfId="11069" hidden="1" xr:uid="{00000000-0005-0000-0000-0000190F0000}"/>
    <cellStyle name="Hyperlink 4" xfId="11073" hidden="1" xr:uid="{00000000-0005-0000-0000-00001A0F0000}"/>
    <cellStyle name="Hyperlink 4" xfId="11239" hidden="1" xr:uid="{00000000-0005-0000-0000-00001B0F0000}"/>
    <cellStyle name="Hyperlink 4" xfId="11245" hidden="1" xr:uid="{00000000-0005-0000-0000-00001C0F0000}"/>
    <cellStyle name="Hyperlink 4" xfId="11249" hidden="1" xr:uid="{00000000-0005-0000-0000-00001D0F0000}"/>
    <cellStyle name="Hyperlink 4" xfId="11253" hidden="1" xr:uid="{00000000-0005-0000-0000-00001E0F0000}"/>
    <cellStyle name="Hyperlink 4" xfId="11257" hidden="1" xr:uid="{00000000-0005-0000-0000-00001F0F0000}"/>
    <cellStyle name="Hyperlink 4" xfId="11264" hidden="1" xr:uid="{00000000-0005-0000-0000-0000200F0000}"/>
    <cellStyle name="Hyperlink 4" xfId="11270" hidden="1" xr:uid="{00000000-0005-0000-0000-0000210F0000}"/>
    <cellStyle name="Hyperlink 4" xfId="11274" hidden="1" xr:uid="{00000000-0005-0000-0000-0000220F0000}"/>
    <cellStyle name="Hyperlink 4" xfId="11278" hidden="1" xr:uid="{00000000-0005-0000-0000-0000230F0000}"/>
    <cellStyle name="Hyperlink 4" xfId="11282" hidden="1" xr:uid="{00000000-0005-0000-0000-0000240F0000}"/>
    <cellStyle name="Hyperlink 4" xfId="28277" xr:uid="{00000000-0005-0000-0000-0000250F0000}"/>
    <cellStyle name="Hyperlink 4 2" xfId="36886" xr:uid="{00000000-0005-0000-0000-0000260F0000}"/>
    <cellStyle name="Hyperlink 5" xfId="10909" hidden="1" xr:uid="{00000000-0005-0000-0000-0000270F0000}"/>
    <cellStyle name="Hyperlink 5" xfId="10922" hidden="1" xr:uid="{00000000-0005-0000-0000-0000280F0000}"/>
    <cellStyle name="Hyperlink 5" xfId="10927" hidden="1" xr:uid="{00000000-0005-0000-0000-0000290F0000}"/>
    <cellStyle name="Hyperlink 5" xfId="10932" hidden="1" xr:uid="{00000000-0005-0000-0000-00002A0F0000}"/>
    <cellStyle name="Hyperlink 5" xfId="10936" hidden="1" xr:uid="{00000000-0005-0000-0000-00002B0F0000}"/>
    <cellStyle name="Hyperlink 5" xfId="11056" hidden="1" xr:uid="{00000000-0005-0000-0000-00002C0F0000}"/>
    <cellStyle name="Hyperlink 5" xfId="11062" hidden="1" xr:uid="{00000000-0005-0000-0000-00002D0F0000}"/>
    <cellStyle name="Hyperlink 5" xfId="11066" hidden="1" xr:uid="{00000000-0005-0000-0000-00002E0F0000}"/>
    <cellStyle name="Hyperlink 5" xfId="11070" hidden="1" xr:uid="{00000000-0005-0000-0000-00002F0F0000}"/>
    <cellStyle name="Hyperlink 5" xfId="11074" hidden="1" xr:uid="{00000000-0005-0000-0000-0000300F0000}"/>
    <cellStyle name="Hyperlink 5" xfId="11240" hidden="1" xr:uid="{00000000-0005-0000-0000-0000310F0000}"/>
    <cellStyle name="Hyperlink 5" xfId="11246" hidden="1" xr:uid="{00000000-0005-0000-0000-0000320F0000}"/>
    <cellStyle name="Hyperlink 5" xfId="11250" hidden="1" xr:uid="{00000000-0005-0000-0000-0000330F0000}"/>
    <cellStyle name="Hyperlink 5" xfId="11254" hidden="1" xr:uid="{00000000-0005-0000-0000-0000340F0000}"/>
    <cellStyle name="Hyperlink 5" xfId="11258" hidden="1" xr:uid="{00000000-0005-0000-0000-0000350F0000}"/>
    <cellStyle name="Hyperlink 5" xfId="11265" hidden="1" xr:uid="{00000000-0005-0000-0000-0000360F0000}"/>
    <cellStyle name="Hyperlink 5" xfId="11271" hidden="1" xr:uid="{00000000-0005-0000-0000-0000370F0000}"/>
    <cellStyle name="Hyperlink 5" xfId="11275" hidden="1" xr:uid="{00000000-0005-0000-0000-0000380F0000}"/>
    <cellStyle name="Hyperlink 5" xfId="11279" hidden="1" xr:uid="{00000000-0005-0000-0000-0000390F0000}"/>
    <cellStyle name="Hyperlink 5" xfId="11283" hidden="1" xr:uid="{00000000-0005-0000-0000-00003A0F0000}"/>
    <cellStyle name="Hyperlink 6" xfId="10910" hidden="1" xr:uid="{00000000-0005-0000-0000-00003B0F0000}"/>
    <cellStyle name="Hyperlink 6" xfId="10923" hidden="1" xr:uid="{00000000-0005-0000-0000-00003C0F0000}"/>
    <cellStyle name="Hyperlink 6" xfId="10929" hidden="1" xr:uid="{00000000-0005-0000-0000-00003D0F0000}"/>
    <cellStyle name="Hyperlink 6" xfId="10933" hidden="1" xr:uid="{00000000-0005-0000-0000-00003E0F0000}"/>
    <cellStyle name="Hyperlink 6" xfId="10937" hidden="1" xr:uid="{00000000-0005-0000-0000-00003F0F0000}"/>
    <cellStyle name="Hyperlink 6" xfId="11057" hidden="1" xr:uid="{00000000-0005-0000-0000-0000400F0000}"/>
    <cellStyle name="Hyperlink 6" xfId="11063" hidden="1" xr:uid="{00000000-0005-0000-0000-0000410F0000}"/>
    <cellStyle name="Hyperlink 6" xfId="11067" hidden="1" xr:uid="{00000000-0005-0000-0000-0000420F0000}"/>
    <cellStyle name="Hyperlink 6" xfId="11071" hidden="1" xr:uid="{00000000-0005-0000-0000-0000430F0000}"/>
    <cellStyle name="Hyperlink 6" xfId="11075" hidden="1" xr:uid="{00000000-0005-0000-0000-0000440F0000}"/>
    <cellStyle name="Hyperlink 6" xfId="11241" hidden="1" xr:uid="{00000000-0005-0000-0000-0000450F0000}"/>
    <cellStyle name="Hyperlink 6" xfId="11247" hidden="1" xr:uid="{00000000-0005-0000-0000-0000460F0000}"/>
    <cellStyle name="Hyperlink 6" xfId="11251" hidden="1" xr:uid="{00000000-0005-0000-0000-0000470F0000}"/>
    <cellStyle name="Hyperlink 6" xfId="11255" hidden="1" xr:uid="{00000000-0005-0000-0000-0000480F0000}"/>
    <cellStyle name="Hyperlink 6" xfId="11259" hidden="1" xr:uid="{00000000-0005-0000-0000-0000490F0000}"/>
    <cellStyle name="Hyperlink 6" xfId="11266" hidden="1" xr:uid="{00000000-0005-0000-0000-00004A0F0000}"/>
    <cellStyle name="Hyperlink 6" xfId="11272" hidden="1" xr:uid="{00000000-0005-0000-0000-00004B0F0000}"/>
    <cellStyle name="Hyperlink 6" xfId="11276" hidden="1" xr:uid="{00000000-0005-0000-0000-00004C0F0000}"/>
    <cellStyle name="Hyperlink 6" xfId="11280" hidden="1" xr:uid="{00000000-0005-0000-0000-00004D0F0000}"/>
    <cellStyle name="Hyperlink 6" xfId="11284" hidden="1" xr:uid="{00000000-0005-0000-0000-00004E0F0000}"/>
    <cellStyle name="Hyperlink seguido" xfId="1911" xr:uid="{00000000-0005-0000-0000-00004F0F0000}"/>
    <cellStyle name="IDG&quot;5&quot;" xfId="179" xr:uid="{00000000-0005-0000-0000-0000500F0000}"/>
    <cellStyle name="IDG&quot;5&quot; 2" xfId="10408" xr:uid="{00000000-0005-0000-0000-0000510F0000}"/>
    <cellStyle name="IDG&quot;5&quot; 3" xfId="11102" xr:uid="{00000000-0005-0000-0000-0000520F0000}"/>
    <cellStyle name="IDG&quot;5&quot; 3 2" xfId="11299" xr:uid="{00000000-0005-0000-0000-0000530F0000}"/>
    <cellStyle name="IDG&quot;8&quot;" xfId="180" xr:uid="{00000000-0005-0000-0000-0000540F0000}"/>
    <cellStyle name="IDG&quot;8&quot; 2" xfId="10409" xr:uid="{00000000-0005-0000-0000-0000550F0000}"/>
    <cellStyle name="IDG&quot;8&quot; 3" xfId="11103" xr:uid="{00000000-0005-0000-0000-0000560F0000}"/>
    <cellStyle name="IDG&quot;8&quot; 3 2" xfId="11300" xr:uid="{00000000-0005-0000-0000-0000570F0000}"/>
    <cellStyle name="imput" xfId="1042" xr:uid="{00000000-0005-0000-0000-0000580F0000}"/>
    <cellStyle name="Incorrecto" xfId="1912" xr:uid="{00000000-0005-0000-0000-0000590F0000}"/>
    <cellStyle name="Incorreto" xfId="1913" xr:uid="{00000000-0005-0000-0000-00005A0F0000}"/>
    <cellStyle name="Information%" xfId="364" xr:uid="{00000000-0005-0000-0000-00005B0F0000}"/>
    <cellStyle name="Input" xfId="1746" builtinId="20" customBuiltin="1"/>
    <cellStyle name="Input [yellow]" xfId="1914" xr:uid="{00000000-0005-0000-0000-00005D0F0000}"/>
    <cellStyle name="Input 10" xfId="11444" xr:uid="{00000000-0005-0000-0000-00005E0F0000}"/>
    <cellStyle name="Input 11" xfId="11459" xr:uid="{00000000-0005-0000-0000-00005F0F0000}"/>
    <cellStyle name="Input 12" xfId="11491" xr:uid="{00000000-0005-0000-0000-0000600F0000}"/>
    <cellStyle name="Input 13" xfId="11627" xr:uid="{00000000-0005-0000-0000-0000610F0000}"/>
    <cellStyle name="Input 14" xfId="11510" xr:uid="{00000000-0005-0000-0000-0000620F0000}"/>
    <cellStyle name="Input 15" xfId="11668" xr:uid="{00000000-0005-0000-0000-0000630F0000}"/>
    <cellStyle name="Input 16" xfId="11685" xr:uid="{00000000-0005-0000-0000-0000640F0000}"/>
    <cellStyle name="Input 17" xfId="11700" xr:uid="{00000000-0005-0000-0000-0000650F0000}"/>
    <cellStyle name="Input 18" xfId="11717" xr:uid="{00000000-0005-0000-0000-0000660F0000}"/>
    <cellStyle name="Input 19" xfId="11733" xr:uid="{00000000-0005-0000-0000-0000670F0000}"/>
    <cellStyle name="Input 2" xfId="63" xr:uid="{00000000-0005-0000-0000-0000680F0000}"/>
    <cellStyle name="Input 2 10" xfId="36425" xr:uid="{00000000-0005-0000-0000-0000690F0000}"/>
    <cellStyle name="Input 2 11" xfId="36424" xr:uid="{00000000-0005-0000-0000-00006A0F0000}"/>
    <cellStyle name="Input 2 12" xfId="36414" xr:uid="{00000000-0005-0000-0000-00006B0F0000}"/>
    <cellStyle name="Input 2 13" xfId="36519" xr:uid="{00000000-0005-0000-0000-00006C0F0000}"/>
    <cellStyle name="Input 2 14" xfId="36508" xr:uid="{00000000-0005-0000-0000-00006D0F0000}"/>
    <cellStyle name="Input 2 15" xfId="36493" xr:uid="{00000000-0005-0000-0000-00006E0F0000}"/>
    <cellStyle name="Input 2 16" xfId="36566" xr:uid="{00000000-0005-0000-0000-00006F0F0000}"/>
    <cellStyle name="Input 2 17" xfId="36570" xr:uid="{00000000-0005-0000-0000-0000700F0000}"/>
    <cellStyle name="Input 2 18" xfId="36419" xr:uid="{00000000-0005-0000-0000-0000710F0000}"/>
    <cellStyle name="Input 2 19" xfId="36505" xr:uid="{00000000-0005-0000-0000-0000720F0000}"/>
    <cellStyle name="Input 2 2" xfId="181" xr:uid="{00000000-0005-0000-0000-0000730F0000}"/>
    <cellStyle name="Input 2 2 10" xfId="36524" xr:uid="{00000000-0005-0000-0000-0000740F0000}"/>
    <cellStyle name="Input 2 2 11" xfId="36431" xr:uid="{00000000-0005-0000-0000-0000750F0000}"/>
    <cellStyle name="Input 2 2 12" xfId="36568" xr:uid="{00000000-0005-0000-0000-0000760F0000}"/>
    <cellStyle name="Input 2 2 13" xfId="36406" xr:uid="{00000000-0005-0000-0000-0000770F0000}"/>
    <cellStyle name="Input 2 2 14" xfId="36426" xr:uid="{00000000-0005-0000-0000-0000780F0000}"/>
    <cellStyle name="Input 2 2 15" xfId="36576" xr:uid="{00000000-0005-0000-0000-0000790F0000}"/>
    <cellStyle name="Input 2 2 16" xfId="36579" xr:uid="{00000000-0005-0000-0000-00007A0F0000}"/>
    <cellStyle name="Input 2 2 17" xfId="36581" xr:uid="{00000000-0005-0000-0000-00007B0F0000}"/>
    <cellStyle name="Input 2 2 18" xfId="36547" xr:uid="{00000000-0005-0000-0000-00007C0F0000}"/>
    <cellStyle name="Input 2 2 19" xfId="36584" xr:uid="{00000000-0005-0000-0000-00007D0F0000}"/>
    <cellStyle name="Input 2 2 2" xfId="1591" xr:uid="{00000000-0005-0000-0000-00007E0F0000}"/>
    <cellStyle name="Input 2 2 2 2" xfId="1634" xr:uid="{00000000-0005-0000-0000-00007F0F0000}"/>
    <cellStyle name="Input 2 2 2 2 2" xfId="11191" xr:uid="{00000000-0005-0000-0000-0000800F0000}"/>
    <cellStyle name="Input 2 2 2 2 3" xfId="36782" xr:uid="{00000000-0005-0000-0000-0000810F0000}"/>
    <cellStyle name="Input 2 2 2 2 4" xfId="36686" xr:uid="{00000000-0005-0000-0000-0000820F0000}"/>
    <cellStyle name="Input 2 2 2 2 5" xfId="36632" xr:uid="{00000000-0005-0000-0000-0000830F0000}"/>
    <cellStyle name="Input 2 2 2 3" xfId="1653" xr:uid="{00000000-0005-0000-0000-0000840F0000}"/>
    <cellStyle name="Input 2 2 2 3 2" xfId="11210" xr:uid="{00000000-0005-0000-0000-0000850F0000}"/>
    <cellStyle name="Input 2 2 2 3 3" xfId="36801" xr:uid="{00000000-0005-0000-0000-0000860F0000}"/>
    <cellStyle name="Input 2 2 2 3 4" xfId="36647" xr:uid="{00000000-0005-0000-0000-0000870F0000}"/>
    <cellStyle name="Input 2 2 2 3 5" xfId="36665" xr:uid="{00000000-0005-0000-0000-0000880F0000}"/>
    <cellStyle name="Input 2 2 2 4" xfId="11152" xr:uid="{00000000-0005-0000-0000-0000890F0000}"/>
    <cellStyle name="Input 2 2 2 5" xfId="36743" xr:uid="{00000000-0005-0000-0000-00008A0F0000}"/>
    <cellStyle name="Input 2 2 2 6" xfId="36610" xr:uid="{00000000-0005-0000-0000-00008B0F0000}"/>
    <cellStyle name="Input 2 2 2 7" xfId="36927" xr:uid="{00000000-0005-0000-0000-00008C0F0000}"/>
    <cellStyle name="Input 2 2 20" xfId="36494" xr:uid="{00000000-0005-0000-0000-00008D0F0000}"/>
    <cellStyle name="Input 2 2 21" xfId="36580" xr:uid="{00000000-0005-0000-0000-00008E0F0000}"/>
    <cellStyle name="Input 2 2 22" xfId="36473" xr:uid="{00000000-0005-0000-0000-00008F0F0000}"/>
    <cellStyle name="Input 2 2 23" xfId="36618" xr:uid="{00000000-0005-0000-0000-0000900F0000}"/>
    <cellStyle name="Input 2 2 3" xfId="1613" xr:uid="{00000000-0005-0000-0000-0000910F0000}"/>
    <cellStyle name="Input 2 2 3 2" xfId="11170" xr:uid="{00000000-0005-0000-0000-0000920F0000}"/>
    <cellStyle name="Input 2 2 3 3" xfId="36761" xr:uid="{00000000-0005-0000-0000-0000930F0000}"/>
    <cellStyle name="Input 2 2 3 4" xfId="36919" xr:uid="{00000000-0005-0000-0000-0000940F0000}"/>
    <cellStyle name="Input 2 2 3 5" xfId="36638" xr:uid="{00000000-0005-0000-0000-0000950F0000}"/>
    <cellStyle name="Input 2 2 4" xfId="11105" xr:uid="{00000000-0005-0000-0000-0000960F0000}"/>
    <cellStyle name="Input 2 2 5" xfId="36392" xr:uid="{00000000-0005-0000-0000-0000970F0000}"/>
    <cellStyle name="Input 2 2 6" xfId="36538" xr:uid="{00000000-0005-0000-0000-0000980F0000}"/>
    <cellStyle name="Input 2 2 7" xfId="36544" xr:uid="{00000000-0005-0000-0000-0000990F0000}"/>
    <cellStyle name="Input 2 2 8" xfId="36549" xr:uid="{00000000-0005-0000-0000-00009A0F0000}"/>
    <cellStyle name="Input 2 2 9" xfId="36481" xr:uid="{00000000-0005-0000-0000-00009B0F0000}"/>
    <cellStyle name="Input 2 20" xfId="36535" xr:uid="{00000000-0005-0000-0000-00009C0F0000}"/>
    <cellStyle name="Input 2 21" xfId="36518" xr:uid="{00000000-0005-0000-0000-00009D0F0000}"/>
    <cellStyle name="Input 2 22" xfId="36564" xr:uid="{00000000-0005-0000-0000-00009E0F0000}"/>
    <cellStyle name="Input 2 23" xfId="36577" xr:uid="{00000000-0005-0000-0000-00009F0F0000}"/>
    <cellStyle name="Input 2 24" xfId="36596" xr:uid="{00000000-0005-0000-0000-0000A00F0000}"/>
    <cellStyle name="Input 2 3" xfId="1585" xr:uid="{00000000-0005-0000-0000-0000A10F0000}"/>
    <cellStyle name="Input 2 3 2" xfId="1628" xr:uid="{00000000-0005-0000-0000-0000A20F0000}"/>
    <cellStyle name="Input 2 3 2 2" xfId="11185" xr:uid="{00000000-0005-0000-0000-0000A30F0000}"/>
    <cellStyle name="Input 2 3 2 3" xfId="36776" xr:uid="{00000000-0005-0000-0000-0000A40F0000}"/>
    <cellStyle name="Input 2 3 2 4" xfId="36680" xr:uid="{00000000-0005-0000-0000-0000A50F0000}"/>
    <cellStyle name="Input 2 3 2 5" xfId="36606" xr:uid="{00000000-0005-0000-0000-0000A60F0000}"/>
    <cellStyle name="Input 2 3 3" xfId="1647" xr:uid="{00000000-0005-0000-0000-0000A70F0000}"/>
    <cellStyle name="Input 2 3 3 2" xfId="11204" xr:uid="{00000000-0005-0000-0000-0000A80F0000}"/>
    <cellStyle name="Input 2 3 3 3" xfId="36795" xr:uid="{00000000-0005-0000-0000-0000A90F0000}"/>
    <cellStyle name="Input 2 3 3 4" xfId="36644" xr:uid="{00000000-0005-0000-0000-0000AA0F0000}"/>
    <cellStyle name="Input 2 3 3 5" xfId="36717" xr:uid="{00000000-0005-0000-0000-0000AB0F0000}"/>
    <cellStyle name="Input 2 3 4" xfId="11146" xr:uid="{00000000-0005-0000-0000-0000AC0F0000}"/>
    <cellStyle name="Input 2 3 5" xfId="36737" xr:uid="{00000000-0005-0000-0000-0000AD0F0000}"/>
    <cellStyle name="Input 2 3 6" xfId="36945" xr:uid="{00000000-0005-0000-0000-0000AE0F0000}"/>
    <cellStyle name="Input 2 3 7" xfId="36696" xr:uid="{00000000-0005-0000-0000-0000AF0F0000}"/>
    <cellStyle name="Input 2 4" xfId="1608" xr:uid="{00000000-0005-0000-0000-0000B00F0000}"/>
    <cellStyle name="Input 2 4 2" xfId="11165" xr:uid="{00000000-0005-0000-0000-0000B10F0000}"/>
    <cellStyle name="Input 2 4 3" xfId="36756" xr:uid="{00000000-0005-0000-0000-0000B20F0000}"/>
    <cellStyle name="Input 2 4 4" xfId="36706" xr:uid="{00000000-0005-0000-0000-0000B30F0000}"/>
    <cellStyle name="Input 2 4 5" xfId="36929" xr:uid="{00000000-0005-0000-0000-0000B40F0000}"/>
    <cellStyle name="Input 2 5" xfId="11104" xr:uid="{00000000-0005-0000-0000-0000B50F0000}"/>
    <cellStyle name="Input 2 6" xfId="36386" xr:uid="{00000000-0005-0000-0000-0000B60F0000}"/>
    <cellStyle name="Input 2 7" xfId="36447" xr:uid="{00000000-0005-0000-0000-0000B70F0000}"/>
    <cellStyle name="Input 2 8" xfId="36479" xr:uid="{00000000-0005-0000-0000-0000B80F0000}"/>
    <cellStyle name="Input 2 9" xfId="36399" xr:uid="{00000000-0005-0000-0000-0000B90F0000}"/>
    <cellStyle name="Input 20" xfId="11749" xr:uid="{00000000-0005-0000-0000-0000BA0F0000}"/>
    <cellStyle name="Input 21" xfId="11765" xr:uid="{00000000-0005-0000-0000-0000BB0F0000}"/>
    <cellStyle name="Input 22" xfId="11781" xr:uid="{00000000-0005-0000-0000-0000BC0F0000}"/>
    <cellStyle name="Input 23" xfId="11796" xr:uid="{00000000-0005-0000-0000-0000BD0F0000}"/>
    <cellStyle name="Input 24" xfId="11813" xr:uid="{00000000-0005-0000-0000-0000BE0F0000}"/>
    <cellStyle name="Input 25" xfId="11828" xr:uid="{00000000-0005-0000-0000-0000BF0F0000}"/>
    <cellStyle name="Input 26" xfId="11844" xr:uid="{00000000-0005-0000-0000-0000C00F0000}"/>
    <cellStyle name="Input 27" xfId="11858" xr:uid="{00000000-0005-0000-0000-0000C10F0000}"/>
    <cellStyle name="Input 28" xfId="11873" xr:uid="{00000000-0005-0000-0000-0000C20F0000}"/>
    <cellStyle name="Input 29" xfId="11888" xr:uid="{00000000-0005-0000-0000-0000C30F0000}"/>
    <cellStyle name="Input 3" xfId="1043" xr:uid="{00000000-0005-0000-0000-0000C40F0000}"/>
    <cellStyle name="Input 3 10" xfId="36674" xr:uid="{00000000-0005-0000-0000-0000C50F0000}"/>
    <cellStyle name="Input 3 2" xfId="1598" xr:uid="{00000000-0005-0000-0000-0000C60F0000}"/>
    <cellStyle name="Input 3 2 2" xfId="1640" xr:uid="{00000000-0005-0000-0000-0000C70F0000}"/>
    <cellStyle name="Input 3 2 2 2" xfId="11197" xr:uid="{00000000-0005-0000-0000-0000C80F0000}"/>
    <cellStyle name="Input 3 2 2 3" xfId="36788" xr:uid="{00000000-0005-0000-0000-0000C90F0000}"/>
    <cellStyle name="Input 3 2 2 4" xfId="36642" xr:uid="{00000000-0005-0000-0000-0000CA0F0000}"/>
    <cellStyle name="Input 3 2 2 5" xfId="36649" xr:uid="{00000000-0005-0000-0000-0000CB0F0000}"/>
    <cellStyle name="Input 3 2 3" xfId="1659" xr:uid="{00000000-0005-0000-0000-0000CC0F0000}"/>
    <cellStyle name="Input 3 2 3 2" xfId="11216" xr:uid="{00000000-0005-0000-0000-0000CD0F0000}"/>
    <cellStyle name="Input 3 2 3 3" xfId="36807" xr:uid="{00000000-0005-0000-0000-0000CE0F0000}"/>
    <cellStyle name="Input 3 2 3 4" xfId="36732" xr:uid="{00000000-0005-0000-0000-0000CF0F0000}"/>
    <cellStyle name="Input 3 2 3 5" xfId="36716" xr:uid="{00000000-0005-0000-0000-0000D00F0000}"/>
    <cellStyle name="Input 3 2 4" xfId="11158" xr:uid="{00000000-0005-0000-0000-0000D10F0000}"/>
    <cellStyle name="Input 3 2 5" xfId="36749" xr:uid="{00000000-0005-0000-0000-0000D20F0000}"/>
    <cellStyle name="Input 3 2 6" xfId="36703" xr:uid="{00000000-0005-0000-0000-0000D30F0000}"/>
    <cellStyle name="Input 3 2 7" xfId="36735" xr:uid="{00000000-0005-0000-0000-0000D40F0000}"/>
    <cellStyle name="Input 3 3" xfId="1623" xr:uid="{00000000-0005-0000-0000-0000D50F0000}"/>
    <cellStyle name="Input 3 3 2" xfId="11180" xr:uid="{00000000-0005-0000-0000-0000D60F0000}"/>
    <cellStyle name="Input 3 3 3" xfId="36771" xr:uid="{00000000-0005-0000-0000-0000D70F0000}"/>
    <cellStyle name="Input 3 3 4" xfId="36654" xr:uid="{00000000-0005-0000-0000-0000D80F0000}"/>
    <cellStyle name="Input 3 3 5" xfId="36634" xr:uid="{00000000-0005-0000-0000-0000D90F0000}"/>
    <cellStyle name="Input 3 4" xfId="1622" xr:uid="{00000000-0005-0000-0000-0000DA0F0000}"/>
    <cellStyle name="Input 3 4 2" xfId="11179" xr:uid="{00000000-0005-0000-0000-0000DB0F0000}"/>
    <cellStyle name="Input 3 4 3" xfId="36770" xr:uid="{00000000-0005-0000-0000-0000DC0F0000}"/>
    <cellStyle name="Input 3 4 4" xfId="36650" xr:uid="{00000000-0005-0000-0000-0000DD0F0000}"/>
    <cellStyle name="Input 3 4 5" xfId="36709" xr:uid="{00000000-0005-0000-0000-0000DE0F0000}"/>
    <cellStyle name="Input 3 5" xfId="11314" xr:uid="{00000000-0005-0000-0000-0000DF0F0000}"/>
    <cellStyle name="Input 3 6" xfId="36379" xr:uid="{00000000-0005-0000-0000-0000E00F0000}"/>
    <cellStyle name="Input 3 7" xfId="11131" xr:uid="{00000000-0005-0000-0000-0000E10F0000}"/>
    <cellStyle name="Input 3 8" xfId="36676" xr:uid="{00000000-0005-0000-0000-0000E20F0000}"/>
    <cellStyle name="Input 3 9" xfId="36675" xr:uid="{00000000-0005-0000-0000-0000E30F0000}"/>
    <cellStyle name="Input 30" xfId="11903" xr:uid="{00000000-0005-0000-0000-0000E40F0000}"/>
    <cellStyle name="Input 31" xfId="11918" xr:uid="{00000000-0005-0000-0000-0000E50F0000}"/>
    <cellStyle name="Input 32" xfId="11933" xr:uid="{00000000-0005-0000-0000-0000E60F0000}"/>
    <cellStyle name="Input 33" xfId="11950" xr:uid="{00000000-0005-0000-0000-0000E70F0000}"/>
    <cellStyle name="Input 34" xfId="19825" xr:uid="{00000000-0005-0000-0000-0000E80F0000}"/>
    <cellStyle name="Input 35" xfId="19842" xr:uid="{00000000-0005-0000-0000-0000E90F0000}"/>
    <cellStyle name="Input 36" xfId="19859" xr:uid="{00000000-0005-0000-0000-0000EA0F0000}"/>
    <cellStyle name="Input 37" xfId="19875" xr:uid="{00000000-0005-0000-0000-0000EB0F0000}"/>
    <cellStyle name="Input 38" xfId="19901" xr:uid="{00000000-0005-0000-0000-0000EC0F0000}"/>
    <cellStyle name="Input 39" xfId="19917" xr:uid="{00000000-0005-0000-0000-0000ED0F0000}"/>
    <cellStyle name="Input 4" xfId="11330" xr:uid="{00000000-0005-0000-0000-0000EE0F0000}"/>
    <cellStyle name="Input 40" xfId="19891" xr:uid="{00000000-0005-0000-0000-0000EF0F0000}"/>
    <cellStyle name="Input 41" xfId="19939" xr:uid="{00000000-0005-0000-0000-0000F00F0000}"/>
    <cellStyle name="Input 42" xfId="19954" xr:uid="{00000000-0005-0000-0000-0000F10F0000}"/>
    <cellStyle name="Input 43" xfId="19973" xr:uid="{00000000-0005-0000-0000-0000F20F0000}"/>
    <cellStyle name="Input 44" xfId="20100" xr:uid="{00000000-0005-0000-0000-0000F30F0000}"/>
    <cellStyle name="Input 45" xfId="19988" xr:uid="{00000000-0005-0000-0000-0000F40F0000}"/>
    <cellStyle name="Input 46" xfId="20138" xr:uid="{00000000-0005-0000-0000-0000F50F0000}"/>
    <cellStyle name="Input 47" xfId="20154" xr:uid="{00000000-0005-0000-0000-0000F60F0000}"/>
    <cellStyle name="Input 48" xfId="20169" xr:uid="{00000000-0005-0000-0000-0000F70F0000}"/>
    <cellStyle name="Input 49" xfId="20185" xr:uid="{00000000-0005-0000-0000-0000F80F0000}"/>
    <cellStyle name="Input 5" xfId="11358" xr:uid="{00000000-0005-0000-0000-0000F90F0000}"/>
    <cellStyle name="Input 50" xfId="20200" xr:uid="{00000000-0005-0000-0000-0000FA0F0000}"/>
    <cellStyle name="Input 51" xfId="20216" xr:uid="{00000000-0005-0000-0000-0000FB0F0000}"/>
    <cellStyle name="Input 52" xfId="20231" xr:uid="{00000000-0005-0000-0000-0000FC0F0000}"/>
    <cellStyle name="Input 53" xfId="20246" xr:uid="{00000000-0005-0000-0000-0000FD0F0000}"/>
    <cellStyle name="Input 54" xfId="20260" xr:uid="{00000000-0005-0000-0000-0000FE0F0000}"/>
    <cellStyle name="Input 55" xfId="20276" xr:uid="{00000000-0005-0000-0000-0000FF0F0000}"/>
    <cellStyle name="Input 56" xfId="20290" xr:uid="{00000000-0005-0000-0000-000000100000}"/>
    <cellStyle name="Input 57" xfId="20305" xr:uid="{00000000-0005-0000-0000-000001100000}"/>
    <cellStyle name="Input 58" xfId="20318" xr:uid="{00000000-0005-0000-0000-000002100000}"/>
    <cellStyle name="Input 59" xfId="20332" xr:uid="{00000000-0005-0000-0000-000003100000}"/>
    <cellStyle name="Input 6" xfId="11375" xr:uid="{00000000-0005-0000-0000-000004100000}"/>
    <cellStyle name="Input 60" xfId="20347" xr:uid="{00000000-0005-0000-0000-000005100000}"/>
    <cellStyle name="Input 61" xfId="20362" xr:uid="{00000000-0005-0000-0000-000006100000}"/>
    <cellStyle name="Input 62" xfId="20378" xr:uid="{00000000-0005-0000-0000-000007100000}"/>
    <cellStyle name="Input 63" xfId="20393" xr:uid="{00000000-0005-0000-0000-000008100000}"/>
    <cellStyle name="Input 64" xfId="20410" xr:uid="{00000000-0005-0000-0000-000009100000}"/>
    <cellStyle name="Input 7" xfId="11406" xr:uid="{00000000-0005-0000-0000-00000A100000}"/>
    <cellStyle name="Input 8" xfId="11422" xr:uid="{00000000-0005-0000-0000-00000B100000}"/>
    <cellStyle name="Input 9" xfId="11395" xr:uid="{00000000-0005-0000-0000-00000C100000}"/>
    <cellStyle name="Input Box" xfId="1915" xr:uid="{00000000-0005-0000-0000-00000D100000}"/>
    <cellStyle name="InputBlueFont" xfId="1044" xr:uid="{00000000-0005-0000-0000-00000E100000}"/>
    <cellStyle name="Integer" xfId="1916" xr:uid="{00000000-0005-0000-0000-00000F100000}"/>
    <cellStyle name="Invisible" xfId="365" xr:uid="{00000000-0005-0000-0000-000010100000}"/>
    <cellStyle name="Invisible 2" xfId="366" xr:uid="{00000000-0005-0000-0000-000011100000}"/>
    <cellStyle name="Invisible 3" xfId="1045" xr:uid="{00000000-0005-0000-0000-000012100000}"/>
    <cellStyle name="Italic" xfId="1917" xr:uid="{00000000-0005-0000-0000-000013100000}"/>
    <cellStyle name="Item" xfId="1918" xr:uid="{00000000-0005-0000-0000-000014100000}"/>
    <cellStyle name="ItemTypeClass" xfId="1919" xr:uid="{00000000-0005-0000-0000-000015100000}"/>
    <cellStyle name="ItemTypeClass 2" xfId="11286" xr:uid="{00000000-0005-0000-0000-000016100000}"/>
    <cellStyle name="jo[" xfId="1920" xr:uid="{00000000-0005-0000-0000-000017100000}"/>
    <cellStyle name="Line" xfId="1046" xr:uid="{00000000-0005-0000-0000-000018100000}"/>
    <cellStyle name="Linked Cell" xfId="1749" builtinId="24" customBuiltin="1"/>
    <cellStyle name="Linked Cell 10" xfId="11441" xr:uid="{00000000-0005-0000-0000-00001A100000}"/>
    <cellStyle name="Linked Cell 11" xfId="11462" xr:uid="{00000000-0005-0000-0000-00001B100000}"/>
    <cellStyle name="Linked Cell 12" xfId="11494" xr:uid="{00000000-0005-0000-0000-00001C100000}"/>
    <cellStyle name="Linked Cell 13" xfId="11624" xr:uid="{00000000-0005-0000-0000-00001D100000}"/>
    <cellStyle name="Linked Cell 14" xfId="11513" xr:uid="{00000000-0005-0000-0000-00001E100000}"/>
    <cellStyle name="Linked Cell 15" xfId="11665" xr:uid="{00000000-0005-0000-0000-00001F100000}"/>
    <cellStyle name="Linked Cell 16" xfId="11682" xr:uid="{00000000-0005-0000-0000-000020100000}"/>
    <cellStyle name="Linked Cell 17" xfId="11697" xr:uid="{00000000-0005-0000-0000-000021100000}"/>
    <cellStyle name="Linked Cell 18" xfId="11714" xr:uid="{00000000-0005-0000-0000-000022100000}"/>
    <cellStyle name="Linked Cell 19" xfId="11730" xr:uid="{00000000-0005-0000-0000-000023100000}"/>
    <cellStyle name="Linked Cell 2" xfId="64" xr:uid="{00000000-0005-0000-0000-000024100000}"/>
    <cellStyle name="Linked Cell 2 2" xfId="182" xr:uid="{00000000-0005-0000-0000-000025100000}"/>
    <cellStyle name="Linked Cell 20" xfId="11746" xr:uid="{00000000-0005-0000-0000-000026100000}"/>
    <cellStyle name="Linked Cell 21" xfId="11762" xr:uid="{00000000-0005-0000-0000-000027100000}"/>
    <cellStyle name="Linked Cell 22" xfId="11778" xr:uid="{00000000-0005-0000-0000-000028100000}"/>
    <cellStyle name="Linked Cell 23" xfId="11793" xr:uid="{00000000-0005-0000-0000-000029100000}"/>
    <cellStyle name="Linked Cell 24" xfId="11810" xr:uid="{00000000-0005-0000-0000-00002A100000}"/>
    <cellStyle name="Linked Cell 25" xfId="11825" xr:uid="{00000000-0005-0000-0000-00002B100000}"/>
    <cellStyle name="Linked Cell 26" xfId="11841" xr:uid="{00000000-0005-0000-0000-00002C100000}"/>
    <cellStyle name="Linked Cell 27" xfId="11855" xr:uid="{00000000-0005-0000-0000-00002D100000}"/>
    <cellStyle name="Linked Cell 28" xfId="11870" xr:uid="{00000000-0005-0000-0000-00002E100000}"/>
    <cellStyle name="Linked Cell 29" xfId="11885" xr:uid="{00000000-0005-0000-0000-00002F100000}"/>
    <cellStyle name="Linked Cell 3" xfId="1047" xr:uid="{00000000-0005-0000-0000-000030100000}"/>
    <cellStyle name="Linked Cell 3 2" xfId="11317" xr:uid="{00000000-0005-0000-0000-000031100000}"/>
    <cellStyle name="Linked Cell 30" xfId="11900" xr:uid="{00000000-0005-0000-0000-000032100000}"/>
    <cellStyle name="Linked Cell 31" xfId="11915" xr:uid="{00000000-0005-0000-0000-000033100000}"/>
    <cellStyle name="Linked Cell 32" xfId="11930" xr:uid="{00000000-0005-0000-0000-000034100000}"/>
    <cellStyle name="Linked Cell 33" xfId="11947" xr:uid="{00000000-0005-0000-0000-000035100000}"/>
    <cellStyle name="Linked Cell 34" xfId="19828" xr:uid="{00000000-0005-0000-0000-000036100000}"/>
    <cellStyle name="Linked Cell 35" xfId="19845" xr:uid="{00000000-0005-0000-0000-000037100000}"/>
    <cellStyle name="Linked Cell 36" xfId="19856" xr:uid="{00000000-0005-0000-0000-000038100000}"/>
    <cellStyle name="Linked Cell 37" xfId="19878" xr:uid="{00000000-0005-0000-0000-000039100000}"/>
    <cellStyle name="Linked Cell 38" xfId="19898" xr:uid="{00000000-0005-0000-0000-00003A100000}"/>
    <cellStyle name="Linked Cell 39" xfId="19914" xr:uid="{00000000-0005-0000-0000-00003B100000}"/>
    <cellStyle name="Linked Cell 4" xfId="11333" xr:uid="{00000000-0005-0000-0000-00003C100000}"/>
    <cellStyle name="Linked Cell 40" xfId="19867" xr:uid="{00000000-0005-0000-0000-00003D100000}"/>
    <cellStyle name="Linked Cell 41" xfId="19936" xr:uid="{00000000-0005-0000-0000-00003E100000}"/>
    <cellStyle name="Linked Cell 42" xfId="19957" xr:uid="{00000000-0005-0000-0000-00003F100000}"/>
    <cellStyle name="Linked Cell 43" xfId="19976" xr:uid="{00000000-0005-0000-0000-000040100000}"/>
    <cellStyle name="Linked Cell 44" xfId="20097" xr:uid="{00000000-0005-0000-0000-000041100000}"/>
    <cellStyle name="Linked Cell 45" xfId="19991" xr:uid="{00000000-0005-0000-0000-000042100000}"/>
    <cellStyle name="Linked Cell 46" xfId="20135" xr:uid="{00000000-0005-0000-0000-000043100000}"/>
    <cellStyle name="Linked Cell 47" xfId="20151" xr:uid="{00000000-0005-0000-0000-000044100000}"/>
    <cellStyle name="Linked Cell 48" xfId="20166" xr:uid="{00000000-0005-0000-0000-000045100000}"/>
    <cellStyle name="Linked Cell 49" xfId="20182" xr:uid="{00000000-0005-0000-0000-000046100000}"/>
    <cellStyle name="Linked Cell 5" xfId="11355" xr:uid="{00000000-0005-0000-0000-000047100000}"/>
    <cellStyle name="Linked Cell 50" xfId="20197" xr:uid="{00000000-0005-0000-0000-000048100000}"/>
    <cellStyle name="Linked Cell 51" xfId="20213" xr:uid="{00000000-0005-0000-0000-000049100000}"/>
    <cellStyle name="Linked Cell 52" xfId="20228" xr:uid="{00000000-0005-0000-0000-00004A100000}"/>
    <cellStyle name="Linked Cell 53" xfId="20243" xr:uid="{00000000-0005-0000-0000-00004B100000}"/>
    <cellStyle name="Linked Cell 54" xfId="20257" xr:uid="{00000000-0005-0000-0000-00004C100000}"/>
    <cellStyle name="Linked Cell 55" xfId="20273" xr:uid="{00000000-0005-0000-0000-00004D100000}"/>
    <cellStyle name="Linked Cell 56" xfId="20287" xr:uid="{00000000-0005-0000-0000-00004E100000}"/>
    <cellStyle name="Linked Cell 57" xfId="20302" xr:uid="{00000000-0005-0000-0000-00004F100000}"/>
    <cellStyle name="Linked Cell 58" xfId="20315" xr:uid="{00000000-0005-0000-0000-000050100000}"/>
    <cellStyle name="Linked Cell 59" xfId="20329" xr:uid="{00000000-0005-0000-0000-000051100000}"/>
    <cellStyle name="Linked Cell 6" xfId="11378" xr:uid="{00000000-0005-0000-0000-000052100000}"/>
    <cellStyle name="Linked Cell 60" xfId="20344" xr:uid="{00000000-0005-0000-0000-000053100000}"/>
    <cellStyle name="Linked Cell 61" xfId="20359" xr:uid="{00000000-0005-0000-0000-000054100000}"/>
    <cellStyle name="Linked Cell 62" xfId="20375" xr:uid="{00000000-0005-0000-0000-000055100000}"/>
    <cellStyle name="Linked Cell 63" xfId="20390" xr:uid="{00000000-0005-0000-0000-000056100000}"/>
    <cellStyle name="Linked Cell 64" xfId="20407" xr:uid="{00000000-0005-0000-0000-000057100000}"/>
    <cellStyle name="Linked Cell 7" xfId="11403" xr:uid="{00000000-0005-0000-0000-000058100000}"/>
    <cellStyle name="Linked Cell 8" xfId="11419" xr:uid="{00000000-0005-0000-0000-000059100000}"/>
    <cellStyle name="Linked Cell 9" xfId="11367" xr:uid="{00000000-0005-0000-0000-00005A100000}"/>
    <cellStyle name="locked" xfId="1048" xr:uid="{00000000-0005-0000-0000-00005B100000}"/>
    <cellStyle name="m" xfId="1049" xr:uid="{00000000-0005-0000-0000-00005C100000}"/>
    <cellStyle name="m$" xfId="1050" xr:uid="{00000000-0005-0000-0000-00005D100000}"/>
    <cellStyle name="m&amp;a" xfId="1051" xr:uid="{00000000-0005-0000-0000-00005E100000}"/>
    <cellStyle name="M/D" xfId="183" xr:uid="{00000000-0005-0000-0000-00005F100000}"/>
    <cellStyle name="M/D 2" xfId="184" xr:uid="{00000000-0005-0000-0000-000060100000}"/>
    <cellStyle name="M/D 2 2" xfId="185" xr:uid="{00000000-0005-0000-0000-000061100000}"/>
    <cellStyle name="M/D 3" xfId="186" xr:uid="{00000000-0005-0000-0000-000062100000}"/>
    <cellStyle name="m_AVP" xfId="1052" xr:uid="{00000000-0005-0000-0000-000063100000}"/>
    <cellStyle name="m_AVP_LANCE_Model_v0.6.DCF.MASTER.Name" xfId="1053" xr:uid="{00000000-0005-0000-0000-000064100000}"/>
    <cellStyle name="m_AVP_LANCE_Model_v0.6.DCF.MASTER.Name_DCF &amp; Raios to CLX Tootsie_v1.33.xls" xfId="1054" xr:uid="{00000000-0005-0000-0000-000065100000}"/>
    <cellStyle name="m_AVP_LANCE_Model_v0.6.DCF.MASTER.Name_Tootsie_TWO_DAY_TTS_Solution_v1.34" xfId="1055" xr:uid="{00000000-0005-0000-0000-000066100000}"/>
    <cellStyle name="m_AVP_LANCE_Model_v0.6.DCF.MASTER.Name_Val_1_Book_Lecture_Notes_v3.06" xfId="1056" xr:uid="{00000000-0005-0000-0000-000067100000}"/>
    <cellStyle name="m_Disc Analysis" xfId="1057" xr:uid="{00000000-0005-0000-0000-000068100000}"/>
    <cellStyle name="m_Disc Analysis_LANCE_Model_v0.6.DCF.MASTER.Name" xfId="1058" xr:uid="{00000000-0005-0000-0000-000069100000}"/>
    <cellStyle name="m_Disc Analysis_LANCE_Model_v0.6.DCF.MASTER.Name_DCF &amp; Raios to CLX Tootsie_v1.33.xls" xfId="1059" xr:uid="{00000000-0005-0000-0000-00006A100000}"/>
    <cellStyle name="m_Disc Analysis_LANCE_Model_v0.6.DCF.MASTER.Name_Tootsie_TWO_DAY_TTS_Solution_v1.34" xfId="1060" xr:uid="{00000000-0005-0000-0000-00006B100000}"/>
    <cellStyle name="m_Disc Analysis_LANCE_Model_v0.6.DCF.MASTER.Name_Val_1_Book_Lecture_Notes_v3.06" xfId="1061" xr:uid="{00000000-0005-0000-0000-00006C100000}"/>
    <cellStyle name="m_LANCE_Model_v0.6.DCF.MASTER.Name" xfId="1062" xr:uid="{00000000-0005-0000-0000-00006D100000}"/>
    <cellStyle name="m_LANCE_Model_v0.6.DCF.MASTER.Name_DCF &amp; Raios to CLX Tootsie_v1.33.xls" xfId="1063" xr:uid="{00000000-0005-0000-0000-00006E100000}"/>
    <cellStyle name="m_LANCE_Model_v0.6.DCF.MASTER.Name_Tootsie_TWO_DAY_TTS_Solution_v1.34" xfId="1064" xr:uid="{00000000-0005-0000-0000-00006F100000}"/>
    <cellStyle name="m_LANCE_Model_v0.6.DCF.MASTER.Name_Val_1_Book_Lecture_Notes_v3.06" xfId="1065" xr:uid="{00000000-0005-0000-0000-000070100000}"/>
    <cellStyle name="m_LP Chart" xfId="1066" xr:uid="{00000000-0005-0000-0000-000071100000}"/>
    <cellStyle name="m_LP Chart_LANCE_Model_v0.6.DCF.MASTER.Name" xfId="1067" xr:uid="{00000000-0005-0000-0000-000072100000}"/>
    <cellStyle name="m_LP Chart_LANCE_Model_v0.6.DCF.MASTER.Name_DCF &amp; Raios to CLX Tootsie_v1.33.xls" xfId="1068" xr:uid="{00000000-0005-0000-0000-000073100000}"/>
    <cellStyle name="m_LP Chart_LANCE_Model_v0.6.DCF.MASTER.Name_Tootsie_TWO_DAY_TTS_Solution_v1.34" xfId="1069" xr:uid="{00000000-0005-0000-0000-000074100000}"/>
    <cellStyle name="m_LP Chart_LANCE_Model_v0.6.DCF.MASTER.Name_Val_1_Book_Lecture_Notes_v3.06" xfId="1070" xr:uid="{00000000-0005-0000-0000-000075100000}"/>
    <cellStyle name="m_Merg Cons" xfId="1071" xr:uid="{00000000-0005-0000-0000-000076100000}"/>
    <cellStyle name="m_Merg Cons_LANCE_Model_v0.6.DCF.MASTER.Name" xfId="1072" xr:uid="{00000000-0005-0000-0000-000077100000}"/>
    <cellStyle name="m_Merg Cons_LANCE_Model_v0.6.DCF.MASTER.Name_DCF &amp; Raios to CLX Tootsie_v1.33.xls" xfId="1073" xr:uid="{00000000-0005-0000-0000-000078100000}"/>
    <cellStyle name="m_Merg Cons_LANCE_Model_v0.6.DCF.MASTER.Name_Tootsie_TWO_DAY_TTS_Solution_v1.34" xfId="1074" xr:uid="{00000000-0005-0000-0000-000079100000}"/>
    <cellStyle name="m_Merg Cons_LANCE_Model_v0.6.DCF.MASTER.Name_Val_1_Book_Lecture_Notes_v3.06" xfId="1075" xr:uid="{00000000-0005-0000-0000-00007A100000}"/>
    <cellStyle name="m_Proj10" xfId="1076" xr:uid="{00000000-0005-0000-0000-00007B100000}"/>
    <cellStyle name="m_Proj10_AVP" xfId="1077" xr:uid="{00000000-0005-0000-0000-00007C100000}"/>
    <cellStyle name="m_Proj10_AVP_LANCE_Model_v0.6.DCF.MASTER.Name" xfId="1078" xr:uid="{00000000-0005-0000-0000-00007D100000}"/>
    <cellStyle name="m_Proj10_AVP_LANCE_Model_v0.6.DCF.MASTER.Name_DCF &amp; Raios to CLX Tootsie_v1.33.xls" xfId="1079" xr:uid="{00000000-0005-0000-0000-00007E100000}"/>
    <cellStyle name="m_Proj10_AVP_LANCE_Model_v0.6.DCF.MASTER.Name_Tootsie_TWO_DAY_TTS_Solution_v1.34" xfId="1080" xr:uid="{00000000-0005-0000-0000-00007F100000}"/>
    <cellStyle name="m_Proj10_AVP_LANCE_Model_v0.6.DCF.MASTER.Name_Val_1_Book_Lecture_Notes_v3.06" xfId="1081" xr:uid="{00000000-0005-0000-0000-000080100000}"/>
    <cellStyle name="m_Proj10_Disc Analysis" xfId="1082" xr:uid="{00000000-0005-0000-0000-000081100000}"/>
    <cellStyle name="m_Proj10_Disc Analysis_LANCE_Model_v0.6.DCF.MASTER.Name" xfId="1083" xr:uid="{00000000-0005-0000-0000-000082100000}"/>
    <cellStyle name="m_Proj10_Disc Analysis_LANCE_Model_v0.6.DCF.MASTER.Name_DCF &amp; Raios to CLX Tootsie_v1.33.xls" xfId="1084" xr:uid="{00000000-0005-0000-0000-000083100000}"/>
    <cellStyle name="m_Proj10_Disc Analysis_LANCE_Model_v0.6.DCF.MASTER.Name_Tootsie_TWO_DAY_TTS_Solution_v1.34" xfId="1085" xr:uid="{00000000-0005-0000-0000-000084100000}"/>
    <cellStyle name="m_Proj10_Disc Analysis_LANCE_Model_v0.6.DCF.MASTER.Name_Val_1_Book_Lecture_Notes_v3.06" xfId="1086" xr:uid="{00000000-0005-0000-0000-000085100000}"/>
    <cellStyle name="m_Proj10_LANCE_Model_v0.6.DCF.MASTER.Name" xfId="1087" xr:uid="{00000000-0005-0000-0000-000086100000}"/>
    <cellStyle name="m_Proj10_LANCE_Model_v0.6.DCF.MASTER.Name_DCF &amp; Raios to CLX Tootsie_v1.33.xls" xfId="1088" xr:uid="{00000000-0005-0000-0000-000087100000}"/>
    <cellStyle name="m_Proj10_LANCE_Model_v0.6.DCF.MASTER.Name_Tootsie_TWO_DAY_TTS_Solution_v1.34" xfId="1089" xr:uid="{00000000-0005-0000-0000-000088100000}"/>
    <cellStyle name="m_Proj10_LANCE_Model_v0.6.DCF.MASTER.Name_Val_1_Book_Lecture_Notes_v3.06" xfId="1090" xr:uid="{00000000-0005-0000-0000-000089100000}"/>
    <cellStyle name="m_Proj10_LP Chart" xfId="1091" xr:uid="{00000000-0005-0000-0000-00008A100000}"/>
    <cellStyle name="m_Proj10_LP Chart_LANCE_Model_v0.6.DCF.MASTER.Name" xfId="1092" xr:uid="{00000000-0005-0000-0000-00008B100000}"/>
    <cellStyle name="m_Proj10_LP Chart_LANCE_Model_v0.6.DCF.MASTER.Name_DCF &amp; Raios to CLX Tootsie_v1.33.xls" xfId="1093" xr:uid="{00000000-0005-0000-0000-00008C100000}"/>
    <cellStyle name="m_Proj10_LP Chart_LANCE_Model_v0.6.DCF.MASTER.Name_Tootsie_TWO_DAY_TTS_Solution_v1.34" xfId="1094" xr:uid="{00000000-0005-0000-0000-00008D100000}"/>
    <cellStyle name="m_Proj10_LP Chart_LANCE_Model_v0.6.DCF.MASTER.Name_Val_1_Book_Lecture_Notes_v3.06" xfId="1095" xr:uid="{00000000-0005-0000-0000-00008E100000}"/>
    <cellStyle name="m_Proj10_Merg Cons" xfId="1096" xr:uid="{00000000-0005-0000-0000-00008F100000}"/>
    <cellStyle name="m_Proj10_Merg Cons_LANCE_Model_v0.6.DCF.MASTER.Name" xfId="1097" xr:uid="{00000000-0005-0000-0000-000090100000}"/>
    <cellStyle name="m_Proj10_Merg Cons_LANCE_Model_v0.6.DCF.MASTER.Name_DCF &amp; Raios to CLX Tootsie_v1.33.xls" xfId="1098" xr:uid="{00000000-0005-0000-0000-000091100000}"/>
    <cellStyle name="m_Proj10_Merg Cons_LANCE_Model_v0.6.DCF.MASTER.Name_Tootsie_TWO_DAY_TTS_Solution_v1.34" xfId="1099" xr:uid="{00000000-0005-0000-0000-000092100000}"/>
    <cellStyle name="m_Proj10_Merg Cons_LANCE_Model_v0.6.DCF.MASTER.Name_Val_1_Book_Lecture_Notes_v3.06" xfId="1100" xr:uid="{00000000-0005-0000-0000-000093100000}"/>
    <cellStyle name="m_Proj10_Sensitivity" xfId="1101" xr:uid="{00000000-0005-0000-0000-000094100000}"/>
    <cellStyle name="m_Proj10_Sensitivity_LANCE_Model_v0.6.DCF.MASTER.Name" xfId="1102" xr:uid="{00000000-0005-0000-0000-000095100000}"/>
    <cellStyle name="m_Proj10_Sensitivity_LANCE_Model_v0.6.DCF.MASTER.Name_DCF &amp; Raios to CLX Tootsie_v1.33.xls" xfId="1103" xr:uid="{00000000-0005-0000-0000-000096100000}"/>
    <cellStyle name="m_Proj10_Sensitivity_LANCE_Model_v0.6.DCF.MASTER.Name_Tootsie_TWO_DAY_TTS_Solution_v1.34" xfId="1104" xr:uid="{00000000-0005-0000-0000-000097100000}"/>
    <cellStyle name="m_Proj10_Sensitivity_LANCE_Model_v0.6.DCF.MASTER.Name_Val_1_Book_Lecture_Notes_v3.06" xfId="1105" xr:uid="{00000000-0005-0000-0000-000098100000}"/>
    <cellStyle name="m_Proj10_show-hold" xfId="1106" xr:uid="{00000000-0005-0000-0000-000099100000}"/>
    <cellStyle name="m_Proj10_show-hold_LANCE_Model_v0.6.DCF.MASTER.Name" xfId="1107" xr:uid="{00000000-0005-0000-0000-00009A100000}"/>
    <cellStyle name="m_Proj10_show-hold_LANCE_Model_v0.6.DCF.MASTER.Name_DCF &amp; Raios to CLX Tootsie_v1.33.xls" xfId="1108" xr:uid="{00000000-0005-0000-0000-00009B100000}"/>
    <cellStyle name="m_Proj10_show-hold_LANCE_Model_v0.6.DCF.MASTER.Name_Tootsie_TWO_DAY_TTS_Solution_v1.34" xfId="1109" xr:uid="{00000000-0005-0000-0000-00009C100000}"/>
    <cellStyle name="m_Proj10_show-hold_LANCE_Model_v0.6.DCF.MASTER.Name_Val_1_Book_Lecture_Notes_v3.06" xfId="1110" xr:uid="{00000000-0005-0000-0000-00009D100000}"/>
    <cellStyle name="m_Proj10_WACC-CableCar" xfId="1111" xr:uid="{00000000-0005-0000-0000-00009E100000}"/>
    <cellStyle name="m_Proj10_WACC-CableCar_LANCE_Model_v0.6.DCF.MASTER.Name" xfId="1112" xr:uid="{00000000-0005-0000-0000-00009F100000}"/>
    <cellStyle name="m_Proj10_WACC-CableCar_LANCE_Model_v0.6.DCF.MASTER.Name_DCF &amp; Raios to CLX Tootsie_v1.33.xls" xfId="1113" xr:uid="{00000000-0005-0000-0000-0000A0100000}"/>
    <cellStyle name="m_Proj10_WACC-CableCar_LANCE_Model_v0.6.DCF.MASTER.Name_Tootsie_TWO_DAY_TTS_Solution_v1.34" xfId="1114" xr:uid="{00000000-0005-0000-0000-0000A1100000}"/>
    <cellStyle name="m_Proj10_WACC-RAD (2)" xfId="1115" xr:uid="{00000000-0005-0000-0000-0000A2100000}"/>
    <cellStyle name="m_Proj10_WACC-RAD (2)_LANCE_Model_v0.6.DCF.MASTER.Name" xfId="1116" xr:uid="{00000000-0005-0000-0000-0000A3100000}"/>
    <cellStyle name="m_Proj10_WACC-RAD (2)_LANCE_Model_v0.6.DCF.MASTER.Name_DCF &amp; Raios to CLX Tootsie_v1.33.xls" xfId="1117" xr:uid="{00000000-0005-0000-0000-0000A4100000}"/>
    <cellStyle name="m_Proj10_WACC-RAD (2)_LANCE_Model_v0.6.DCF.MASTER.Name_Tootsie_TWO_DAY_TTS_Solution_v1.34" xfId="1118" xr:uid="{00000000-0005-0000-0000-0000A5100000}"/>
    <cellStyle name="m_Proj10_WACC-RAD (2)_LANCE_Model_v0.6.DCF.MASTER.Name_Val_1_Book_Lecture_Notes_v3.06" xfId="1119" xr:uid="{00000000-0005-0000-0000-0000A6100000}"/>
    <cellStyle name="m_Sensitivity" xfId="1120" xr:uid="{00000000-0005-0000-0000-0000A7100000}"/>
    <cellStyle name="m_Sensitivity_LANCE_Model_v0.6.DCF.MASTER.Name" xfId="1121" xr:uid="{00000000-0005-0000-0000-0000A8100000}"/>
    <cellStyle name="m_Sensitivity_LANCE_Model_v0.6.DCF.MASTER.Name_DCF &amp; Raios to CLX Tootsie_v1.33.xls" xfId="1122" xr:uid="{00000000-0005-0000-0000-0000A9100000}"/>
    <cellStyle name="m_Sensitivity_LANCE_Model_v0.6.DCF.MASTER.Name_Tootsie_TWO_DAY_TTS_Solution_v1.34" xfId="1123" xr:uid="{00000000-0005-0000-0000-0000AA100000}"/>
    <cellStyle name="m_Sensitivity_LANCE_Model_v0.6.DCF.MASTER.Name_Val_1_Book_Lecture_Notes_v3.06" xfId="1124" xr:uid="{00000000-0005-0000-0000-0000AB100000}"/>
    <cellStyle name="m_show-hold" xfId="1125" xr:uid="{00000000-0005-0000-0000-0000AC100000}"/>
    <cellStyle name="m_show-hold_LANCE_Model_v0.6.DCF.MASTER.Name" xfId="1126" xr:uid="{00000000-0005-0000-0000-0000AD100000}"/>
    <cellStyle name="m_show-hold_LANCE_Model_v0.6.DCF.MASTER.Name_DCF &amp; Raios to CLX Tootsie_v1.33.xls" xfId="1127" xr:uid="{00000000-0005-0000-0000-0000AE100000}"/>
    <cellStyle name="m_show-hold_LANCE_Model_v0.6.DCF.MASTER.Name_Tootsie_TWO_DAY_TTS_Solution_v1.34" xfId="1128" xr:uid="{00000000-0005-0000-0000-0000AF100000}"/>
    <cellStyle name="m_show-hold_LANCE_Model_v0.6.DCF.MASTER.Name_Val_1_Book_Lecture_Notes_v3.06" xfId="1129" xr:uid="{00000000-0005-0000-0000-0000B0100000}"/>
    <cellStyle name="m_WACC-CableCar" xfId="1130" xr:uid="{00000000-0005-0000-0000-0000B1100000}"/>
    <cellStyle name="m_WACC-CableCar_LANCE_Model_v0.6.DCF.MASTER.Name" xfId="1131" xr:uid="{00000000-0005-0000-0000-0000B2100000}"/>
    <cellStyle name="m_WACC-CableCar_LANCE_Model_v0.6.DCF.MASTER.Name_DCF &amp; Raios to CLX Tootsie_v1.33.xls" xfId="1132" xr:uid="{00000000-0005-0000-0000-0000B3100000}"/>
    <cellStyle name="m_WACC-CableCar_LANCE_Model_v0.6.DCF.MASTER.Name_Tootsie_TWO_DAY_TTS_Solution_v1.34" xfId="1133" xr:uid="{00000000-0005-0000-0000-0000B4100000}"/>
    <cellStyle name="m_WACC-RAD (2)" xfId="1134" xr:uid="{00000000-0005-0000-0000-0000B5100000}"/>
    <cellStyle name="m_WACC-RAD (2)_LANCE_Model_v0.6.DCF.MASTER.Name" xfId="1135" xr:uid="{00000000-0005-0000-0000-0000B6100000}"/>
    <cellStyle name="m_WACC-RAD (2)_LANCE_Model_v0.6.DCF.MASTER.Name_DCF &amp; Raios to CLX Tootsie_v1.33.xls" xfId="1136" xr:uid="{00000000-0005-0000-0000-0000B7100000}"/>
    <cellStyle name="m_WACC-RAD (2)_LANCE_Model_v0.6.DCF.MASTER.Name_Tootsie_TWO_DAY_TTS_Solution_v1.34" xfId="1137" xr:uid="{00000000-0005-0000-0000-0000B8100000}"/>
    <cellStyle name="m_WACC-RAD (2)_LANCE_Model_v0.6.DCF.MASTER.Name_Val_1_Book_Lecture_Notes_v3.06" xfId="1138" xr:uid="{00000000-0005-0000-0000-0000B9100000}"/>
    <cellStyle name="Map Labels" xfId="1139" xr:uid="{00000000-0005-0000-0000-0000BA100000}"/>
    <cellStyle name="Map Legend" xfId="1140" xr:uid="{00000000-0005-0000-0000-0000BB100000}"/>
    <cellStyle name="Merrill" xfId="1141" xr:uid="{00000000-0005-0000-0000-0000BC100000}"/>
    <cellStyle name="Millares [0]_19 02 01" xfId="1921" xr:uid="{00000000-0005-0000-0000-0000BD100000}"/>
    <cellStyle name="Millares [2]" xfId="1922" xr:uid="{00000000-0005-0000-0000-0000BE100000}"/>
    <cellStyle name="Millares_19 02 01" xfId="1923" xr:uid="{00000000-0005-0000-0000-0000BF100000}"/>
    <cellStyle name="Mix" xfId="1142" xr:uid="{00000000-0005-0000-0000-0000C0100000}"/>
    <cellStyle name="mm" xfId="1143" xr:uid="{00000000-0005-0000-0000-0000C1100000}"/>
    <cellStyle name="MM/DD" xfId="187" xr:uid="{00000000-0005-0000-0000-0000C2100000}"/>
    <cellStyle name="MM/DD 2" xfId="188" xr:uid="{00000000-0005-0000-0000-0000C3100000}"/>
    <cellStyle name="MM/DD 2 2" xfId="189" xr:uid="{00000000-0005-0000-0000-0000C4100000}"/>
    <cellStyle name="MM/DD 3" xfId="190" xr:uid="{00000000-0005-0000-0000-0000C5100000}"/>
    <cellStyle name="mm/dd/yy" xfId="1924" xr:uid="{00000000-0005-0000-0000-0000C6100000}"/>
    <cellStyle name="mm/dd/yy 2" xfId="1982" xr:uid="{00000000-0005-0000-0000-0000C7100000}"/>
    <cellStyle name="mm/dd/yy 2 2" xfId="11347" xr:uid="{00000000-0005-0000-0000-0000C8100000}"/>
    <cellStyle name="mm/dd/yy 3" xfId="2053" xr:uid="{00000000-0005-0000-0000-0000C9100000}"/>
    <cellStyle name="mm/dd/yy 3 2" xfId="11595" xr:uid="{00000000-0005-0000-0000-0000CA100000}"/>
    <cellStyle name="MM/YY" xfId="191" xr:uid="{00000000-0005-0000-0000-0000CB100000}"/>
    <cellStyle name="MM/YY 2" xfId="192" xr:uid="{00000000-0005-0000-0000-0000CC100000}"/>
    <cellStyle name="MM/YY 2 2" xfId="193" xr:uid="{00000000-0005-0000-0000-0000CD100000}"/>
    <cellStyle name="MM/YY 3" xfId="194" xr:uid="{00000000-0005-0000-0000-0000CE100000}"/>
    <cellStyle name="MMM 'YY" xfId="195" xr:uid="{00000000-0005-0000-0000-0000CF100000}"/>
    <cellStyle name="MMM 'YY 2" xfId="196" xr:uid="{00000000-0005-0000-0000-0000D0100000}"/>
    <cellStyle name="MMM 'YY 2 2" xfId="197" xr:uid="{00000000-0005-0000-0000-0000D1100000}"/>
    <cellStyle name="MMM 'YY 3" xfId="198" xr:uid="{00000000-0005-0000-0000-0000D2100000}"/>
    <cellStyle name="Moeda [0]_alocação por fontes" xfId="1925" xr:uid="{00000000-0005-0000-0000-0000D3100000}"/>
    <cellStyle name="Moeda_alocação por fontes" xfId="1926" xr:uid="{00000000-0005-0000-0000-0000D4100000}"/>
    <cellStyle name="Moneda [0]_19 02 01" xfId="1927" xr:uid="{00000000-0005-0000-0000-0000D5100000}"/>
    <cellStyle name="Moneda_19 02 01" xfId="1928" xr:uid="{00000000-0005-0000-0000-0000D6100000}"/>
    <cellStyle name="mult" xfId="1144" xr:uid="{00000000-0005-0000-0000-0000D7100000}"/>
    <cellStyle name="Multiple" xfId="1145" xr:uid="{00000000-0005-0000-0000-0000D8100000}"/>
    <cellStyle name="Multiple []" xfId="1146" xr:uid="{00000000-0005-0000-0000-0000D9100000}"/>
    <cellStyle name="Multiple [0]" xfId="1147" xr:uid="{00000000-0005-0000-0000-0000DA100000}"/>
    <cellStyle name="Multiple [0] []" xfId="1148" xr:uid="{00000000-0005-0000-0000-0000DB100000}"/>
    <cellStyle name="Multiple [0]_LANCE_Model_v0.6.DCF.MASTER.Name" xfId="1149" xr:uid="{00000000-0005-0000-0000-0000DC100000}"/>
    <cellStyle name="Multiple [1]" xfId="1150" xr:uid="{00000000-0005-0000-0000-0000DD100000}"/>
    <cellStyle name="Multiple [1] []" xfId="1151" xr:uid="{00000000-0005-0000-0000-0000DE100000}"/>
    <cellStyle name="Multiple [1]_LANCE_Model_v0.6.DCF.MASTER.Name" xfId="1152" xr:uid="{00000000-0005-0000-0000-0000DF100000}"/>
    <cellStyle name="Multiple_CapitalSum" xfId="1153" xr:uid="{00000000-0005-0000-0000-0000E0100000}"/>
    <cellStyle name="M-W" xfId="199" xr:uid="{00000000-0005-0000-0000-0000E1100000}"/>
    <cellStyle name="M-W 2" xfId="10410" xr:uid="{00000000-0005-0000-0000-0000E2100000}"/>
    <cellStyle name="M-W 3" xfId="11106" xr:uid="{00000000-0005-0000-0000-0000E3100000}"/>
    <cellStyle name="M-W 3 2" xfId="11301" xr:uid="{00000000-0005-0000-0000-0000E4100000}"/>
    <cellStyle name="Neutra" xfId="1929" xr:uid="{00000000-0005-0000-0000-0000E5100000}"/>
    <cellStyle name="Neutral" xfId="1745" builtinId="28" customBuiltin="1"/>
    <cellStyle name="Neutral 10" xfId="11445" xr:uid="{00000000-0005-0000-0000-0000E7100000}"/>
    <cellStyle name="Neutral 11" xfId="11458" xr:uid="{00000000-0005-0000-0000-0000E8100000}"/>
    <cellStyle name="Neutral 12" xfId="11490" xr:uid="{00000000-0005-0000-0000-0000E9100000}"/>
    <cellStyle name="Neutral 13" xfId="11628" xr:uid="{00000000-0005-0000-0000-0000EA100000}"/>
    <cellStyle name="Neutral 14" xfId="11509" xr:uid="{00000000-0005-0000-0000-0000EB100000}"/>
    <cellStyle name="Neutral 15" xfId="11669" xr:uid="{00000000-0005-0000-0000-0000EC100000}"/>
    <cellStyle name="Neutral 16" xfId="11686" xr:uid="{00000000-0005-0000-0000-0000ED100000}"/>
    <cellStyle name="Neutral 17" xfId="11701" xr:uid="{00000000-0005-0000-0000-0000EE100000}"/>
    <cellStyle name="Neutral 18" xfId="11718" xr:uid="{00000000-0005-0000-0000-0000EF100000}"/>
    <cellStyle name="Neutral 19" xfId="11734" xr:uid="{00000000-0005-0000-0000-0000F0100000}"/>
    <cellStyle name="Neutral 2" xfId="65" xr:uid="{00000000-0005-0000-0000-0000F1100000}"/>
    <cellStyle name="Neutral 2 2" xfId="200" xr:uid="{00000000-0005-0000-0000-0000F2100000}"/>
    <cellStyle name="Neutral 20" xfId="11750" xr:uid="{00000000-0005-0000-0000-0000F3100000}"/>
    <cellStyle name="Neutral 21" xfId="11766" xr:uid="{00000000-0005-0000-0000-0000F4100000}"/>
    <cellStyle name="Neutral 22" xfId="11782" xr:uid="{00000000-0005-0000-0000-0000F5100000}"/>
    <cellStyle name="Neutral 23" xfId="11797" xr:uid="{00000000-0005-0000-0000-0000F6100000}"/>
    <cellStyle name="Neutral 24" xfId="11814" xr:uid="{00000000-0005-0000-0000-0000F7100000}"/>
    <cellStyle name="Neutral 25" xfId="11829" xr:uid="{00000000-0005-0000-0000-0000F8100000}"/>
    <cellStyle name="Neutral 26" xfId="11845" xr:uid="{00000000-0005-0000-0000-0000F9100000}"/>
    <cellStyle name="Neutral 27" xfId="11859" xr:uid="{00000000-0005-0000-0000-0000FA100000}"/>
    <cellStyle name="Neutral 28" xfId="11874" xr:uid="{00000000-0005-0000-0000-0000FB100000}"/>
    <cellStyle name="Neutral 29" xfId="11889" xr:uid="{00000000-0005-0000-0000-0000FC100000}"/>
    <cellStyle name="Neutral 3" xfId="1154" xr:uid="{00000000-0005-0000-0000-0000FD100000}"/>
    <cellStyle name="Neutral 3 2" xfId="11313" xr:uid="{00000000-0005-0000-0000-0000FE100000}"/>
    <cellStyle name="Neutral 30" xfId="11904" xr:uid="{00000000-0005-0000-0000-0000FF100000}"/>
    <cellStyle name="Neutral 31" xfId="11919" xr:uid="{00000000-0005-0000-0000-000000110000}"/>
    <cellStyle name="Neutral 32" xfId="11934" xr:uid="{00000000-0005-0000-0000-000001110000}"/>
    <cellStyle name="Neutral 33" xfId="11951" xr:uid="{00000000-0005-0000-0000-000002110000}"/>
    <cellStyle name="Neutral 34" xfId="19824" xr:uid="{00000000-0005-0000-0000-000003110000}"/>
    <cellStyle name="Neutral 35" xfId="19841" xr:uid="{00000000-0005-0000-0000-000004110000}"/>
    <cellStyle name="Neutral 36" xfId="19860" xr:uid="{00000000-0005-0000-0000-000005110000}"/>
    <cellStyle name="Neutral 37" xfId="19874" xr:uid="{00000000-0005-0000-0000-000006110000}"/>
    <cellStyle name="Neutral 38" xfId="19902" xr:uid="{00000000-0005-0000-0000-000007110000}"/>
    <cellStyle name="Neutral 39" xfId="19918" xr:uid="{00000000-0005-0000-0000-000008110000}"/>
    <cellStyle name="Neutral 4" xfId="11329" xr:uid="{00000000-0005-0000-0000-000009110000}"/>
    <cellStyle name="Neutral 40" xfId="19892" xr:uid="{00000000-0005-0000-0000-00000A110000}"/>
    <cellStyle name="Neutral 41" xfId="19940" xr:uid="{00000000-0005-0000-0000-00000B110000}"/>
    <cellStyle name="Neutral 42" xfId="19953" xr:uid="{00000000-0005-0000-0000-00000C110000}"/>
    <cellStyle name="Neutral 43" xfId="19972" xr:uid="{00000000-0005-0000-0000-00000D110000}"/>
    <cellStyle name="Neutral 44" xfId="20101" xr:uid="{00000000-0005-0000-0000-00000E110000}"/>
    <cellStyle name="Neutral 45" xfId="19987" xr:uid="{00000000-0005-0000-0000-00000F110000}"/>
    <cellStyle name="Neutral 46" xfId="20139" xr:uid="{00000000-0005-0000-0000-000010110000}"/>
    <cellStyle name="Neutral 47" xfId="20155" xr:uid="{00000000-0005-0000-0000-000011110000}"/>
    <cellStyle name="Neutral 48" xfId="20170" xr:uid="{00000000-0005-0000-0000-000012110000}"/>
    <cellStyle name="Neutral 49" xfId="20186" xr:uid="{00000000-0005-0000-0000-000013110000}"/>
    <cellStyle name="Neutral 5" xfId="11359" xr:uid="{00000000-0005-0000-0000-000014110000}"/>
    <cellStyle name="Neutral 50" xfId="20201" xr:uid="{00000000-0005-0000-0000-000015110000}"/>
    <cellStyle name="Neutral 51" xfId="20217" xr:uid="{00000000-0005-0000-0000-000016110000}"/>
    <cellStyle name="Neutral 52" xfId="20232" xr:uid="{00000000-0005-0000-0000-000017110000}"/>
    <cellStyle name="Neutral 53" xfId="20247" xr:uid="{00000000-0005-0000-0000-000018110000}"/>
    <cellStyle name="Neutral 54" xfId="20261" xr:uid="{00000000-0005-0000-0000-000019110000}"/>
    <cellStyle name="Neutral 55" xfId="20277" xr:uid="{00000000-0005-0000-0000-00001A110000}"/>
    <cellStyle name="Neutral 56" xfId="20291" xr:uid="{00000000-0005-0000-0000-00001B110000}"/>
    <cellStyle name="Neutral 57" xfId="20306" xr:uid="{00000000-0005-0000-0000-00001C110000}"/>
    <cellStyle name="Neutral 58" xfId="20319" xr:uid="{00000000-0005-0000-0000-00001D110000}"/>
    <cellStyle name="Neutral 59" xfId="20333" xr:uid="{00000000-0005-0000-0000-00001E110000}"/>
    <cellStyle name="Neutral 6" xfId="11374" xr:uid="{00000000-0005-0000-0000-00001F110000}"/>
    <cellStyle name="Neutral 60" xfId="20348" xr:uid="{00000000-0005-0000-0000-000020110000}"/>
    <cellStyle name="Neutral 61" xfId="20363" xr:uid="{00000000-0005-0000-0000-000021110000}"/>
    <cellStyle name="Neutral 62" xfId="20379" xr:uid="{00000000-0005-0000-0000-000022110000}"/>
    <cellStyle name="Neutral 63" xfId="20394" xr:uid="{00000000-0005-0000-0000-000023110000}"/>
    <cellStyle name="Neutral 64" xfId="20411" xr:uid="{00000000-0005-0000-0000-000024110000}"/>
    <cellStyle name="Neutral 7" xfId="11407" xr:uid="{00000000-0005-0000-0000-000025110000}"/>
    <cellStyle name="Neutral 8" xfId="11423" xr:uid="{00000000-0005-0000-0000-000026110000}"/>
    <cellStyle name="Neutral 9" xfId="11397" xr:uid="{00000000-0005-0000-0000-000027110000}"/>
    <cellStyle name="NewColumnHeaderNormal" xfId="367" xr:uid="{00000000-0005-0000-0000-000028110000}"/>
    <cellStyle name="NewColumnHeaderNormal 2" xfId="1155" xr:uid="{00000000-0005-0000-0000-000029110000}"/>
    <cellStyle name="NewSectionHeaderNormal" xfId="368" xr:uid="{00000000-0005-0000-0000-00002A110000}"/>
    <cellStyle name="NewSectionHeaderNormal 2" xfId="369" xr:uid="{00000000-0005-0000-0000-00002B110000}"/>
    <cellStyle name="NewSectionHeaderNormal 3" xfId="1156" xr:uid="{00000000-0005-0000-0000-00002C110000}"/>
    <cellStyle name="NewTitleNormal" xfId="370" xr:uid="{00000000-0005-0000-0000-00002D110000}"/>
    <cellStyle name="NewTitleNormal 2" xfId="1157" xr:uid="{00000000-0005-0000-0000-00002E110000}"/>
    <cellStyle name="No-definido" xfId="1930" xr:uid="{00000000-0005-0000-0000-00002F110000}"/>
    <cellStyle name="Normal" xfId="0" builtinId="0"/>
    <cellStyle name="Normal - Style1" xfId="1158" xr:uid="{00000000-0005-0000-0000-000031110000}"/>
    <cellStyle name="Normal - Style1 2" xfId="1931" xr:uid="{00000000-0005-0000-0000-000032110000}"/>
    <cellStyle name="Normal 10" xfId="201" xr:uid="{00000000-0005-0000-0000-000033110000}"/>
    <cellStyle name="Normal 10 10" xfId="12151" xr:uid="{00000000-0005-0000-0000-000034110000}"/>
    <cellStyle name="Normal 10 10 2" xfId="28673" xr:uid="{00000000-0005-0000-0000-000035110000}"/>
    <cellStyle name="Normal 10 10 3" xfId="6719" xr:uid="{00000000-0005-0000-0000-000036110000}"/>
    <cellStyle name="Normal 10 10 3 2" xfId="16083" xr:uid="{00000000-0005-0000-0000-000037110000}"/>
    <cellStyle name="Normal 10 10 3 2 2" xfId="32657" xr:uid="{00000000-0005-0000-0000-000038110000}"/>
    <cellStyle name="Normal 10 10 3 3" xfId="24610" xr:uid="{00000000-0005-0000-0000-000039110000}"/>
    <cellStyle name="Normal 10 11" xfId="20630" xr:uid="{00000000-0005-0000-0000-00003A110000}"/>
    <cellStyle name="Normal 10 2" xfId="202" xr:uid="{00000000-0005-0000-0000-00003B110000}"/>
    <cellStyle name="Normal 10 2 2" xfId="203" xr:uid="{00000000-0005-0000-0000-00003C110000}"/>
    <cellStyle name="Normal 10 2 2 2" xfId="2443" xr:uid="{00000000-0005-0000-0000-00003D110000}"/>
    <cellStyle name="Normal 10 2 3" xfId="371" xr:uid="{00000000-0005-0000-0000-00003E110000}"/>
    <cellStyle name="Normal 10 2 3 2" xfId="28674" xr:uid="{00000000-0005-0000-0000-00003F110000}"/>
    <cellStyle name="Normal 10 2 4" xfId="1715" xr:uid="{00000000-0005-0000-0000-000040110000}"/>
    <cellStyle name="Normal 10 2 4 2" xfId="20631" xr:uid="{00000000-0005-0000-0000-000041110000}"/>
    <cellStyle name="Normal 10 2 5" xfId="1672" xr:uid="{00000000-0005-0000-0000-000042110000}"/>
    <cellStyle name="Normal 10 3" xfId="204" xr:uid="{00000000-0005-0000-0000-000043110000}"/>
    <cellStyle name="Normal 10 3 2" xfId="2445" xr:uid="{00000000-0005-0000-0000-000044110000}"/>
    <cellStyle name="Normal 10 3 2 2" xfId="2446" xr:uid="{00000000-0005-0000-0000-000045110000}"/>
    <cellStyle name="Normal 10 3 2 2 2" xfId="2447" xr:uid="{00000000-0005-0000-0000-000046110000}"/>
    <cellStyle name="Normal 10 3 2 2 2 2" xfId="6720" xr:uid="{00000000-0005-0000-0000-000047110000}"/>
    <cellStyle name="Normal 10 3 2 2 2 2 2" xfId="16084" xr:uid="{00000000-0005-0000-0000-000048110000}"/>
    <cellStyle name="Normal 10 3 2 2 2 2 2 2" xfId="32658" xr:uid="{00000000-0005-0000-0000-000049110000}"/>
    <cellStyle name="Normal 10 3 2 2 2 2 3" xfId="24611" xr:uid="{00000000-0005-0000-0000-00004A110000}"/>
    <cellStyle name="Normal 10 3 2 2 2 3" xfId="12154" xr:uid="{00000000-0005-0000-0000-00004B110000}"/>
    <cellStyle name="Normal 10 3 2 2 2 3 2" xfId="28677" xr:uid="{00000000-0005-0000-0000-00004C110000}"/>
    <cellStyle name="Normal 10 3 2 2 2 4" xfId="20634" xr:uid="{00000000-0005-0000-0000-00004D110000}"/>
    <cellStyle name="Normal 10 3 2 2 3" xfId="2448" xr:uid="{00000000-0005-0000-0000-00004E110000}"/>
    <cellStyle name="Normal 10 3 2 2 3 2" xfId="12155" xr:uid="{00000000-0005-0000-0000-00004F110000}"/>
    <cellStyle name="Normal 10 3 2 2 3 2 2" xfId="28678" xr:uid="{00000000-0005-0000-0000-000050110000}"/>
    <cellStyle name="Normal 10 3 2 2 3 3" xfId="20635" xr:uid="{00000000-0005-0000-0000-000051110000}"/>
    <cellStyle name="Normal 10 3 2 2 4" xfId="12153" xr:uid="{00000000-0005-0000-0000-000052110000}"/>
    <cellStyle name="Normal 10 3 2 2 4 2" xfId="28676" xr:uid="{00000000-0005-0000-0000-000053110000}"/>
    <cellStyle name="Normal 10 3 2 2 5" xfId="20633" xr:uid="{00000000-0005-0000-0000-000054110000}"/>
    <cellStyle name="Normal 10 3 2 3" xfId="2449" xr:uid="{00000000-0005-0000-0000-000055110000}"/>
    <cellStyle name="Normal 10 3 2 3 2" xfId="6721" xr:uid="{00000000-0005-0000-0000-000056110000}"/>
    <cellStyle name="Normal 10 3 2 3 2 2" xfId="16085" xr:uid="{00000000-0005-0000-0000-000057110000}"/>
    <cellStyle name="Normal 10 3 2 3 2 2 2" xfId="32659" xr:uid="{00000000-0005-0000-0000-000058110000}"/>
    <cellStyle name="Normal 10 3 2 3 2 3" xfId="24612" xr:uid="{00000000-0005-0000-0000-000059110000}"/>
    <cellStyle name="Normal 10 3 2 3 3" xfId="12156" xr:uid="{00000000-0005-0000-0000-00005A110000}"/>
    <cellStyle name="Normal 10 3 2 3 3 2" xfId="28679" xr:uid="{00000000-0005-0000-0000-00005B110000}"/>
    <cellStyle name="Normal 10 3 2 3 4" xfId="20636" xr:uid="{00000000-0005-0000-0000-00005C110000}"/>
    <cellStyle name="Normal 10 3 2 4" xfId="6722" xr:uid="{00000000-0005-0000-0000-00005D110000}"/>
    <cellStyle name="Normal 10 3 2 4 2" xfId="16086" xr:uid="{00000000-0005-0000-0000-00005E110000}"/>
    <cellStyle name="Normal 10 3 2 4 2 2" xfId="32660" xr:uid="{00000000-0005-0000-0000-00005F110000}"/>
    <cellStyle name="Normal 10 3 2 4 3" xfId="24613" xr:uid="{00000000-0005-0000-0000-000060110000}"/>
    <cellStyle name="Normal 10 3 2 5" xfId="12152" xr:uid="{00000000-0005-0000-0000-000061110000}"/>
    <cellStyle name="Normal 10 3 2 5 2" xfId="28675" xr:uid="{00000000-0005-0000-0000-000062110000}"/>
    <cellStyle name="Normal 10 3 2 6" xfId="20632" xr:uid="{00000000-0005-0000-0000-000063110000}"/>
    <cellStyle name="Normal 10 3 3" xfId="2450" xr:uid="{00000000-0005-0000-0000-000064110000}"/>
    <cellStyle name="Normal 10 3 3 2" xfId="2451" xr:uid="{00000000-0005-0000-0000-000065110000}"/>
    <cellStyle name="Normal 10 3 3 2 2" xfId="6723" xr:uid="{00000000-0005-0000-0000-000066110000}"/>
    <cellStyle name="Normal 10 3 3 2 2 2" xfId="16087" xr:uid="{00000000-0005-0000-0000-000067110000}"/>
    <cellStyle name="Normal 10 3 3 2 2 2 2" xfId="32661" xr:uid="{00000000-0005-0000-0000-000068110000}"/>
    <cellStyle name="Normal 10 3 3 2 2 3" xfId="24614" xr:uid="{00000000-0005-0000-0000-000069110000}"/>
    <cellStyle name="Normal 10 3 3 2 3" xfId="12158" xr:uid="{00000000-0005-0000-0000-00006A110000}"/>
    <cellStyle name="Normal 10 3 3 2 3 2" xfId="28681" xr:uid="{00000000-0005-0000-0000-00006B110000}"/>
    <cellStyle name="Normal 10 3 3 2 4" xfId="20638" xr:uid="{00000000-0005-0000-0000-00006C110000}"/>
    <cellStyle name="Normal 10 3 3 3" xfId="6724" xr:uid="{00000000-0005-0000-0000-00006D110000}"/>
    <cellStyle name="Normal 10 3 3 3 2" xfId="16088" xr:uid="{00000000-0005-0000-0000-00006E110000}"/>
    <cellStyle name="Normal 10 3 3 3 2 2" xfId="32662" xr:uid="{00000000-0005-0000-0000-00006F110000}"/>
    <cellStyle name="Normal 10 3 3 3 3" xfId="24615" xr:uid="{00000000-0005-0000-0000-000070110000}"/>
    <cellStyle name="Normal 10 3 3 4" xfId="12157" xr:uid="{00000000-0005-0000-0000-000071110000}"/>
    <cellStyle name="Normal 10 3 3 4 2" xfId="28680" xr:uid="{00000000-0005-0000-0000-000072110000}"/>
    <cellStyle name="Normal 10 3 3 5" xfId="20637" xr:uid="{00000000-0005-0000-0000-000073110000}"/>
    <cellStyle name="Normal 10 3 4" xfId="2452" xr:uid="{00000000-0005-0000-0000-000074110000}"/>
    <cellStyle name="Normal 10 3 4 2" xfId="6725" xr:uid="{00000000-0005-0000-0000-000075110000}"/>
    <cellStyle name="Normal 10 3 4 2 2" xfId="16089" xr:uid="{00000000-0005-0000-0000-000076110000}"/>
    <cellStyle name="Normal 10 3 4 2 2 2" xfId="32663" xr:uid="{00000000-0005-0000-0000-000077110000}"/>
    <cellStyle name="Normal 10 3 4 2 3" xfId="24616" xr:uid="{00000000-0005-0000-0000-000078110000}"/>
    <cellStyle name="Normal 10 3 4 3" xfId="12159" xr:uid="{00000000-0005-0000-0000-000079110000}"/>
    <cellStyle name="Normal 10 3 4 3 2" xfId="28682" xr:uid="{00000000-0005-0000-0000-00007A110000}"/>
    <cellStyle name="Normal 10 3 4 4" xfId="20639" xr:uid="{00000000-0005-0000-0000-00007B110000}"/>
    <cellStyle name="Normal 10 3 5" xfId="2453" xr:uid="{00000000-0005-0000-0000-00007C110000}"/>
    <cellStyle name="Normal 10 3 5 2" xfId="12160" xr:uid="{00000000-0005-0000-0000-00007D110000}"/>
    <cellStyle name="Normal 10 3 5 2 2" xfId="28683" xr:uid="{00000000-0005-0000-0000-00007E110000}"/>
    <cellStyle name="Normal 10 3 5 3" xfId="20640" xr:uid="{00000000-0005-0000-0000-00007F110000}"/>
    <cellStyle name="Normal 10 3 6" xfId="2444" xr:uid="{00000000-0005-0000-0000-000080110000}"/>
    <cellStyle name="Normal 10 4" xfId="372" xr:uid="{00000000-0005-0000-0000-000081110000}"/>
    <cellStyle name="Normal 10 4 2" xfId="2454" xr:uid="{00000000-0005-0000-0000-000082110000}"/>
    <cellStyle name="Normal 10 4 2 2" xfId="2455" xr:uid="{00000000-0005-0000-0000-000083110000}"/>
    <cellStyle name="Normal 10 4 2 2 2" xfId="2456" xr:uid="{00000000-0005-0000-0000-000084110000}"/>
    <cellStyle name="Normal 10 4 2 2 2 2" xfId="6726" xr:uid="{00000000-0005-0000-0000-000085110000}"/>
    <cellStyle name="Normal 10 4 2 2 2 2 2" xfId="16090" xr:uid="{00000000-0005-0000-0000-000086110000}"/>
    <cellStyle name="Normal 10 4 2 2 2 2 2 2" xfId="32664" xr:uid="{00000000-0005-0000-0000-000087110000}"/>
    <cellStyle name="Normal 10 4 2 2 2 2 3" xfId="24617" xr:uid="{00000000-0005-0000-0000-000088110000}"/>
    <cellStyle name="Normal 10 4 2 2 2 3" xfId="12164" xr:uid="{00000000-0005-0000-0000-000089110000}"/>
    <cellStyle name="Normal 10 4 2 2 2 3 2" xfId="28687" xr:uid="{00000000-0005-0000-0000-00008A110000}"/>
    <cellStyle name="Normal 10 4 2 2 2 4" xfId="20644" xr:uid="{00000000-0005-0000-0000-00008B110000}"/>
    <cellStyle name="Normal 10 4 2 2 3" xfId="6727" xr:uid="{00000000-0005-0000-0000-00008C110000}"/>
    <cellStyle name="Normal 10 4 2 2 3 2" xfId="16091" xr:uid="{00000000-0005-0000-0000-00008D110000}"/>
    <cellStyle name="Normal 10 4 2 2 3 2 2" xfId="32665" xr:uid="{00000000-0005-0000-0000-00008E110000}"/>
    <cellStyle name="Normal 10 4 2 2 3 3" xfId="24618" xr:uid="{00000000-0005-0000-0000-00008F110000}"/>
    <cellStyle name="Normal 10 4 2 2 4" xfId="12163" xr:uid="{00000000-0005-0000-0000-000090110000}"/>
    <cellStyle name="Normal 10 4 2 2 4 2" xfId="28686" xr:uid="{00000000-0005-0000-0000-000091110000}"/>
    <cellStyle name="Normal 10 4 2 2 5" xfId="20643" xr:uid="{00000000-0005-0000-0000-000092110000}"/>
    <cellStyle name="Normal 10 4 2 3" xfId="2457" xr:uid="{00000000-0005-0000-0000-000093110000}"/>
    <cellStyle name="Normal 10 4 2 3 2" xfId="6728" xr:uid="{00000000-0005-0000-0000-000094110000}"/>
    <cellStyle name="Normal 10 4 2 3 2 2" xfId="16092" xr:uid="{00000000-0005-0000-0000-000095110000}"/>
    <cellStyle name="Normal 10 4 2 3 2 2 2" xfId="32666" xr:uid="{00000000-0005-0000-0000-000096110000}"/>
    <cellStyle name="Normal 10 4 2 3 2 3" xfId="24619" xr:uid="{00000000-0005-0000-0000-000097110000}"/>
    <cellStyle name="Normal 10 4 2 3 3" xfId="12165" xr:uid="{00000000-0005-0000-0000-000098110000}"/>
    <cellStyle name="Normal 10 4 2 3 3 2" xfId="28688" xr:uid="{00000000-0005-0000-0000-000099110000}"/>
    <cellStyle name="Normal 10 4 2 3 4" xfId="20645" xr:uid="{00000000-0005-0000-0000-00009A110000}"/>
    <cellStyle name="Normal 10 4 2 4" xfId="6729" xr:uid="{00000000-0005-0000-0000-00009B110000}"/>
    <cellStyle name="Normal 10 4 2 4 2" xfId="16093" xr:uid="{00000000-0005-0000-0000-00009C110000}"/>
    <cellStyle name="Normal 10 4 2 4 2 2" xfId="32667" xr:uid="{00000000-0005-0000-0000-00009D110000}"/>
    <cellStyle name="Normal 10 4 2 4 3" xfId="24620" xr:uid="{00000000-0005-0000-0000-00009E110000}"/>
    <cellStyle name="Normal 10 4 2 5" xfId="12162" xr:uid="{00000000-0005-0000-0000-00009F110000}"/>
    <cellStyle name="Normal 10 4 2 5 2" xfId="28685" xr:uid="{00000000-0005-0000-0000-0000A0110000}"/>
    <cellStyle name="Normal 10 4 2 6" xfId="20642" xr:uid="{00000000-0005-0000-0000-0000A1110000}"/>
    <cellStyle name="Normal 10 4 3" xfId="2458" xr:uid="{00000000-0005-0000-0000-0000A2110000}"/>
    <cellStyle name="Normal 10 4 3 2" xfId="2459" xr:uid="{00000000-0005-0000-0000-0000A3110000}"/>
    <cellStyle name="Normal 10 4 3 2 2" xfId="6730" xr:uid="{00000000-0005-0000-0000-0000A4110000}"/>
    <cellStyle name="Normal 10 4 3 2 2 2" xfId="16094" xr:uid="{00000000-0005-0000-0000-0000A5110000}"/>
    <cellStyle name="Normal 10 4 3 2 2 2 2" xfId="32668" xr:uid="{00000000-0005-0000-0000-0000A6110000}"/>
    <cellStyle name="Normal 10 4 3 2 2 3" xfId="24621" xr:uid="{00000000-0005-0000-0000-0000A7110000}"/>
    <cellStyle name="Normal 10 4 3 2 3" xfId="12167" xr:uid="{00000000-0005-0000-0000-0000A8110000}"/>
    <cellStyle name="Normal 10 4 3 2 3 2" xfId="28690" xr:uid="{00000000-0005-0000-0000-0000A9110000}"/>
    <cellStyle name="Normal 10 4 3 2 4" xfId="20647" xr:uid="{00000000-0005-0000-0000-0000AA110000}"/>
    <cellStyle name="Normal 10 4 3 3" xfId="6731" xr:uid="{00000000-0005-0000-0000-0000AB110000}"/>
    <cellStyle name="Normal 10 4 3 3 2" xfId="16095" xr:uid="{00000000-0005-0000-0000-0000AC110000}"/>
    <cellStyle name="Normal 10 4 3 3 2 2" xfId="32669" xr:uid="{00000000-0005-0000-0000-0000AD110000}"/>
    <cellStyle name="Normal 10 4 3 3 3" xfId="24622" xr:uid="{00000000-0005-0000-0000-0000AE110000}"/>
    <cellStyle name="Normal 10 4 3 4" xfId="12166" xr:uid="{00000000-0005-0000-0000-0000AF110000}"/>
    <cellStyle name="Normal 10 4 3 4 2" xfId="28689" xr:uid="{00000000-0005-0000-0000-0000B0110000}"/>
    <cellStyle name="Normal 10 4 3 5" xfId="20646" xr:uid="{00000000-0005-0000-0000-0000B1110000}"/>
    <cellStyle name="Normal 10 4 4" xfId="2460" xr:uid="{00000000-0005-0000-0000-0000B2110000}"/>
    <cellStyle name="Normal 10 4 4 2" xfId="6732" xr:uid="{00000000-0005-0000-0000-0000B3110000}"/>
    <cellStyle name="Normal 10 4 4 2 2" xfId="16096" xr:uid="{00000000-0005-0000-0000-0000B4110000}"/>
    <cellStyle name="Normal 10 4 4 2 2 2" xfId="32670" xr:uid="{00000000-0005-0000-0000-0000B5110000}"/>
    <cellStyle name="Normal 10 4 4 2 3" xfId="24623" xr:uid="{00000000-0005-0000-0000-0000B6110000}"/>
    <cellStyle name="Normal 10 4 4 3" xfId="12168" xr:uid="{00000000-0005-0000-0000-0000B7110000}"/>
    <cellStyle name="Normal 10 4 4 3 2" xfId="28691" xr:uid="{00000000-0005-0000-0000-0000B8110000}"/>
    <cellStyle name="Normal 10 4 4 4" xfId="20648" xr:uid="{00000000-0005-0000-0000-0000B9110000}"/>
    <cellStyle name="Normal 10 4 5" xfId="6733" xr:uid="{00000000-0005-0000-0000-0000BA110000}"/>
    <cellStyle name="Normal 10 4 5 2" xfId="16097" xr:uid="{00000000-0005-0000-0000-0000BB110000}"/>
    <cellStyle name="Normal 10 4 5 2 2" xfId="32671" xr:uid="{00000000-0005-0000-0000-0000BC110000}"/>
    <cellStyle name="Normal 10 4 5 3" xfId="24624" xr:uid="{00000000-0005-0000-0000-0000BD110000}"/>
    <cellStyle name="Normal 10 4 6" xfId="12161" xr:uid="{00000000-0005-0000-0000-0000BE110000}"/>
    <cellStyle name="Normal 10 4 6 2" xfId="28684" xr:uid="{00000000-0005-0000-0000-0000BF110000}"/>
    <cellStyle name="Normal 10 4 7" xfId="20641" xr:uid="{00000000-0005-0000-0000-0000C0110000}"/>
    <cellStyle name="Normal 10 5" xfId="1684" xr:uid="{00000000-0005-0000-0000-0000C1110000}"/>
    <cellStyle name="Normal 10 5 2" xfId="2462" xr:uid="{00000000-0005-0000-0000-0000C2110000}"/>
    <cellStyle name="Normal 10 5 2 2" xfId="2463" xr:uid="{00000000-0005-0000-0000-0000C3110000}"/>
    <cellStyle name="Normal 10 5 2 2 2" xfId="2464" xr:uid="{00000000-0005-0000-0000-0000C4110000}"/>
    <cellStyle name="Normal 10 5 2 2 2 2" xfId="6734" xr:uid="{00000000-0005-0000-0000-0000C5110000}"/>
    <cellStyle name="Normal 10 5 2 2 2 2 2" xfId="16098" xr:uid="{00000000-0005-0000-0000-0000C6110000}"/>
    <cellStyle name="Normal 10 5 2 2 2 2 2 2" xfId="32672" xr:uid="{00000000-0005-0000-0000-0000C7110000}"/>
    <cellStyle name="Normal 10 5 2 2 2 2 3" xfId="24625" xr:uid="{00000000-0005-0000-0000-0000C8110000}"/>
    <cellStyle name="Normal 10 5 2 2 2 3" xfId="12171" xr:uid="{00000000-0005-0000-0000-0000C9110000}"/>
    <cellStyle name="Normal 10 5 2 2 2 3 2" xfId="28695" xr:uid="{00000000-0005-0000-0000-0000CA110000}"/>
    <cellStyle name="Normal 10 5 2 2 2 4" xfId="20652" xr:uid="{00000000-0005-0000-0000-0000CB110000}"/>
    <cellStyle name="Normal 10 5 2 2 3" xfId="6735" xr:uid="{00000000-0005-0000-0000-0000CC110000}"/>
    <cellStyle name="Normal 10 5 2 2 3 2" xfId="16099" xr:uid="{00000000-0005-0000-0000-0000CD110000}"/>
    <cellStyle name="Normal 10 5 2 2 3 2 2" xfId="32673" xr:uid="{00000000-0005-0000-0000-0000CE110000}"/>
    <cellStyle name="Normal 10 5 2 2 3 3" xfId="24626" xr:uid="{00000000-0005-0000-0000-0000CF110000}"/>
    <cellStyle name="Normal 10 5 2 2 4" xfId="12170" xr:uid="{00000000-0005-0000-0000-0000D0110000}"/>
    <cellStyle name="Normal 10 5 2 2 4 2" xfId="28694" xr:uid="{00000000-0005-0000-0000-0000D1110000}"/>
    <cellStyle name="Normal 10 5 2 2 5" xfId="20651" xr:uid="{00000000-0005-0000-0000-0000D2110000}"/>
    <cellStyle name="Normal 10 5 2 3" xfId="2465" xr:uid="{00000000-0005-0000-0000-0000D3110000}"/>
    <cellStyle name="Normal 10 5 2 3 2" xfId="6736" xr:uid="{00000000-0005-0000-0000-0000D4110000}"/>
    <cellStyle name="Normal 10 5 2 3 2 2" xfId="16100" xr:uid="{00000000-0005-0000-0000-0000D5110000}"/>
    <cellStyle name="Normal 10 5 2 3 2 2 2" xfId="32674" xr:uid="{00000000-0005-0000-0000-0000D6110000}"/>
    <cellStyle name="Normal 10 5 2 3 2 3" xfId="24627" xr:uid="{00000000-0005-0000-0000-0000D7110000}"/>
    <cellStyle name="Normal 10 5 2 3 3" xfId="12172" xr:uid="{00000000-0005-0000-0000-0000D8110000}"/>
    <cellStyle name="Normal 10 5 2 3 3 2" xfId="28696" xr:uid="{00000000-0005-0000-0000-0000D9110000}"/>
    <cellStyle name="Normal 10 5 2 3 4" xfId="20653" xr:uid="{00000000-0005-0000-0000-0000DA110000}"/>
    <cellStyle name="Normal 10 5 2 4" xfId="6737" xr:uid="{00000000-0005-0000-0000-0000DB110000}"/>
    <cellStyle name="Normal 10 5 2 4 2" xfId="16101" xr:uid="{00000000-0005-0000-0000-0000DC110000}"/>
    <cellStyle name="Normal 10 5 2 4 2 2" xfId="32675" xr:uid="{00000000-0005-0000-0000-0000DD110000}"/>
    <cellStyle name="Normal 10 5 2 4 3" xfId="24628" xr:uid="{00000000-0005-0000-0000-0000DE110000}"/>
    <cellStyle name="Normal 10 5 2 5" xfId="12169" xr:uid="{00000000-0005-0000-0000-0000DF110000}"/>
    <cellStyle name="Normal 10 5 2 5 2" xfId="28693" xr:uid="{00000000-0005-0000-0000-0000E0110000}"/>
    <cellStyle name="Normal 10 5 2 6" xfId="20650" xr:uid="{00000000-0005-0000-0000-0000E1110000}"/>
    <cellStyle name="Normal 10 5 3" xfId="2466" xr:uid="{00000000-0005-0000-0000-0000E2110000}"/>
    <cellStyle name="Normal 10 5 3 2" xfId="2467" xr:uid="{00000000-0005-0000-0000-0000E3110000}"/>
    <cellStyle name="Normal 10 5 3 2 2" xfId="6738" xr:uid="{00000000-0005-0000-0000-0000E4110000}"/>
    <cellStyle name="Normal 10 5 3 2 2 2" xfId="16102" xr:uid="{00000000-0005-0000-0000-0000E5110000}"/>
    <cellStyle name="Normal 10 5 3 2 2 2 2" xfId="32676" xr:uid="{00000000-0005-0000-0000-0000E6110000}"/>
    <cellStyle name="Normal 10 5 3 2 2 3" xfId="24629" xr:uid="{00000000-0005-0000-0000-0000E7110000}"/>
    <cellStyle name="Normal 10 5 3 2 3" xfId="12174" xr:uid="{00000000-0005-0000-0000-0000E8110000}"/>
    <cellStyle name="Normal 10 5 3 2 3 2" xfId="28698" xr:uid="{00000000-0005-0000-0000-0000E9110000}"/>
    <cellStyle name="Normal 10 5 3 2 4" xfId="20655" xr:uid="{00000000-0005-0000-0000-0000EA110000}"/>
    <cellStyle name="Normal 10 5 3 3" xfId="6739" xr:uid="{00000000-0005-0000-0000-0000EB110000}"/>
    <cellStyle name="Normal 10 5 3 3 2" xfId="16103" xr:uid="{00000000-0005-0000-0000-0000EC110000}"/>
    <cellStyle name="Normal 10 5 3 3 2 2" xfId="32677" xr:uid="{00000000-0005-0000-0000-0000ED110000}"/>
    <cellStyle name="Normal 10 5 3 3 3" xfId="24630" xr:uid="{00000000-0005-0000-0000-0000EE110000}"/>
    <cellStyle name="Normal 10 5 3 4" xfId="12173" xr:uid="{00000000-0005-0000-0000-0000EF110000}"/>
    <cellStyle name="Normal 10 5 3 4 2" xfId="28697" xr:uid="{00000000-0005-0000-0000-0000F0110000}"/>
    <cellStyle name="Normal 10 5 3 5" xfId="20654" xr:uid="{00000000-0005-0000-0000-0000F1110000}"/>
    <cellStyle name="Normal 10 5 4" xfId="2468" xr:uid="{00000000-0005-0000-0000-0000F2110000}"/>
    <cellStyle name="Normal 10 5 4 2" xfId="6740" xr:uid="{00000000-0005-0000-0000-0000F3110000}"/>
    <cellStyle name="Normal 10 5 4 2 2" xfId="16104" xr:uid="{00000000-0005-0000-0000-0000F4110000}"/>
    <cellStyle name="Normal 10 5 4 2 2 2" xfId="32678" xr:uid="{00000000-0005-0000-0000-0000F5110000}"/>
    <cellStyle name="Normal 10 5 4 2 3" xfId="24631" xr:uid="{00000000-0005-0000-0000-0000F6110000}"/>
    <cellStyle name="Normal 10 5 4 3" xfId="12175" xr:uid="{00000000-0005-0000-0000-0000F7110000}"/>
    <cellStyle name="Normal 10 5 4 3 2" xfId="28699" xr:uid="{00000000-0005-0000-0000-0000F8110000}"/>
    <cellStyle name="Normal 10 5 4 4" xfId="20656" xr:uid="{00000000-0005-0000-0000-0000F9110000}"/>
    <cellStyle name="Normal 10 5 5" xfId="6741" xr:uid="{00000000-0005-0000-0000-0000FA110000}"/>
    <cellStyle name="Normal 10 5 5 2" xfId="16105" xr:uid="{00000000-0005-0000-0000-0000FB110000}"/>
    <cellStyle name="Normal 10 5 5 2 2" xfId="32679" xr:uid="{00000000-0005-0000-0000-0000FC110000}"/>
    <cellStyle name="Normal 10 5 5 3" xfId="24632" xr:uid="{00000000-0005-0000-0000-0000FD110000}"/>
    <cellStyle name="Normal 10 5 6" xfId="2461" xr:uid="{00000000-0005-0000-0000-0000FE110000}"/>
    <cellStyle name="Normal 10 5 6 2" xfId="28692" xr:uid="{00000000-0005-0000-0000-0000FF110000}"/>
    <cellStyle name="Normal 10 5 7" xfId="20649" xr:uid="{00000000-0005-0000-0000-000000120000}"/>
    <cellStyle name="Normal 10 6" xfId="2469" xr:uid="{00000000-0005-0000-0000-000001120000}"/>
    <cellStyle name="Normal 10 6 2" xfId="2470" xr:uid="{00000000-0005-0000-0000-000002120000}"/>
    <cellStyle name="Normal 10 6 2 2" xfId="2471" xr:uid="{00000000-0005-0000-0000-000003120000}"/>
    <cellStyle name="Normal 10 6 2 2 2" xfId="6742" xr:uid="{00000000-0005-0000-0000-000004120000}"/>
    <cellStyle name="Normal 10 6 2 2 2 2" xfId="16106" xr:uid="{00000000-0005-0000-0000-000005120000}"/>
    <cellStyle name="Normal 10 6 2 2 2 2 2" xfId="32680" xr:uid="{00000000-0005-0000-0000-000006120000}"/>
    <cellStyle name="Normal 10 6 2 2 2 3" xfId="24633" xr:uid="{00000000-0005-0000-0000-000007120000}"/>
    <cellStyle name="Normal 10 6 2 2 3" xfId="12178" xr:uid="{00000000-0005-0000-0000-000008120000}"/>
    <cellStyle name="Normal 10 6 2 2 3 2" xfId="28702" xr:uid="{00000000-0005-0000-0000-000009120000}"/>
    <cellStyle name="Normal 10 6 2 2 4" xfId="20659" xr:uid="{00000000-0005-0000-0000-00000A120000}"/>
    <cellStyle name="Normal 10 6 2 3" xfId="6743" xr:uid="{00000000-0005-0000-0000-00000B120000}"/>
    <cellStyle name="Normal 10 6 2 3 2" xfId="16107" xr:uid="{00000000-0005-0000-0000-00000C120000}"/>
    <cellStyle name="Normal 10 6 2 3 2 2" xfId="32681" xr:uid="{00000000-0005-0000-0000-00000D120000}"/>
    <cellStyle name="Normal 10 6 2 3 3" xfId="24634" xr:uid="{00000000-0005-0000-0000-00000E120000}"/>
    <cellStyle name="Normal 10 6 2 4" xfId="12177" xr:uid="{00000000-0005-0000-0000-00000F120000}"/>
    <cellStyle name="Normal 10 6 2 4 2" xfId="28701" xr:uid="{00000000-0005-0000-0000-000010120000}"/>
    <cellStyle name="Normal 10 6 2 5" xfId="20658" xr:uid="{00000000-0005-0000-0000-000011120000}"/>
    <cellStyle name="Normal 10 6 3" xfId="2472" xr:uid="{00000000-0005-0000-0000-000012120000}"/>
    <cellStyle name="Normal 10 6 3 2" xfId="6744" xr:uid="{00000000-0005-0000-0000-000013120000}"/>
    <cellStyle name="Normal 10 6 3 2 2" xfId="16108" xr:uid="{00000000-0005-0000-0000-000014120000}"/>
    <cellStyle name="Normal 10 6 3 2 2 2" xfId="32682" xr:uid="{00000000-0005-0000-0000-000015120000}"/>
    <cellStyle name="Normal 10 6 3 2 3" xfId="24635" xr:uid="{00000000-0005-0000-0000-000016120000}"/>
    <cellStyle name="Normal 10 6 3 3" xfId="12179" xr:uid="{00000000-0005-0000-0000-000017120000}"/>
    <cellStyle name="Normal 10 6 3 3 2" xfId="28703" xr:uid="{00000000-0005-0000-0000-000018120000}"/>
    <cellStyle name="Normal 10 6 3 4" xfId="20660" xr:uid="{00000000-0005-0000-0000-000019120000}"/>
    <cellStyle name="Normal 10 6 4" xfId="6745" xr:uid="{00000000-0005-0000-0000-00001A120000}"/>
    <cellStyle name="Normal 10 6 4 2" xfId="16109" xr:uid="{00000000-0005-0000-0000-00001B120000}"/>
    <cellStyle name="Normal 10 6 4 2 2" xfId="32683" xr:uid="{00000000-0005-0000-0000-00001C120000}"/>
    <cellStyle name="Normal 10 6 4 3" xfId="24636" xr:uid="{00000000-0005-0000-0000-00001D120000}"/>
    <cellStyle name="Normal 10 6 5" xfId="12176" xr:uid="{00000000-0005-0000-0000-00001E120000}"/>
    <cellStyle name="Normal 10 6 5 2" xfId="28700" xr:uid="{00000000-0005-0000-0000-00001F120000}"/>
    <cellStyle name="Normal 10 6 6" xfId="20657" xr:uid="{00000000-0005-0000-0000-000020120000}"/>
    <cellStyle name="Normal 10 7" xfId="2473" xr:uid="{00000000-0005-0000-0000-000021120000}"/>
    <cellStyle name="Normal 10 7 2" xfId="2474" xr:uid="{00000000-0005-0000-0000-000022120000}"/>
    <cellStyle name="Normal 10 7 2 2" xfId="6746" xr:uid="{00000000-0005-0000-0000-000023120000}"/>
    <cellStyle name="Normal 10 7 2 2 2" xfId="16110" xr:uid="{00000000-0005-0000-0000-000024120000}"/>
    <cellStyle name="Normal 10 7 2 2 2 2" xfId="32684" xr:uid="{00000000-0005-0000-0000-000025120000}"/>
    <cellStyle name="Normal 10 7 2 2 3" xfId="24637" xr:uid="{00000000-0005-0000-0000-000026120000}"/>
    <cellStyle name="Normal 10 7 2 3" xfId="12181" xr:uid="{00000000-0005-0000-0000-000027120000}"/>
    <cellStyle name="Normal 10 7 2 3 2" xfId="28705" xr:uid="{00000000-0005-0000-0000-000028120000}"/>
    <cellStyle name="Normal 10 7 2 4" xfId="20662" xr:uid="{00000000-0005-0000-0000-000029120000}"/>
    <cellStyle name="Normal 10 7 3" xfId="6747" xr:uid="{00000000-0005-0000-0000-00002A120000}"/>
    <cellStyle name="Normal 10 7 3 2" xfId="16111" xr:uid="{00000000-0005-0000-0000-00002B120000}"/>
    <cellStyle name="Normal 10 7 3 2 2" xfId="32685" xr:uid="{00000000-0005-0000-0000-00002C120000}"/>
    <cellStyle name="Normal 10 7 3 3" xfId="24638" xr:uid="{00000000-0005-0000-0000-00002D120000}"/>
    <cellStyle name="Normal 10 7 4" xfId="12180" xr:uid="{00000000-0005-0000-0000-00002E120000}"/>
    <cellStyle name="Normal 10 7 4 2" xfId="28704" xr:uid="{00000000-0005-0000-0000-00002F120000}"/>
    <cellStyle name="Normal 10 7 5" xfId="20661" xr:uid="{00000000-0005-0000-0000-000030120000}"/>
    <cellStyle name="Normal 10 8" xfId="2475" xr:uid="{00000000-0005-0000-0000-000031120000}"/>
    <cellStyle name="Normal 10 8 2" xfId="6748" xr:uid="{00000000-0005-0000-0000-000032120000}"/>
    <cellStyle name="Normal 10 8 2 2" xfId="16112" xr:uid="{00000000-0005-0000-0000-000033120000}"/>
    <cellStyle name="Normal 10 8 2 2 2" xfId="32686" xr:uid="{00000000-0005-0000-0000-000034120000}"/>
    <cellStyle name="Normal 10 8 2 3" xfId="24639" xr:uid="{00000000-0005-0000-0000-000035120000}"/>
    <cellStyle name="Normal 10 8 3" xfId="12182" xr:uid="{00000000-0005-0000-0000-000036120000}"/>
    <cellStyle name="Normal 10 8 3 2" xfId="28706" xr:uid="{00000000-0005-0000-0000-000037120000}"/>
    <cellStyle name="Normal 10 8 4" xfId="20663" xr:uid="{00000000-0005-0000-0000-000038120000}"/>
    <cellStyle name="Normal 10 9" xfId="6749" xr:uid="{00000000-0005-0000-0000-000039120000}"/>
    <cellStyle name="Normal 10 9 2" xfId="16113" xr:uid="{00000000-0005-0000-0000-00003A120000}"/>
    <cellStyle name="Normal 10 9 2 2" xfId="32687" xr:uid="{00000000-0005-0000-0000-00003B120000}"/>
    <cellStyle name="Normal 10 9 3" xfId="24640" xr:uid="{00000000-0005-0000-0000-00003C120000}"/>
    <cellStyle name="Normal 100" xfId="2476" xr:uid="{00000000-0005-0000-0000-00003D120000}"/>
    <cellStyle name="Normal 100 10" xfId="12183" xr:uid="{00000000-0005-0000-0000-00003E120000}"/>
    <cellStyle name="Normal 100 10 2" xfId="28707" xr:uid="{00000000-0005-0000-0000-00003F120000}"/>
    <cellStyle name="Normal 100 11" xfId="20664" xr:uid="{00000000-0005-0000-0000-000040120000}"/>
    <cellStyle name="Normal 100 2" xfId="2477" xr:uid="{00000000-0005-0000-0000-000041120000}"/>
    <cellStyle name="Normal 100 2 2" xfId="2478" xr:uid="{00000000-0005-0000-0000-000042120000}"/>
    <cellStyle name="Normal 100 2 3" xfId="12184" xr:uid="{00000000-0005-0000-0000-000043120000}"/>
    <cellStyle name="Normal 100 2 3 2" xfId="28708" xr:uid="{00000000-0005-0000-0000-000044120000}"/>
    <cellStyle name="Normal 100 2 4" xfId="20665" xr:uid="{00000000-0005-0000-0000-000045120000}"/>
    <cellStyle name="Normal 100 3" xfId="2479" xr:uid="{00000000-0005-0000-0000-000046120000}"/>
    <cellStyle name="Normal 100 3 2" xfId="2480" xr:uid="{00000000-0005-0000-0000-000047120000}"/>
    <cellStyle name="Normal 100 3 2 2" xfId="2481" xr:uid="{00000000-0005-0000-0000-000048120000}"/>
    <cellStyle name="Normal 100 3 2 2 2" xfId="2482" xr:uid="{00000000-0005-0000-0000-000049120000}"/>
    <cellStyle name="Normal 100 3 2 2 2 2" xfId="6750" xr:uid="{00000000-0005-0000-0000-00004A120000}"/>
    <cellStyle name="Normal 100 3 2 2 2 2 2" xfId="16114" xr:uid="{00000000-0005-0000-0000-00004B120000}"/>
    <cellStyle name="Normal 100 3 2 2 2 2 2 2" xfId="32688" xr:uid="{00000000-0005-0000-0000-00004C120000}"/>
    <cellStyle name="Normal 100 3 2 2 2 2 3" xfId="24641" xr:uid="{00000000-0005-0000-0000-00004D120000}"/>
    <cellStyle name="Normal 100 3 2 2 2 3" xfId="12187" xr:uid="{00000000-0005-0000-0000-00004E120000}"/>
    <cellStyle name="Normal 100 3 2 2 2 3 2" xfId="28711" xr:uid="{00000000-0005-0000-0000-00004F120000}"/>
    <cellStyle name="Normal 100 3 2 2 2 4" xfId="20668" xr:uid="{00000000-0005-0000-0000-000050120000}"/>
    <cellStyle name="Normal 100 3 2 2 3" xfId="6751" xr:uid="{00000000-0005-0000-0000-000051120000}"/>
    <cellStyle name="Normal 100 3 2 2 3 2" xfId="16115" xr:uid="{00000000-0005-0000-0000-000052120000}"/>
    <cellStyle name="Normal 100 3 2 2 3 2 2" xfId="32689" xr:uid="{00000000-0005-0000-0000-000053120000}"/>
    <cellStyle name="Normal 100 3 2 2 3 3" xfId="24642" xr:uid="{00000000-0005-0000-0000-000054120000}"/>
    <cellStyle name="Normal 100 3 2 2 4" xfId="12186" xr:uid="{00000000-0005-0000-0000-000055120000}"/>
    <cellStyle name="Normal 100 3 2 2 4 2" xfId="28710" xr:uid="{00000000-0005-0000-0000-000056120000}"/>
    <cellStyle name="Normal 100 3 2 2 5" xfId="20667" xr:uid="{00000000-0005-0000-0000-000057120000}"/>
    <cellStyle name="Normal 100 3 2 3" xfId="2483" xr:uid="{00000000-0005-0000-0000-000058120000}"/>
    <cellStyle name="Normal 100 3 2 3 2" xfId="6752" xr:uid="{00000000-0005-0000-0000-000059120000}"/>
    <cellStyle name="Normal 100 3 2 3 2 2" xfId="16116" xr:uid="{00000000-0005-0000-0000-00005A120000}"/>
    <cellStyle name="Normal 100 3 2 3 2 2 2" xfId="32690" xr:uid="{00000000-0005-0000-0000-00005B120000}"/>
    <cellStyle name="Normal 100 3 2 3 2 3" xfId="24643" xr:uid="{00000000-0005-0000-0000-00005C120000}"/>
    <cellStyle name="Normal 100 3 2 3 3" xfId="12188" xr:uid="{00000000-0005-0000-0000-00005D120000}"/>
    <cellStyle name="Normal 100 3 2 3 3 2" xfId="28712" xr:uid="{00000000-0005-0000-0000-00005E120000}"/>
    <cellStyle name="Normal 100 3 2 3 4" xfId="20669" xr:uid="{00000000-0005-0000-0000-00005F120000}"/>
    <cellStyle name="Normal 100 3 2 4" xfId="6753" xr:uid="{00000000-0005-0000-0000-000060120000}"/>
    <cellStyle name="Normal 100 3 2 4 2" xfId="16117" xr:uid="{00000000-0005-0000-0000-000061120000}"/>
    <cellStyle name="Normal 100 3 2 4 2 2" xfId="32691" xr:uid="{00000000-0005-0000-0000-000062120000}"/>
    <cellStyle name="Normal 100 3 2 4 3" xfId="24644" xr:uid="{00000000-0005-0000-0000-000063120000}"/>
    <cellStyle name="Normal 100 3 2 5" xfId="12185" xr:uid="{00000000-0005-0000-0000-000064120000}"/>
    <cellStyle name="Normal 100 3 2 5 2" xfId="28709" xr:uid="{00000000-0005-0000-0000-000065120000}"/>
    <cellStyle name="Normal 100 3 2 6" xfId="20666" xr:uid="{00000000-0005-0000-0000-000066120000}"/>
    <cellStyle name="Normal 100 3 3" xfId="2484" xr:uid="{00000000-0005-0000-0000-000067120000}"/>
    <cellStyle name="Normal 100 3 3 2" xfId="2485" xr:uid="{00000000-0005-0000-0000-000068120000}"/>
    <cellStyle name="Normal 100 3 3 2 2" xfId="6754" xr:uid="{00000000-0005-0000-0000-000069120000}"/>
    <cellStyle name="Normal 100 3 3 2 2 2" xfId="16118" xr:uid="{00000000-0005-0000-0000-00006A120000}"/>
    <cellStyle name="Normal 100 3 3 2 2 2 2" xfId="32692" xr:uid="{00000000-0005-0000-0000-00006B120000}"/>
    <cellStyle name="Normal 100 3 3 2 2 3" xfId="24645" xr:uid="{00000000-0005-0000-0000-00006C120000}"/>
    <cellStyle name="Normal 100 3 3 2 3" xfId="12190" xr:uid="{00000000-0005-0000-0000-00006D120000}"/>
    <cellStyle name="Normal 100 3 3 2 3 2" xfId="28714" xr:uid="{00000000-0005-0000-0000-00006E120000}"/>
    <cellStyle name="Normal 100 3 3 2 4" xfId="20671" xr:uid="{00000000-0005-0000-0000-00006F120000}"/>
    <cellStyle name="Normal 100 3 3 3" xfId="6755" xr:uid="{00000000-0005-0000-0000-000070120000}"/>
    <cellStyle name="Normal 100 3 3 3 2" xfId="16119" xr:uid="{00000000-0005-0000-0000-000071120000}"/>
    <cellStyle name="Normal 100 3 3 3 2 2" xfId="32693" xr:uid="{00000000-0005-0000-0000-000072120000}"/>
    <cellStyle name="Normal 100 3 3 3 3" xfId="24646" xr:uid="{00000000-0005-0000-0000-000073120000}"/>
    <cellStyle name="Normal 100 3 3 4" xfId="12189" xr:uid="{00000000-0005-0000-0000-000074120000}"/>
    <cellStyle name="Normal 100 3 3 4 2" xfId="28713" xr:uid="{00000000-0005-0000-0000-000075120000}"/>
    <cellStyle name="Normal 100 3 3 5" xfId="20670" xr:uid="{00000000-0005-0000-0000-000076120000}"/>
    <cellStyle name="Normal 100 3 4" xfId="2486" xr:uid="{00000000-0005-0000-0000-000077120000}"/>
    <cellStyle name="Normal 100 3 4 2" xfId="6756" xr:uid="{00000000-0005-0000-0000-000078120000}"/>
    <cellStyle name="Normal 100 3 4 2 2" xfId="16120" xr:uid="{00000000-0005-0000-0000-000079120000}"/>
    <cellStyle name="Normal 100 3 4 2 2 2" xfId="32694" xr:uid="{00000000-0005-0000-0000-00007A120000}"/>
    <cellStyle name="Normal 100 3 4 2 3" xfId="24647" xr:uid="{00000000-0005-0000-0000-00007B120000}"/>
    <cellStyle name="Normal 100 3 4 3" xfId="12191" xr:uid="{00000000-0005-0000-0000-00007C120000}"/>
    <cellStyle name="Normal 100 3 4 3 2" xfId="28715" xr:uid="{00000000-0005-0000-0000-00007D120000}"/>
    <cellStyle name="Normal 100 3 4 4" xfId="20672" xr:uid="{00000000-0005-0000-0000-00007E120000}"/>
    <cellStyle name="Normal 100 3 5" xfId="6757" xr:uid="{00000000-0005-0000-0000-00007F120000}"/>
    <cellStyle name="Normal 100 3 5 2" xfId="16121" xr:uid="{00000000-0005-0000-0000-000080120000}"/>
    <cellStyle name="Normal 100 3 5 2 2" xfId="32695" xr:uid="{00000000-0005-0000-0000-000081120000}"/>
    <cellStyle name="Normal 100 3 5 3" xfId="24648" xr:uid="{00000000-0005-0000-0000-000082120000}"/>
    <cellStyle name="Normal 100 4" xfId="2487" xr:uid="{00000000-0005-0000-0000-000083120000}"/>
    <cellStyle name="Normal 100 4 2" xfId="2488" xr:uid="{00000000-0005-0000-0000-000084120000}"/>
    <cellStyle name="Normal 100 4 2 2" xfId="2489" xr:uid="{00000000-0005-0000-0000-000085120000}"/>
    <cellStyle name="Normal 100 4 2 2 2" xfId="2490" xr:uid="{00000000-0005-0000-0000-000086120000}"/>
    <cellStyle name="Normal 100 4 2 2 2 2" xfId="6758" xr:uid="{00000000-0005-0000-0000-000087120000}"/>
    <cellStyle name="Normal 100 4 2 2 2 2 2" xfId="16122" xr:uid="{00000000-0005-0000-0000-000088120000}"/>
    <cellStyle name="Normal 100 4 2 2 2 2 2 2" xfId="32696" xr:uid="{00000000-0005-0000-0000-000089120000}"/>
    <cellStyle name="Normal 100 4 2 2 2 2 3" xfId="24649" xr:uid="{00000000-0005-0000-0000-00008A120000}"/>
    <cellStyle name="Normal 100 4 2 2 2 3" xfId="12195" xr:uid="{00000000-0005-0000-0000-00008B120000}"/>
    <cellStyle name="Normal 100 4 2 2 2 3 2" xfId="28719" xr:uid="{00000000-0005-0000-0000-00008C120000}"/>
    <cellStyle name="Normal 100 4 2 2 2 4" xfId="20676" xr:uid="{00000000-0005-0000-0000-00008D120000}"/>
    <cellStyle name="Normal 100 4 2 2 3" xfId="6759" xr:uid="{00000000-0005-0000-0000-00008E120000}"/>
    <cellStyle name="Normal 100 4 2 2 3 2" xfId="16123" xr:uid="{00000000-0005-0000-0000-00008F120000}"/>
    <cellStyle name="Normal 100 4 2 2 3 2 2" xfId="32697" xr:uid="{00000000-0005-0000-0000-000090120000}"/>
    <cellStyle name="Normal 100 4 2 2 3 3" xfId="24650" xr:uid="{00000000-0005-0000-0000-000091120000}"/>
    <cellStyle name="Normal 100 4 2 2 4" xfId="12194" xr:uid="{00000000-0005-0000-0000-000092120000}"/>
    <cellStyle name="Normal 100 4 2 2 4 2" xfId="28718" xr:uid="{00000000-0005-0000-0000-000093120000}"/>
    <cellStyle name="Normal 100 4 2 2 5" xfId="20675" xr:uid="{00000000-0005-0000-0000-000094120000}"/>
    <cellStyle name="Normal 100 4 2 3" xfId="2491" xr:uid="{00000000-0005-0000-0000-000095120000}"/>
    <cellStyle name="Normal 100 4 2 3 2" xfId="6760" xr:uid="{00000000-0005-0000-0000-000096120000}"/>
    <cellStyle name="Normal 100 4 2 3 2 2" xfId="16124" xr:uid="{00000000-0005-0000-0000-000097120000}"/>
    <cellStyle name="Normal 100 4 2 3 2 2 2" xfId="32698" xr:uid="{00000000-0005-0000-0000-000098120000}"/>
    <cellStyle name="Normal 100 4 2 3 2 3" xfId="24651" xr:uid="{00000000-0005-0000-0000-000099120000}"/>
    <cellStyle name="Normal 100 4 2 3 3" xfId="12196" xr:uid="{00000000-0005-0000-0000-00009A120000}"/>
    <cellStyle name="Normal 100 4 2 3 3 2" xfId="28720" xr:uid="{00000000-0005-0000-0000-00009B120000}"/>
    <cellStyle name="Normal 100 4 2 3 4" xfId="20677" xr:uid="{00000000-0005-0000-0000-00009C120000}"/>
    <cellStyle name="Normal 100 4 2 4" xfId="6761" xr:uid="{00000000-0005-0000-0000-00009D120000}"/>
    <cellStyle name="Normal 100 4 2 4 2" xfId="16125" xr:uid="{00000000-0005-0000-0000-00009E120000}"/>
    <cellStyle name="Normal 100 4 2 4 2 2" xfId="32699" xr:uid="{00000000-0005-0000-0000-00009F120000}"/>
    <cellStyle name="Normal 100 4 2 4 3" xfId="24652" xr:uid="{00000000-0005-0000-0000-0000A0120000}"/>
    <cellStyle name="Normal 100 4 2 5" xfId="12193" xr:uid="{00000000-0005-0000-0000-0000A1120000}"/>
    <cellStyle name="Normal 100 4 2 5 2" xfId="28717" xr:uid="{00000000-0005-0000-0000-0000A2120000}"/>
    <cellStyle name="Normal 100 4 2 6" xfId="20674" xr:uid="{00000000-0005-0000-0000-0000A3120000}"/>
    <cellStyle name="Normal 100 4 3" xfId="2492" xr:uid="{00000000-0005-0000-0000-0000A4120000}"/>
    <cellStyle name="Normal 100 4 3 2" xfId="2493" xr:uid="{00000000-0005-0000-0000-0000A5120000}"/>
    <cellStyle name="Normal 100 4 3 2 2" xfId="6762" xr:uid="{00000000-0005-0000-0000-0000A6120000}"/>
    <cellStyle name="Normal 100 4 3 2 2 2" xfId="16126" xr:uid="{00000000-0005-0000-0000-0000A7120000}"/>
    <cellStyle name="Normal 100 4 3 2 2 2 2" xfId="32700" xr:uid="{00000000-0005-0000-0000-0000A8120000}"/>
    <cellStyle name="Normal 100 4 3 2 2 3" xfId="24653" xr:uid="{00000000-0005-0000-0000-0000A9120000}"/>
    <cellStyle name="Normal 100 4 3 2 3" xfId="12198" xr:uid="{00000000-0005-0000-0000-0000AA120000}"/>
    <cellStyle name="Normal 100 4 3 2 3 2" xfId="28722" xr:uid="{00000000-0005-0000-0000-0000AB120000}"/>
    <cellStyle name="Normal 100 4 3 2 4" xfId="20679" xr:uid="{00000000-0005-0000-0000-0000AC120000}"/>
    <cellStyle name="Normal 100 4 3 3" xfId="6763" xr:uid="{00000000-0005-0000-0000-0000AD120000}"/>
    <cellStyle name="Normal 100 4 3 3 2" xfId="16127" xr:uid="{00000000-0005-0000-0000-0000AE120000}"/>
    <cellStyle name="Normal 100 4 3 3 2 2" xfId="32701" xr:uid="{00000000-0005-0000-0000-0000AF120000}"/>
    <cellStyle name="Normal 100 4 3 3 3" xfId="24654" xr:uid="{00000000-0005-0000-0000-0000B0120000}"/>
    <cellStyle name="Normal 100 4 3 4" xfId="12197" xr:uid="{00000000-0005-0000-0000-0000B1120000}"/>
    <cellStyle name="Normal 100 4 3 4 2" xfId="28721" xr:uid="{00000000-0005-0000-0000-0000B2120000}"/>
    <cellStyle name="Normal 100 4 3 5" xfId="20678" xr:uid="{00000000-0005-0000-0000-0000B3120000}"/>
    <cellStyle name="Normal 100 4 4" xfId="2494" xr:uid="{00000000-0005-0000-0000-0000B4120000}"/>
    <cellStyle name="Normal 100 4 4 2" xfId="6764" xr:uid="{00000000-0005-0000-0000-0000B5120000}"/>
    <cellStyle name="Normal 100 4 4 2 2" xfId="16128" xr:uid="{00000000-0005-0000-0000-0000B6120000}"/>
    <cellStyle name="Normal 100 4 4 2 2 2" xfId="32702" xr:uid="{00000000-0005-0000-0000-0000B7120000}"/>
    <cellStyle name="Normal 100 4 4 2 3" xfId="24655" xr:uid="{00000000-0005-0000-0000-0000B8120000}"/>
    <cellStyle name="Normal 100 4 4 3" xfId="12199" xr:uid="{00000000-0005-0000-0000-0000B9120000}"/>
    <cellStyle name="Normal 100 4 4 3 2" xfId="28723" xr:uid="{00000000-0005-0000-0000-0000BA120000}"/>
    <cellStyle name="Normal 100 4 4 4" xfId="20680" xr:uid="{00000000-0005-0000-0000-0000BB120000}"/>
    <cellStyle name="Normal 100 4 5" xfId="6765" xr:uid="{00000000-0005-0000-0000-0000BC120000}"/>
    <cellStyle name="Normal 100 4 5 2" xfId="16129" xr:uid="{00000000-0005-0000-0000-0000BD120000}"/>
    <cellStyle name="Normal 100 4 5 2 2" xfId="32703" xr:uid="{00000000-0005-0000-0000-0000BE120000}"/>
    <cellStyle name="Normal 100 4 5 3" xfId="24656" xr:uid="{00000000-0005-0000-0000-0000BF120000}"/>
    <cellStyle name="Normal 100 4 6" xfId="12192" xr:uid="{00000000-0005-0000-0000-0000C0120000}"/>
    <cellStyle name="Normal 100 4 6 2" xfId="28716" xr:uid="{00000000-0005-0000-0000-0000C1120000}"/>
    <cellStyle name="Normal 100 4 7" xfId="20673" xr:uid="{00000000-0005-0000-0000-0000C2120000}"/>
    <cellStyle name="Normal 100 5" xfId="2495" xr:uid="{00000000-0005-0000-0000-0000C3120000}"/>
    <cellStyle name="Normal 100 5 2" xfId="2496" xr:uid="{00000000-0005-0000-0000-0000C4120000}"/>
    <cellStyle name="Normal 100 5 2 2" xfId="2497" xr:uid="{00000000-0005-0000-0000-0000C5120000}"/>
    <cellStyle name="Normal 100 5 2 2 2" xfId="2498" xr:uid="{00000000-0005-0000-0000-0000C6120000}"/>
    <cellStyle name="Normal 100 5 2 2 2 2" xfId="6766" xr:uid="{00000000-0005-0000-0000-0000C7120000}"/>
    <cellStyle name="Normal 100 5 2 2 2 2 2" xfId="16130" xr:uid="{00000000-0005-0000-0000-0000C8120000}"/>
    <cellStyle name="Normal 100 5 2 2 2 2 2 2" xfId="32704" xr:uid="{00000000-0005-0000-0000-0000C9120000}"/>
    <cellStyle name="Normal 100 5 2 2 2 2 3" xfId="24657" xr:uid="{00000000-0005-0000-0000-0000CA120000}"/>
    <cellStyle name="Normal 100 5 2 2 2 3" xfId="12203" xr:uid="{00000000-0005-0000-0000-0000CB120000}"/>
    <cellStyle name="Normal 100 5 2 2 2 3 2" xfId="28727" xr:uid="{00000000-0005-0000-0000-0000CC120000}"/>
    <cellStyle name="Normal 100 5 2 2 2 4" xfId="20684" xr:uid="{00000000-0005-0000-0000-0000CD120000}"/>
    <cellStyle name="Normal 100 5 2 2 3" xfId="6767" xr:uid="{00000000-0005-0000-0000-0000CE120000}"/>
    <cellStyle name="Normal 100 5 2 2 3 2" xfId="16131" xr:uid="{00000000-0005-0000-0000-0000CF120000}"/>
    <cellStyle name="Normal 100 5 2 2 3 2 2" xfId="32705" xr:uid="{00000000-0005-0000-0000-0000D0120000}"/>
    <cellStyle name="Normal 100 5 2 2 3 3" xfId="24658" xr:uid="{00000000-0005-0000-0000-0000D1120000}"/>
    <cellStyle name="Normal 100 5 2 2 4" xfId="12202" xr:uid="{00000000-0005-0000-0000-0000D2120000}"/>
    <cellStyle name="Normal 100 5 2 2 4 2" xfId="28726" xr:uid="{00000000-0005-0000-0000-0000D3120000}"/>
    <cellStyle name="Normal 100 5 2 2 5" xfId="20683" xr:uid="{00000000-0005-0000-0000-0000D4120000}"/>
    <cellStyle name="Normal 100 5 2 3" xfId="2499" xr:uid="{00000000-0005-0000-0000-0000D5120000}"/>
    <cellStyle name="Normal 100 5 2 3 2" xfId="6768" xr:uid="{00000000-0005-0000-0000-0000D6120000}"/>
    <cellStyle name="Normal 100 5 2 3 2 2" xfId="16132" xr:uid="{00000000-0005-0000-0000-0000D7120000}"/>
    <cellStyle name="Normal 100 5 2 3 2 2 2" xfId="32706" xr:uid="{00000000-0005-0000-0000-0000D8120000}"/>
    <cellStyle name="Normal 100 5 2 3 2 3" xfId="24659" xr:uid="{00000000-0005-0000-0000-0000D9120000}"/>
    <cellStyle name="Normal 100 5 2 3 3" xfId="12204" xr:uid="{00000000-0005-0000-0000-0000DA120000}"/>
    <cellStyle name="Normal 100 5 2 3 3 2" xfId="28728" xr:uid="{00000000-0005-0000-0000-0000DB120000}"/>
    <cellStyle name="Normal 100 5 2 3 4" xfId="20685" xr:uid="{00000000-0005-0000-0000-0000DC120000}"/>
    <cellStyle name="Normal 100 5 2 4" xfId="6769" xr:uid="{00000000-0005-0000-0000-0000DD120000}"/>
    <cellStyle name="Normal 100 5 2 4 2" xfId="16133" xr:uid="{00000000-0005-0000-0000-0000DE120000}"/>
    <cellStyle name="Normal 100 5 2 4 2 2" xfId="32707" xr:uid="{00000000-0005-0000-0000-0000DF120000}"/>
    <cellStyle name="Normal 100 5 2 4 3" xfId="24660" xr:uid="{00000000-0005-0000-0000-0000E0120000}"/>
    <cellStyle name="Normal 100 5 2 5" xfId="12201" xr:uid="{00000000-0005-0000-0000-0000E1120000}"/>
    <cellStyle name="Normal 100 5 2 5 2" xfId="28725" xr:uid="{00000000-0005-0000-0000-0000E2120000}"/>
    <cellStyle name="Normal 100 5 2 6" xfId="20682" xr:uid="{00000000-0005-0000-0000-0000E3120000}"/>
    <cellStyle name="Normal 100 5 3" xfId="2500" xr:uid="{00000000-0005-0000-0000-0000E4120000}"/>
    <cellStyle name="Normal 100 5 3 2" xfId="2501" xr:uid="{00000000-0005-0000-0000-0000E5120000}"/>
    <cellStyle name="Normal 100 5 3 2 2" xfId="6770" xr:uid="{00000000-0005-0000-0000-0000E6120000}"/>
    <cellStyle name="Normal 100 5 3 2 2 2" xfId="16134" xr:uid="{00000000-0005-0000-0000-0000E7120000}"/>
    <cellStyle name="Normal 100 5 3 2 2 2 2" xfId="32708" xr:uid="{00000000-0005-0000-0000-0000E8120000}"/>
    <cellStyle name="Normal 100 5 3 2 2 3" xfId="24661" xr:uid="{00000000-0005-0000-0000-0000E9120000}"/>
    <cellStyle name="Normal 100 5 3 2 3" xfId="12206" xr:uid="{00000000-0005-0000-0000-0000EA120000}"/>
    <cellStyle name="Normal 100 5 3 2 3 2" xfId="28730" xr:uid="{00000000-0005-0000-0000-0000EB120000}"/>
    <cellStyle name="Normal 100 5 3 2 4" xfId="20687" xr:uid="{00000000-0005-0000-0000-0000EC120000}"/>
    <cellStyle name="Normal 100 5 3 3" xfId="6771" xr:uid="{00000000-0005-0000-0000-0000ED120000}"/>
    <cellStyle name="Normal 100 5 3 3 2" xfId="16135" xr:uid="{00000000-0005-0000-0000-0000EE120000}"/>
    <cellStyle name="Normal 100 5 3 3 2 2" xfId="32709" xr:uid="{00000000-0005-0000-0000-0000EF120000}"/>
    <cellStyle name="Normal 100 5 3 3 3" xfId="24662" xr:uid="{00000000-0005-0000-0000-0000F0120000}"/>
    <cellStyle name="Normal 100 5 3 4" xfId="12205" xr:uid="{00000000-0005-0000-0000-0000F1120000}"/>
    <cellStyle name="Normal 100 5 3 4 2" xfId="28729" xr:uid="{00000000-0005-0000-0000-0000F2120000}"/>
    <cellStyle name="Normal 100 5 3 5" xfId="20686" xr:uid="{00000000-0005-0000-0000-0000F3120000}"/>
    <cellStyle name="Normal 100 5 4" xfId="2502" xr:uid="{00000000-0005-0000-0000-0000F4120000}"/>
    <cellStyle name="Normal 100 5 4 2" xfId="6772" xr:uid="{00000000-0005-0000-0000-0000F5120000}"/>
    <cellStyle name="Normal 100 5 4 2 2" xfId="16136" xr:uid="{00000000-0005-0000-0000-0000F6120000}"/>
    <cellStyle name="Normal 100 5 4 2 2 2" xfId="32710" xr:uid="{00000000-0005-0000-0000-0000F7120000}"/>
    <cellStyle name="Normal 100 5 4 2 3" xfId="24663" xr:uid="{00000000-0005-0000-0000-0000F8120000}"/>
    <cellStyle name="Normal 100 5 4 3" xfId="12207" xr:uid="{00000000-0005-0000-0000-0000F9120000}"/>
    <cellStyle name="Normal 100 5 4 3 2" xfId="28731" xr:uid="{00000000-0005-0000-0000-0000FA120000}"/>
    <cellStyle name="Normal 100 5 4 4" xfId="20688" xr:uid="{00000000-0005-0000-0000-0000FB120000}"/>
    <cellStyle name="Normal 100 5 5" xfId="6773" xr:uid="{00000000-0005-0000-0000-0000FC120000}"/>
    <cellStyle name="Normal 100 5 5 2" xfId="16137" xr:uid="{00000000-0005-0000-0000-0000FD120000}"/>
    <cellStyle name="Normal 100 5 5 2 2" xfId="32711" xr:uid="{00000000-0005-0000-0000-0000FE120000}"/>
    <cellStyle name="Normal 100 5 5 3" xfId="24664" xr:uid="{00000000-0005-0000-0000-0000FF120000}"/>
    <cellStyle name="Normal 100 5 6" xfId="12200" xr:uid="{00000000-0005-0000-0000-000000130000}"/>
    <cellStyle name="Normal 100 5 6 2" xfId="28724" xr:uid="{00000000-0005-0000-0000-000001130000}"/>
    <cellStyle name="Normal 100 5 7" xfId="20681" xr:uid="{00000000-0005-0000-0000-000002130000}"/>
    <cellStyle name="Normal 100 6" xfId="2503" xr:uid="{00000000-0005-0000-0000-000003130000}"/>
    <cellStyle name="Normal 100 6 2" xfId="2504" xr:uid="{00000000-0005-0000-0000-000004130000}"/>
    <cellStyle name="Normal 100 6 2 2" xfId="2505" xr:uid="{00000000-0005-0000-0000-000005130000}"/>
    <cellStyle name="Normal 100 6 2 2 2" xfId="6774" xr:uid="{00000000-0005-0000-0000-000006130000}"/>
    <cellStyle name="Normal 100 6 2 2 2 2" xfId="16138" xr:uid="{00000000-0005-0000-0000-000007130000}"/>
    <cellStyle name="Normal 100 6 2 2 2 2 2" xfId="32712" xr:uid="{00000000-0005-0000-0000-000008130000}"/>
    <cellStyle name="Normal 100 6 2 2 2 3" xfId="24665" xr:uid="{00000000-0005-0000-0000-000009130000}"/>
    <cellStyle name="Normal 100 6 2 2 3" xfId="12210" xr:uid="{00000000-0005-0000-0000-00000A130000}"/>
    <cellStyle name="Normal 100 6 2 2 3 2" xfId="28734" xr:uid="{00000000-0005-0000-0000-00000B130000}"/>
    <cellStyle name="Normal 100 6 2 2 4" xfId="20691" xr:uid="{00000000-0005-0000-0000-00000C130000}"/>
    <cellStyle name="Normal 100 6 2 3" xfId="6775" xr:uid="{00000000-0005-0000-0000-00000D130000}"/>
    <cellStyle name="Normal 100 6 2 3 2" xfId="16139" xr:uid="{00000000-0005-0000-0000-00000E130000}"/>
    <cellStyle name="Normal 100 6 2 3 2 2" xfId="32713" xr:uid="{00000000-0005-0000-0000-00000F130000}"/>
    <cellStyle name="Normal 100 6 2 3 3" xfId="24666" xr:uid="{00000000-0005-0000-0000-000010130000}"/>
    <cellStyle name="Normal 100 6 2 4" xfId="12209" xr:uid="{00000000-0005-0000-0000-000011130000}"/>
    <cellStyle name="Normal 100 6 2 4 2" xfId="28733" xr:uid="{00000000-0005-0000-0000-000012130000}"/>
    <cellStyle name="Normal 100 6 2 5" xfId="20690" xr:uid="{00000000-0005-0000-0000-000013130000}"/>
    <cellStyle name="Normal 100 6 3" xfId="2506" xr:uid="{00000000-0005-0000-0000-000014130000}"/>
    <cellStyle name="Normal 100 6 3 2" xfId="6776" xr:uid="{00000000-0005-0000-0000-000015130000}"/>
    <cellStyle name="Normal 100 6 3 2 2" xfId="16140" xr:uid="{00000000-0005-0000-0000-000016130000}"/>
    <cellStyle name="Normal 100 6 3 2 2 2" xfId="32714" xr:uid="{00000000-0005-0000-0000-000017130000}"/>
    <cellStyle name="Normal 100 6 3 2 3" xfId="24667" xr:uid="{00000000-0005-0000-0000-000018130000}"/>
    <cellStyle name="Normal 100 6 3 3" xfId="12211" xr:uid="{00000000-0005-0000-0000-000019130000}"/>
    <cellStyle name="Normal 100 6 3 3 2" xfId="28735" xr:uid="{00000000-0005-0000-0000-00001A130000}"/>
    <cellStyle name="Normal 100 6 3 4" xfId="20692" xr:uid="{00000000-0005-0000-0000-00001B130000}"/>
    <cellStyle name="Normal 100 6 4" xfId="6777" xr:uid="{00000000-0005-0000-0000-00001C130000}"/>
    <cellStyle name="Normal 100 6 4 2" xfId="16141" xr:uid="{00000000-0005-0000-0000-00001D130000}"/>
    <cellStyle name="Normal 100 6 4 2 2" xfId="32715" xr:uid="{00000000-0005-0000-0000-00001E130000}"/>
    <cellStyle name="Normal 100 6 4 3" xfId="24668" xr:uid="{00000000-0005-0000-0000-00001F130000}"/>
    <cellStyle name="Normal 100 6 5" xfId="12208" xr:uid="{00000000-0005-0000-0000-000020130000}"/>
    <cellStyle name="Normal 100 6 5 2" xfId="28732" xr:uid="{00000000-0005-0000-0000-000021130000}"/>
    <cellStyle name="Normal 100 6 6" xfId="20689" xr:uid="{00000000-0005-0000-0000-000022130000}"/>
    <cellStyle name="Normal 100 7" xfId="2507" xr:uid="{00000000-0005-0000-0000-000023130000}"/>
    <cellStyle name="Normal 100 7 2" xfId="2508" xr:uid="{00000000-0005-0000-0000-000024130000}"/>
    <cellStyle name="Normal 100 7 2 2" xfId="6778" xr:uid="{00000000-0005-0000-0000-000025130000}"/>
    <cellStyle name="Normal 100 7 2 2 2" xfId="16142" xr:uid="{00000000-0005-0000-0000-000026130000}"/>
    <cellStyle name="Normal 100 7 2 2 2 2" xfId="32716" xr:uid="{00000000-0005-0000-0000-000027130000}"/>
    <cellStyle name="Normal 100 7 2 2 3" xfId="24669" xr:uid="{00000000-0005-0000-0000-000028130000}"/>
    <cellStyle name="Normal 100 7 2 3" xfId="12213" xr:uid="{00000000-0005-0000-0000-000029130000}"/>
    <cellStyle name="Normal 100 7 2 3 2" xfId="28737" xr:uid="{00000000-0005-0000-0000-00002A130000}"/>
    <cellStyle name="Normal 100 7 2 4" xfId="20694" xr:uid="{00000000-0005-0000-0000-00002B130000}"/>
    <cellStyle name="Normal 100 7 3" xfId="6779" xr:uid="{00000000-0005-0000-0000-00002C130000}"/>
    <cellStyle name="Normal 100 7 3 2" xfId="16143" xr:uid="{00000000-0005-0000-0000-00002D130000}"/>
    <cellStyle name="Normal 100 7 3 2 2" xfId="32717" xr:uid="{00000000-0005-0000-0000-00002E130000}"/>
    <cellStyle name="Normal 100 7 3 3" xfId="24670" xr:uid="{00000000-0005-0000-0000-00002F130000}"/>
    <cellStyle name="Normal 100 7 4" xfId="12212" xr:uid="{00000000-0005-0000-0000-000030130000}"/>
    <cellStyle name="Normal 100 7 4 2" xfId="28736" xr:uid="{00000000-0005-0000-0000-000031130000}"/>
    <cellStyle name="Normal 100 7 5" xfId="20693" xr:uid="{00000000-0005-0000-0000-000032130000}"/>
    <cellStyle name="Normal 100 8" xfId="2509" xr:uid="{00000000-0005-0000-0000-000033130000}"/>
    <cellStyle name="Normal 100 8 2" xfId="6780" xr:uid="{00000000-0005-0000-0000-000034130000}"/>
    <cellStyle name="Normal 100 8 2 2" xfId="16144" xr:uid="{00000000-0005-0000-0000-000035130000}"/>
    <cellStyle name="Normal 100 8 2 2 2" xfId="32718" xr:uid="{00000000-0005-0000-0000-000036130000}"/>
    <cellStyle name="Normal 100 8 2 3" xfId="24671" xr:uid="{00000000-0005-0000-0000-000037130000}"/>
    <cellStyle name="Normal 100 8 3" xfId="12214" xr:uid="{00000000-0005-0000-0000-000038130000}"/>
    <cellStyle name="Normal 100 8 3 2" xfId="28738" xr:uid="{00000000-0005-0000-0000-000039130000}"/>
    <cellStyle name="Normal 100 8 4" xfId="20695" xr:uid="{00000000-0005-0000-0000-00003A130000}"/>
    <cellStyle name="Normal 100 9" xfId="6781" xr:uid="{00000000-0005-0000-0000-00003B130000}"/>
    <cellStyle name="Normal 100 9 2" xfId="16145" xr:uid="{00000000-0005-0000-0000-00003C130000}"/>
    <cellStyle name="Normal 100 9 2 2" xfId="32719" xr:uid="{00000000-0005-0000-0000-00003D130000}"/>
    <cellStyle name="Normal 100 9 3" xfId="24672" xr:uid="{00000000-0005-0000-0000-00003E130000}"/>
    <cellStyle name="Normal 101" xfId="2510" xr:uid="{00000000-0005-0000-0000-00003F130000}"/>
    <cellStyle name="Normal 101 10" xfId="12215" xr:uid="{00000000-0005-0000-0000-000040130000}"/>
    <cellStyle name="Normal 101 10 2" xfId="28739" xr:uid="{00000000-0005-0000-0000-000041130000}"/>
    <cellStyle name="Normal 101 11" xfId="20696" xr:uid="{00000000-0005-0000-0000-000042130000}"/>
    <cellStyle name="Normal 101 2" xfId="2511" xr:uid="{00000000-0005-0000-0000-000043130000}"/>
    <cellStyle name="Normal 101 2 2" xfId="2512" xr:uid="{00000000-0005-0000-0000-000044130000}"/>
    <cellStyle name="Normal 101 2 3" xfId="12216" xr:uid="{00000000-0005-0000-0000-000045130000}"/>
    <cellStyle name="Normal 101 2 3 2" xfId="28740" xr:uid="{00000000-0005-0000-0000-000046130000}"/>
    <cellStyle name="Normal 101 2 4" xfId="20697" xr:uid="{00000000-0005-0000-0000-000047130000}"/>
    <cellStyle name="Normal 101 3" xfId="2513" xr:uid="{00000000-0005-0000-0000-000048130000}"/>
    <cellStyle name="Normal 101 3 2" xfId="2514" xr:uid="{00000000-0005-0000-0000-000049130000}"/>
    <cellStyle name="Normal 101 3 2 2" xfId="2515" xr:uid="{00000000-0005-0000-0000-00004A130000}"/>
    <cellStyle name="Normal 101 3 2 2 2" xfId="2516" xr:uid="{00000000-0005-0000-0000-00004B130000}"/>
    <cellStyle name="Normal 101 3 2 2 2 2" xfId="6782" xr:uid="{00000000-0005-0000-0000-00004C130000}"/>
    <cellStyle name="Normal 101 3 2 2 2 2 2" xfId="16146" xr:uid="{00000000-0005-0000-0000-00004D130000}"/>
    <cellStyle name="Normal 101 3 2 2 2 2 2 2" xfId="32720" xr:uid="{00000000-0005-0000-0000-00004E130000}"/>
    <cellStyle name="Normal 101 3 2 2 2 2 3" xfId="24673" xr:uid="{00000000-0005-0000-0000-00004F130000}"/>
    <cellStyle name="Normal 101 3 2 2 2 3" xfId="12219" xr:uid="{00000000-0005-0000-0000-000050130000}"/>
    <cellStyle name="Normal 101 3 2 2 2 3 2" xfId="28743" xr:uid="{00000000-0005-0000-0000-000051130000}"/>
    <cellStyle name="Normal 101 3 2 2 2 4" xfId="20700" xr:uid="{00000000-0005-0000-0000-000052130000}"/>
    <cellStyle name="Normal 101 3 2 2 3" xfId="6783" xr:uid="{00000000-0005-0000-0000-000053130000}"/>
    <cellStyle name="Normal 101 3 2 2 3 2" xfId="16147" xr:uid="{00000000-0005-0000-0000-000054130000}"/>
    <cellStyle name="Normal 101 3 2 2 3 2 2" xfId="32721" xr:uid="{00000000-0005-0000-0000-000055130000}"/>
    <cellStyle name="Normal 101 3 2 2 3 3" xfId="24674" xr:uid="{00000000-0005-0000-0000-000056130000}"/>
    <cellStyle name="Normal 101 3 2 2 4" xfId="12218" xr:uid="{00000000-0005-0000-0000-000057130000}"/>
    <cellStyle name="Normal 101 3 2 2 4 2" xfId="28742" xr:uid="{00000000-0005-0000-0000-000058130000}"/>
    <cellStyle name="Normal 101 3 2 2 5" xfId="20699" xr:uid="{00000000-0005-0000-0000-000059130000}"/>
    <cellStyle name="Normal 101 3 2 3" xfId="2517" xr:uid="{00000000-0005-0000-0000-00005A130000}"/>
    <cellStyle name="Normal 101 3 2 3 2" xfId="6784" xr:uid="{00000000-0005-0000-0000-00005B130000}"/>
    <cellStyle name="Normal 101 3 2 3 2 2" xfId="16148" xr:uid="{00000000-0005-0000-0000-00005C130000}"/>
    <cellStyle name="Normal 101 3 2 3 2 2 2" xfId="32722" xr:uid="{00000000-0005-0000-0000-00005D130000}"/>
    <cellStyle name="Normal 101 3 2 3 2 3" xfId="24675" xr:uid="{00000000-0005-0000-0000-00005E130000}"/>
    <cellStyle name="Normal 101 3 2 3 3" xfId="12220" xr:uid="{00000000-0005-0000-0000-00005F130000}"/>
    <cellStyle name="Normal 101 3 2 3 3 2" xfId="28744" xr:uid="{00000000-0005-0000-0000-000060130000}"/>
    <cellStyle name="Normal 101 3 2 3 4" xfId="20701" xr:uid="{00000000-0005-0000-0000-000061130000}"/>
    <cellStyle name="Normal 101 3 2 4" xfId="6785" xr:uid="{00000000-0005-0000-0000-000062130000}"/>
    <cellStyle name="Normal 101 3 2 4 2" xfId="16149" xr:uid="{00000000-0005-0000-0000-000063130000}"/>
    <cellStyle name="Normal 101 3 2 4 2 2" xfId="32723" xr:uid="{00000000-0005-0000-0000-000064130000}"/>
    <cellStyle name="Normal 101 3 2 4 3" xfId="24676" xr:uid="{00000000-0005-0000-0000-000065130000}"/>
    <cellStyle name="Normal 101 3 2 5" xfId="12217" xr:uid="{00000000-0005-0000-0000-000066130000}"/>
    <cellStyle name="Normal 101 3 2 5 2" xfId="28741" xr:uid="{00000000-0005-0000-0000-000067130000}"/>
    <cellStyle name="Normal 101 3 2 6" xfId="20698" xr:uid="{00000000-0005-0000-0000-000068130000}"/>
    <cellStyle name="Normal 101 3 3" xfId="2518" xr:uid="{00000000-0005-0000-0000-000069130000}"/>
    <cellStyle name="Normal 101 3 3 2" xfId="2519" xr:uid="{00000000-0005-0000-0000-00006A130000}"/>
    <cellStyle name="Normal 101 3 3 2 2" xfId="6786" xr:uid="{00000000-0005-0000-0000-00006B130000}"/>
    <cellStyle name="Normal 101 3 3 2 2 2" xfId="16150" xr:uid="{00000000-0005-0000-0000-00006C130000}"/>
    <cellStyle name="Normal 101 3 3 2 2 2 2" xfId="32724" xr:uid="{00000000-0005-0000-0000-00006D130000}"/>
    <cellStyle name="Normal 101 3 3 2 2 3" xfId="24677" xr:uid="{00000000-0005-0000-0000-00006E130000}"/>
    <cellStyle name="Normal 101 3 3 2 3" xfId="12222" xr:uid="{00000000-0005-0000-0000-00006F130000}"/>
    <cellStyle name="Normal 101 3 3 2 3 2" xfId="28746" xr:uid="{00000000-0005-0000-0000-000070130000}"/>
    <cellStyle name="Normal 101 3 3 2 4" xfId="20703" xr:uid="{00000000-0005-0000-0000-000071130000}"/>
    <cellStyle name="Normal 101 3 3 3" xfId="6787" xr:uid="{00000000-0005-0000-0000-000072130000}"/>
    <cellStyle name="Normal 101 3 3 3 2" xfId="16151" xr:uid="{00000000-0005-0000-0000-000073130000}"/>
    <cellStyle name="Normal 101 3 3 3 2 2" xfId="32725" xr:uid="{00000000-0005-0000-0000-000074130000}"/>
    <cellStyle name="Normal 101 3 3 3 3" xfId="24678" xr:uid="{00000000-0005-0000-0000-000075130000}"/>
    <cellStyle name="Normal 101 3 3 4" xfId="12221" xr:uid="{00000000-0005-0000-0000-000076130000}"/>
    <cellStyle name="Normal 101 3 3 4 2" xfId="28745" xr:uid="{00000000-0005-0000-0000-000077130000}"/>
    <cellStyle name="Normal 101 3 3 5" xfId="20702" xr:uid="{00000000-0005-0000-0000-000078130000}"/>
    <cellStyle name="Normal 101 3 4" xfId="2520" xr:uid="{00000000-0005-0000-0000-000079130000}"/>
    <cellStyle name="Normal 101 3 4 2" xfId="6788" xr:uid="{00000000-0005-0000-0000-00007A130000}"/>
    <cellStyle name="Normal 101 3 4 2 2" xfId="16152" xr:uid="{00000000-0005-0000-0000-00007B130000}"/>
    <cellStyle name="Normal 101 3 4 2 2 2" xfId="32726" xr:uid="{00000000-0005-0000-0000-00007C130000}"/>
    <cellStyle name="Normal 101 3 4 2 3" xfId="24679" xr:uid="{00000000-0005-0000-0000-00007D130000}"/>
    <cellStyle name="Normal 101 3 4 3" xfId="12223" xr:uid="{00000000-0005-0000-0000-00007E130000}"/>
    <cellStyle name="Normal 101 3 4 3 2" xfId="28747" xr:uid="{00000000-0005-0000-0000-00007F130000}"/>
    <cellStyle name="Normal 101 3 4 4" xfId="20704" xr:uid="{00000000-0005-0000-0000-000080130000}"/>
    <cellStyle name="Normal 101 3 5" xfId="2521" xr:uid="{00000000-0005-0000-0000-000081130000}"/>
    <cellStyle name="Normal 101 3 5 2" xfId="12224" xr:uid="{00000000-0005-0000-0000-000082130000}"/>
    <cellStyle name="Normal 101 3 5 2 2" xfId="28748" xr:uid="{00000000-0005-0000-0000-000083130000}"/>
    <cellStyle name="Normal 101 3 5 3" xfId="20705" xr:uid="{00000000-0005-0000-0000-000084130000}"/>
    <cellStyle name="Normal 101 4" xfId="2522" xr:uid="{00000000-0005-0000-0000-000085130000}"/>
    <cellStyle name="Normal 101 4 2" xfId="2523" xr:uid="{00000000-0005-0000-0000-000086130000}"/>
    <cellStyle name="Normal 101 4 2 2" xfId="2524" xr:uid="{00000000-0005-0000-0000-000087130000}"/>
    <cellStyle name="Normal 101 4 2 2 2" xfId="2525" xr:uid="{00000000-0005-0000-0000-000088130000}"/>
    <cellStyle name="Normal 101 4 2 2 2 2" xfId="6789" xr:uid="{00000000-0005-0000-0000-000089130000}"/>
    <cellStyle name="Normal 101 4 2 2 2 2 2" xfId="16153" xr:uid="{00000000-0005-0000-0000-00008A130000}"/>
    <cellStyle name="Normal 101 4 2 2 2 2 2 2" xfId="32727" xr:uid="{00000000-0005-0000-0000-00008B130000}"/>
    <cellStyle name="Normal 101 4 2 2 2 2 3" xfId="24680" xr:uid="{00000000-0005-0000-0000-00008C130000}"/>
    <cellStyle name="Normal 101 4 2 2 2 3" xfId="12228" xr:uid="{00000000-0005-0000-0000-00008D130000}"/>
    <cellStyle name="Normal 101 4 2 2 2 3 2" xfId="28752" xr:uid="{00000000-0005-0000-0000-00008E130000}"/>
    <cellStyle name="Normal 101 4 2 2 2 4" xfId="20709" xr:uid="{00000000-0005-0000-0000-00008F130000}"/>
    <cellStyle name="Normal 101 4 2 2 3" xfId="6790" xr:uid="{00000000-0005-0000-0000-000090130000}"/>
    <cellStyle name="Normal 101 4 2 2 3 2" xfId="16154" xr:uid="{00000000-0005-0000-0000-000091130000}"/>
    <cellStyle name="Normal 101 4 2 2 3 2 2" xfId="32728" xr:uid="{00000000-0005-0000-0000-000092130000}"/>
    <cellStyle name="Normal 101 4 2 2 3 3" xfId="24681" xr:uid="{00000000-0005-0000-0000-000093130000}"/>
    <cellStyle name="Normal 101 4 2 2 4" xfId="12227" xr:uid="{00000000-0005-0000-0000-000094130000}"/>
    <cellStyle name="Normal 101 4 2 2 4 2" xfId="28751" xr:uid="{00000000-0005-0000-0000-000095130000}"/>
    <cellStyle name="Normal 101 4 2 2 5" xfId="20708" xr:uid="{00000000-0005-0000-0000-000096130000}"/>
    <cellStyle name="Normal 101 4 2 3" xfId="2526" xr:uid="{00000000-0005-0000-0000-000097130000}"/>
    <cellStyle name="Normal 101 4 2 3 2" xfId="6791" xr:uid="{00000000-0005-0000-0000-000098130000}"/>
    <cellStyle name="Normal 101 4 2 3 2 2" xfId="16155" xr:uid="{00000000-0005-0000-0000-000099130000}"/>
    <cellStyle name="Normal 101 4 2 3 2 2 2" xfId="32729" xr:uid="{00000000-0005-0000-0000-00009A130000}"/>
    <cellStyle name="Normal 101 4 2 3 2 3" xfId="24682" xr:uid="{00000000-0005-0000-0000-00009B130000}"/>
    <cellStyle name="Normal 101 4 2 3 3" xfId="12229" xr:uid="{00000000-0005-0000-0000-00009C130000}"/>
    <cellStyle name="Normal 101 4 2 3 3 2" xfId="28753" xr:uid="{00000000-0005-0000-0000-00009D130000}"/>
    <cellStyle name="Normal 101 4 2 3 4" xfId="20710" xr:uid="{00000000-0005-0000-0000-00009E130000}"/>
    <cellStyle name="Normal 101 4 2 4" xfId="6792" xr:uid="{00000000-0005-0000-0000-00009F130000}"/>
    <cellStyle name="Normal 101 4 2 4 2" xfId="16156" xr:uid="{00000000-0005-0000-0000-0000A0130000}"/>
    <cellStyle name="Normal 101 4 2 4 2 2" xfId="32730" xr:uid="{00000000-0005-0000-0000-0000A1130000}"/>
    <cellStyle name="Normal 101 4 2 4 3" xfId="24683" xr:uid="{00000000-0005-0000-0000-0000A2130000}"/>
    <cellStyle name="Normal 101 4 2 5" xfId="12226" xr:uid="{00000000-0005-0000-0000-0000A3130000}"/>
    <cellStyle name="Normal 101 4 2 5 2" xfId="28750" xr:uid="{00000000-0005-0000-0000-0000A4130000}"/>
    <cellStyle name="Normal 101 4 2 6" xfId="20707" xr:uid="{00000000-0005-0000-0000-0000A5130000}"/>
    <cellStyle name="Normal 101 4 3" xfId="2527" xr:uid="{00000000-0005-0000-0000-0000A6130000}"/>
    <cellStyle name="Normal 101 4 3 2" xfId="2528" xr:uid="{00000000-0005-0000-0000-0000A7130000}"/>
    <cellStyle name="Normal 101 4 3 2 2" xfId="6793" xr:uid="{00000000-0005-0000-0000-0000A8130000}"/>
    <cellStyle name="Normal 101 4 3 2 2 2" xfId="16157" xr:uid="{00000000-0005-0000-0000-0000A9130000}"/>
    <cellStyle name="Normal 101 4 3 2 2 2 2" xfId="32731" xr:uid="{00000000-0005-0000-0000-0000AA130000}"/>
    <cellStyle name="Normal 101 4 3 2 2 3" xfId="24684" xr:uid="{00000000-0005-0000-0000-0000AB130000}"/>
    <cellStyle name="Normal 101 4 3 2 3" xfId="12231" xr:uid="{00000000-0005-0000-0000-0000AC130000}"/>
    <cellStyle name="Normal 101 4 3 2 3 2" xfId="28755" xr:uid="{00000000-0005-0000-0000-0000AD130000}"/>
    <cellStyle name="Normal 101 4 3 2 4" xfId="20712" xr:uid="{00000000-0005-0000-0000-0000AE130000}"/>
    <cellStyle name="Normal 101 4 3 3" xfId="6794" xr:uid="{00000000-0005-0000-0000-0000AF130000}"/>
    <cellStyle name="Normal 101 4 3 3 2" xfId="16158" xr:uid="{00000000-0005-0000-0000-0000B0130000}"/>
    <cellStyle name="Normal 101 4 3 3 2 2" xfId="32732" xr:uid="{00000000-0005-0000-0000-0000B1130000}"/>
    <cellStyle name="Normal 101 4 3 3 3" xfId="24685" xr:uid="{00000000-0005-0000-0000-0000B2130000}"/>
    <cellStyle name="Normal 101 4 3 4" xfId="12230" xr:uid="{00000000-0005-0000-0000-0000B3130000}"/>
    <cellStyle name="Normal 101 4 3 4 2" xfId="28754" xr:uid="{00000000-0005-0000-0000-0000B4130000}"/>
    <cellStyle name="Normal 101 4 3 5" xfId="20711" xr:uid="{00000000-0005-0000-0000-0000B5130000}"/>
    <cellStyle name="Normal 101 4 4" xfId="2529" xr:uid="{00000000-0005-0000-0000-0000B6130000}"/>
    <cellStyle name="Normal 101 4 4 2" xfId="6795" xr:uid="{00000000-0005-0000-0000-0000B7130000}"/>
    <cellStyle name="Normal 101 4 4 2 2" xfId="16159" xr:uid="{00000000-0005-0000-0000-0000B8130000}"/>
    <cellStyle name="Normal 101 4 4 2 2 2" xfId="32733" xr:uid="{00000000-0005-0000-0000-0000B9130000}"/>
    <cellStyle name="Normal 101 4 4 2 3" xfId="24686" xr:uid="{00000000-0005-0000-0000-0000BA130000}"/>
    <cellStyle name="Normal 101 4 4 3" xfId="12232" xr:uid="{00000000-0005-0000-0000-0000BB130000}"/>
    <cellStyle name="Normal 101 4 4 3 2" xfId="28756" xr:uid="{00000000-0005-0000-0000-0000BC130000}"/>
    <cellStyle name="Normal 101 4 4 4" xfId="20713" xr:uid="{00000000-0005-0000-0000-0000BD130000}"/>
    <cellStyle name="Normal 101 4 5" xfId="6796" xr:uid="{00000000-0005-0000-0000-0000BE130000}"/>
    <cellStyle name="Normal 101 4 5 2" xfId="16160" xr:uid="{00000000-0005-0000-0000-0000BF130000}"/>
    <cellStyle name="Normal 101 4 5 2 2" xfId="32734" xr:uid="{00000000-0005-0000-0000-0000C0130000}"/>
    <cellStyle name="Normal 101 4 5 3" xfId="24687" xr:uid="{00000000-0005-0000-0000-0000C1130000}"/>
    <cellStyle name="Normal 101 4 6" xfId="12225" xr:uid="{00000000-0005-0000-0000-0000C2130000}"/>
    <cellStyle name="Normal 101 4 6 2" xfId="28749" xr:uid="{00000000-0005-0000-0000-0000C3130000}"/>
    <cellStyle name="Normal 101 4 7" xfId="20706" xr:uid="{00000000-0005-0000-0000-0000C4130000}"/>
    <cellStyle name="Normal 101 5" xfId="2530" xr:uid="{00000000-0005-0000-0000-0000C5130000}"/>
    <cellStyle name="Normal 101 5 2" xfId="2531" xr:uid="{00000000-0005-0000-0000-0000C6130000}"/>
    <cellStyle name="Normal 101 5 2 2" xfId="2532" xr:uid="{00000000-0005-0000-0000-0000C7130000}"/>
    <cellStyle name="Normal 101 5 2 2 2" xfId="2533" xr:uid="{00000000-0005-0000-0000-0000C8130000}"/>
    <cellStyle name="Normal 101 5 2 2 2 2" xfId="6797" xr:uid="{00000000-0005-0000-0000-0000C9130000}"/>
    <cellStyle name="Normal 101 5 2 2 2 2 2" xfId="16161" xr:uid="{00000000-0005-0000-0000-0000CA130000}"/>
    <cellStyle name="Normal 101 5 2 2 2 2 2 2" xfId="32735" xr:uid="{00000000-0005-0000-0000-0000CB130000}"/>
    <cellStyle name="Normal 101 5 2 2 2 2 3" xfId="24688" xr:uid="{00000000-0005-0000-0000-0000CC130000}"/>
    <cellStyle name="Normal 101 5 2 2 2 3" xfId="12236" xr:uid="{00000000-0005-0000-0000-0000CD130000}"/>
    <cellStyle name="Normal 101 5 2 2 2 3 2" xfId="28760" xr:uid="{00000000-0005-0000-0000-0000CE130000}"/>
    <cellStyle name="Normal 101 5 2 2 2 4" xfId="20717" xr:uid="{00000000-0005-0000-0000-0000CF130000}"/>
    <cellStyle name="Normal 101 5 2 2 3" xfId="6798" xr:uid="{00000000-0005-0000-0000-0000D0130000}"/>
    <cellStyle name="Normal 101 5 2 2 3 2" xfId="16162" xr:uid="{00000000-0005-0000-0000-0000D1130000}"/>
    <cellStyle name="Normal 101 5 2 2 3 2 2" xfId="32736" xr:uid="{00000000-0005-0000-0000-0000D2130000}"/>
    <cellStyle name="Normal 101 5 2 2 3 3" xfId="24689" xr:uid="{00000000-0005-0000-0000-0000D3130000}"/>
    <cellStyle name="Normal 101 5 2 2 4" xfId="12235" xr:uid="{00000000-0005-0000-0000-0000D4130000}"/>
    <cellStyle name="Normal 101 5 2 2 4 2" xfId="28759" xr:uid="{00000000-0005-0000-0000-0000D5130000}"/>
    <cellStyle name="Normal 101 5 2 2 5" xfId="20716" xr:uid="{00000000-0005-0000-0000-0000D6130000}"/>
    <cellStyle name="Normal 101 5 2 3" xfId="2534" xr:uid="{00000000-0005-0000-0000-0000D7130000}"/>
    <cellStyle name="Normal 101 5 2 3 2" xfId="6799" xr:uid="{00000000-0005-0000-0000-0000D8130000}"/>
    <cellStyle name="Normal 101 5 2 3 2 2" xfId="16163" xr:uid="{00000000-0005-0000-0000-0000D9130000}"/>
    <cellStyle name="Normal 101 5 2 3 2 2 2" xfId="32737" xr:uid="{00000000-0005-0000-0000-0000DA130000}"/>
    <cellStyle name="Normal 101 5 2 3 2 3" xfId="24690" xr:uid="{00000000-0005-0000-0000-0000DB130000}"/>
    <cellStyle name="Normal 101 5 2 3 3" xfId="12237" xr:uid="{00000000-0005-0000-0000-0000DC130000}"/>
    <cellStyle name="Normal 101 5 2 3 3 2" xfId="28761" xr:uid="{00000000-0005-0000-0000-0000DD130000}"/>
    <cellStyle name="Normal 101 5 2 3 4" xfId="20718" xr:uid="{00000000-0005-0000-0000-0000DE130000}"/>
    <cellStyle name="Normal 101 5 2 4" xfId="6800" xr:uid="{00000000-0005-0000-0000-0000DF130000}"/>
    <cellStyle name="Normal 101 5 2 4 2" xfId="16164" xr:uid="{00000000-0005-0000-0000-0000E0130000}"/>
    <cellStyle name="Normal 101 5 2 4 2 2" xfId="32738" xr:uid="{00000000-0005-0000-0000-0000E1130000}"/>
    <cellStyle name="Normal 101 5 2 4 3" xfId="24691" xr:uid="{00000000-0005-0000-0000-0000E2130000}"/>
    <cellStyle name="Normal 101 5 2 5" xfId="12234" xr:uid="{00000000-0005-0000-0000-0000E3130000}"/>
    <cellStyle name="Normal 101 5 2 5 2" xfId="28758" xr:uid="{00000000-0005-0000-0000-0000E4130000}"/>
    <cellStyle name="Normal 101 5 2 6" xfId="20715" xr:uid="{00000000-0005-0000-0000-0000E5130000}"/>
    <cellStyle name="Normal 101 5 3" xfId="2535" xr:uid="{00000000-0005-0000-0000-0000E6130000}"/>
    <cellStyle name="Normal 101 5 3 2" xfId="2536" xr:uid="{00000000-0005-0000-0000-0000E7130000}"/>
    <cellStyle name="Normal 101 5 3 2 2" xfId="6801" xr:uid="{00000000-0005-0000-0000-0000E8130000}"/>
    <cellStyle name="Normal 101 5 3 2 2 2" xfId="16165" xr:uid="{00000000-0005-0000-0000-0000E9130000}"/>
    <cellStyle name="Normal 101 5 3 2 2 2 2" xfId="32739" xr:uid="{00000000-0005-0000-0000-0000EA130000}"/>
    <cellStyle name="Normal 101 5 3 2 2 3" xfId="24692" xr:uid="{00000000-0005-0000-0000-0000EB130000}"/>
    <cellStyle name="Normal 101 5 3 2 3" xfId="12239" xr:uid="{00000000-0005-0000-0000-0000EC130000}"/>
    <cellStyle name="Normal 101 5 3 2 3 2" xfId="28763" xr:uid="{00000000-0005-0000-0000-0000ED130000}"/>
    <cellStyle name="Normal 101 5 3 2 4" xfId="20720" xr:uid="{00000000-0005-0000-0000-0000EE130000}"/>
    <cellStyle name="Normal 101 5 3 3" xfId="6802" xr:uid="{00000000-0005-0000-0000-0000EF130000}"/>
    <cellStyle name="Normal 101 5 3 3 2" xfId="16166" xr:uid="{00000000-0005-0000-0000-0000F0130000}"/>
    <cellStyle name="Normal 101 5 3 3 2 2" xfId="32740" xr:uid="{00000000-0005-0000-0000-0000F1130000}"/>
    <cellStyle name="Normal 101 5 3 3 3" xfId="24693" xr:uid="{00000000-0005-0000-0000-0000F2130000}"/>
    <cellStyle name="Normal 101 5 3 4" xfId="12238" xr:uid="{00000000-0005-0000-0000-0000F3130000}"/>
    <cellStyle name="Normal 101 5 3 4 2" xfId="28762" xr:uid="{00000000-0005-0000-0000-0000F4130000}"/>
    <cellStyle name="Normal 101 5 3 5" xfId="20719" xr:uid="{00000000-0005-0000-0000-0000F5130000}"/>
    <cellStyle name="Normal 101 5 4" xfId="2537" xr:uid="{00000000-0005-0000-0000-0000F6130000}"/>
    <cellStyle name="Normal 101 5 4 2" xfId="6803" xr:uid="{00000000-0005-0000-0000-0000F7130000}"/>
    <cellStyle name="Normal 101 5 4 2 2" xfId="16167" xr:uid="{00000000-0005-0000-0000-0000F8130000}"/>
    <cellStyle name="Normal 101 5 4 2 2 2" xfId="32741" xr:uid="{00000000-0005-0000-0000-0000F9130000}"/>
    <cellStyle name="Normal 101 5 4 2 3" xfId="24694" xr:uid="{00000000-0005-0000-0000-0000FA130000}"/>
    <cellStyle name="Normal 101 5 4 3" xfId="12240" xr:uid="{00000000-0005-0000-0000-0000FB130000}"/>
    <cellStyle name="Normal 101 5 4 3 2" xfId="28764" xr:uid="{00000000-0005-0000-0000-0000FC130000}"/>
    <cellStyle name="Normal 101 5 4 4" xfId="20721" xr:uid="{00000000-0005-0000-0000-0000FD130000}"/>
    <cellStyle name="Normal 101 5 5" xfId="6804" xr:uid="{00000000-0005-0000-0000-0000FE130000}"/>
    <cellStyle name="Normal 101 5 5 2" xfId="16168" xr:uid="{00000000-0005-0000-0000-0000FF130000}"/>
    <cellStyle name="Normal 101 5 5 2 2" xfId="32742" xr:uid="{00000000-0005-0000-0000-000000140000}"/>
    <cellStyle name="Normal 101 5 5 3" xfId="24695" xr:uid="{00000000-0005-0000-0000-000001140000}"/>
    <cellStyle name="Normal 101 5 6" xfId="12233" xr:uid="{00000000-0005-0000-0000-000002140000}"/>
    <cellStyle name="Normal 101 5 6 2" xfId="28757" xr:uid="{00000000-0005-0000-0000-000003140000}"/>
    <cellStyle name="Normal 101 5 7" xfId="20714" xr:uid="{00000000-0005-0000-0000-000004140000}"/>
    <cellStyle name="Normal 101 6" xfId="2538" xr:uid="{00000000-0005-0000-0000-000005140000}"/>
    <cellStyle name="Normal 101 6 2" xfId="2539" xr:uid="{00000000-0005-0000-0000-000006140000}"/>
    <cellStyle name="Normal 101 6 2 2" xfId="2540" xr:uid="{00000000-0005-0000-0000-000007140000}"/>
    <cellStyle name="Normal 101 6 2 2 2" xfId="6805" xr:uid="{00000000-0005-0000-0000-000008140000}"/>
    <cellStyle name="Normal 101 6 2 2 2 2" xfId="16169" xr:uid="{00000000-0005-0000-0000-000009140000}"/>
    <cellStyle name="Normal 101 6 2 2 2 2 2" xfId="32743" xr:uid="{00000000-0005-0000-0000-00000A140000}"/>
    <cellStyle name="Normal 101 6 2 2 2 3" xfId="24696" xr:uid="{00000000-0005-0000-0000-00000B140000}"/>
    <cellStyle name="Normal 101 6 2 2 3" xfId="12243" xr:uid="{00000000-0005-0000-0000-00000C140000}"/>
    <cellStyle name="Normal 101 6 2 2 3 2" xfId="28767" xr:uid="{00000000-0005-0000-0000-00000D140000}"/>
    <cellStyle name="Normal 101 6 2 2 4" xfId="20724" xr:uid="{00000000-0005-0000-0000-00000E140000}"/>
    <cellStyle name="Normal 101 6 2 3" xfId="6806" xr:uid="{00000000-0005-0000-0000-00000F140000}"/>
    <cellStyle name="Normal 101 6 2 3 2" xfId="16170" xr:uid="{00000000-0005-0000-0000-000010140000}"/>
    <cellStyle name="Normal 101 6 2 3 2 2" xfId="32744" xr:uid="{00000000-0005-0000-0000-000011140000}"/>
    <cellStyle name="Normal 101 6 2 3 3" xfId="24697" xr:uid="{00000000-0005-0000-0000-000012140000}"/>
    <cellStyle name="Normal 101 6 2 4" xfId="12242" xr:uid="{00000000-0005-0000-0000-000013140000}"/>
    <cellStyle name="Normal 101 6 2 4 2" xfId="28766" xr:uid="{00000000-0005-0000-0000-000014140000}"/>
    <cellStyle name="Normal 101 6 2 5" xfId="20723" xr:uid="{00000000-0005-0000-0000-000015140000}"/>
    <cellStyle name="Normal 101 6 3" xfId="2541" xr:uid="{00000000-0005-0000-0000-000016140000}"/>
    <cellStyle name="Normal 101 6 3 2" xfId="6807" xr:uid="{00000000-0005-0000-0000-000017140000}"/>
    <cellStyle name="Normal 101 6 3 2 2" xfId="16171" xr:uid="{00000000-0005-0000-0000-000018140000}"/>
    <cellStyle name="Normal 101 6 3 2 2 2" xfId="32745" xr:uid="{00000000-0005-0000-0000-000019140000}"/>
    <cellStyle name="Normal 101 6 3 2 3" xfId="24698" xr:uid="{00000000-0005-0000-0000-00001A140000}"/>
    <cellStyle name="Normal 101 6 3 3" xfId="12244" xr:uid="{00000000-0005-0000-0000-00001B140000}"/>
    <cellStyle name="Normal 101 6 3 3 2" xfId="28768" xr:uid="{00000000-0005-0000-0000-00001C140000}"/>
    <cellStyle name="Normal 101 6 3 4" xfId="20725" xr:uid="{00000000-0005-0000-0000-00001D140000}"/>
    <cellStyle name="Normal 101 6 4" xfId="6808" xr:uid="{00000000-0005-0000-0000-00001E140000}"/>
    <cellStyle name="Normal 101 6 4 2" xfId="16172" xr:uid="{00000000-0005-0000-0000-00001F140000}"/>
    <cellStyle name="Normal 101 6 4 2 2" xfId="32746" xr:uid="{00000000-0005-0000-0000-000020140000}"/>
    <cellStyle name="Normal 101 6 4 3" xfId="24699" xr:uid="{00000000-0005-0000-0000-000021140000}"/>
    <cellStyle name="Normal 101 6 5" xfId="12241" xr:uid="{00000000-0005-0000-0000-000022140000}"/>
    <cellStyle name="Normal 101 6 5 2" xfId="28765" xr:uid="{00000000-0005-0000-0000-000023140000}"/>
    <cellStyle name="Normal 101 6 6" xfId="20722" xr:uid="{00000000-0005-0000-0000-000024140000}"/>
    <cellStyle name="Normal 101 7" xfId="2542" xr:uid="{00000000-0005-0000-0000-000025140000}"/>
    <cellStyle name="Normal 101 7 2" xfId="2543" xr:uid="{00000000-0005-0000-0000-000026140000}"/>
    <cellStyle name="Normal 101 7 2 2" xfId="6809" xr:uid="{00000000-0005-0000-0000-000027140000}"/>
    <cellStyle name="Normal 101 7 2 2 2" xfId="16173" xr:uid="{00000000-0005-0000-0000-000028140000}"/>
    <cellStyle name="Normal 101 7 2 2 2 2" xfId="32747" xr:uid="{00000000-0005-0000-0000-000029140000}"/>
    <cellStyle name="Normal 101 7 2 2 3" xfId="24700" xr:uid="{00000000-0005-0000-0000-00002A140000}"/>
    <cellStyle name="Normal 101 7 2 3" xfId="12246" xr:uid="{00000000-0005-0000-0000-00002B140000}"/>
    <cellStyle name="Normal 101 7 2 3 2" xfId="28770" xr:uid="{00000000-0005-0000-0000-00002C140000}"/>
    <cellStyle name="Normal 101 7 2 4" xfId="20727" xr:uid="{00000000-0005-0000-0000-00002D140000}"/>
    <cellStyle name="Normal 101 7 3" xfId="6810" xr:uid="{00000000-0005-0000-0000-00002E140000}"/>
    <cellStyle name="Normal 101 7 3 2" xfId="16174" xr:uid="{00000000-0005-0000-0000-00002F140000}"/>
    <cellStyle name="Normal 101 7 3 2 2" xfId="32748" xr:uid="{00000000-0005-0000-0000-000030140000}"/>
    <cellStyle name="Normal 101 7 3 3" xfId="24701" xr:uid="{00000000-0005-0000-0000-000031140000}"/>
    <cellStyle name="Normal 101 7 4" xfId="12245" xr:uid="{00000000-0005-0000-0000-000032140000}"/>
    <cellStyle name="Normal 101 7 4 2" xfId="28769" xr:uid="{00000000-0005-0000-0000-000033140000}"/>
    <cellStyle name="Normal 101 7 5" xfId="20726" xr:uid="{00000000-0005-0000-0000-000034140000}"/>
    <cellStyle name="Normal 101 8" xfId="2544" xr:uid="{00000000-0005-0000-0000-000035140000}"/>
    <cellStyle name="Normal 101 8 2" xfId="6811" xr:uid="{00000000-0005-0000-0000-000036140000}"/>
    <cellStyle name="Normal 101 8 2 2" xfId="16175" xr:uid="{00000000-0005-0000-0000-000037140000}"/>
    <cellStyle name="Normal 101 8 2 2 2" xfId="32749" xr:uid="{00000000-0005-0000-0000-000038140000}"/>
    <cellStyle name="Normal 101 8 2 3" xfId="24702" xr:uid="{00000000-0005-0000-0000-000039140000}"/>
    <cellStyle name="Normal 101 8 3" xfId="12247" xr:uid="{00000000-0005-0000-0000-00003A140000}"/>
    <cellStyle name="Normal 101 8 3 2" xfId="28771" xr:uid="{00000000-0005-0000-0000-00003B140000}"/>
    <cellStyle name="Normal 101 8 4" xfId="20728" xr:uid="{00000000-0005-0000-0000-00003C140000}"/>
    <cellStyle name="Normal 101 9" xfId="6812" xr:uid="{00000000-0005-0000-0000-00003D140000}"/>
    <cellStyle name="Normal 101 9 2" xfId="16176" xr:uid="{00000000-0005-0000-0000-00003E140000}"/>
    <cellStyle name="Normal 101 9 2 2" xfId="32750" xr:uid="{00000000-0005-0000-0000-00003F140000}"/>
    <cellStyle name="Normal 101 9 3" xfId="24703" xr:uid="{00000000-0005-0000-0000-000040140000}"/>
    <cellStyle name="Normal 102" xfId="2545" xr:uid="{00000000-0005-0000-0000-000041140000}"/>
    <cellStyle name="Normal 102 10" xfId="12248" xr:uid="{00000000-0005-0000-0000-000042140000}"/>
    <cellStyle name="Normal 102 10 2" xfId="28772" xr:uid="{00000000-0005-0000-0000-000043140000}"/>
    <cellStyle name="Normal 102 11" xfId="20729" xr:uid="{00000000-0005-0000-0000-000044140000}"/>
    <cellStyle name="Normal 102 2" xfId="2546" xr:uid="{00000000-0005-0000-0000-000045140000}"/>
    <cellStyle name="Normal 102 2 2" xfId="2547" xr:uid="{00000000-0005-0000-0000-000046140000}"/>
    <cellStyle name="Normal 102 2 3" xfId="12249" xr:uid="{00000000-0005-0000-0000-000047140000}"/>
    <cellStyle name="Normal 102 2 3 2" xfId="28773" xr:uid="{00000000-0005-0000-0000-000048140000}"/>
    <cellStyle name="Normal 102 2 4" xfId="20730" xr:uid="{00000000-0005-0000-0000-000049140000}"/>
    <cellStyle name="Normal 102 3" xfId="2548" xr:uid="{00000000-0005-0000-0000-00004A140000}"/>
    <cellStyle name="Normal 102 3 2" xfId="2549" xr:uid="{00000000-0005-0000-0000-00004B140000}"/>
    <cellStyle name="Normal 102 3 2 2" xfId="2550" xr:uid="{00000000-0005-0000-0000-00004C140000}"/>
    <cellStyle name="Normal 102 3 2 2 2" xfId="2551" xr:uid="{00000000-0005-0000-0000-00004D140000}"/>
    <cellStyle name="Normal 102 3 2 2 2 2" xfId="6813" xr:uid="{00000000-0005-0000-0000-00004E140000}"/>
    <cellStyle name="Normal 102 3 2 2 2 2 2" xfId="16177" xr:uid="{00000000-0005-0000-0000-00004F140000}"/>
    <cellStyle name="Normal 102 3 2 2 2 2 2 2" xfId="32751" xr:uid="{00000000-0005-0000-0000-000050140000}"/>
    <cellStyle name="Normal 102 3 2 2 2 2 3" xfId="24704" xr:uid="{00000000-0005-0000-0000-000051140000}"/>
    <cellStyle name="Normal 102 3 2 2 2 3" xfId="12252" xr:uid="{00000000-0005-0000-0000-000052140000}"/>
    <cellStyle name="Normal 102 3 2 2 2 3 2" xfId="28776" xr:uid="{00000000-0005-0000-0000-000053140000}"/>
    <cellStyle name="Normal 102 3 2 2 2 4" xfId="20733" xr:uid="{00000000-0005-0000-0000-000054140000}"/>
    <cellStyle name="Normal 102 3 2 2 3" xfId="6814" xr:uid="{00000000-0005-0000-0000-000055140000}"/>
    <cellStyle name="Normal 102 3 2 2 3 2" xfId="16178" xr:uid="{00000000-0005-0000-0000-000056140000}"/>
    <cellStyle name="Normal 102 3 2 2 3 2 2" xfId="32752" xr:uid="{00000000-0005-0000-0000-000057140000}"/>
    <cellStyle name="Normal 102 3 2 2 3 3" xfId="24705" xr:uid="{00000000-0005-0000-0000-000058140000}"/>
    <cellStyle name="Normal 102 3 2 2 4" xfId="12251" xr:uid="{00000000-0005-0000-0000-000059140000}"/>
    <cellStyle name="Normal 102 3 2 2 4 2" xfId="28775" xr:uid="{00000000-0005-0000-0000-00005A140000}"/>
    <cellStyle name="Normal 102 3 2 2 5" xfId="20732" xr:uid="{00000000-0005-0000-0000-00005B140000}"/>
    <cellStyle name="Normal 102 3 2 3" xfId="2552" xr:uid="{00000000-0005-0000-0000-00005C140000}"/>
    <cellStyle name="Normal 102 3 2 3 2" xfId="6815" xr:uid="{00000000-0005-0000-0000-00005D140000}"/>
    <cellStyle name="Normal 102 3 2 3 2 2" xfId="16179" xr:uid="{00000000-0005-0000-0000-00005E140000}"/>
    <cellStyle name="Normal 102 3 2 3 2 2 2" xfId="32753" xr:uid="{00000000-0005-0000-0000-00005F140000}"/>
    <cellStyle name="Normal 102 3 2 3 2 3" xfId="24706" xr:uid="{00000000-0005-0000-0000-000060140000}"/>
    <cellStyle name="Normal 102 3 2 3 3" xfId="12253" xr:uid="{00000000-0005-0000-0000-000061140000}"/>
    <cellStyle name="Normal 102 3 2 3 3 2" xfId="28777" xr:uid="{00000000-0005-0000-0000-000062140000}"/>
    <cellStyle name="Normal 102 3 2 3 4" xfId="20734" xr:uid="{00000000-0005-0000-0000-000063140000}"/>
    <cellStyle name="Normal 102 3 2 4" xfId="6816" xr:uid="{00000000-0005-0000-0000-000064140000}"/>
    <cellStyle name="Normal 102 3 2 4 2" xfId="16180" xr:uid="{00000000-0005-0000-0000-000065140000}"/>
    <cellStyle name="Normal 102 3 2 4 2 2" xfId="32754" xr:uid="{00000000-0005-0000-0000-000066140000}"/>
    <cellStyle name="Normal 102 3 2 4 3" xfId="24707" xr:uid="{00000000-0005-0000-0000-000067140000}"/>
    <cellStyle name="Normal 102 3 2 5" xfId="12250" xr:uid="{00000000-0005-0000-0000-000068140000}"/>
    <cellStyle name="Normal 102 3 2 5 2" xfId="28774" xr:uid="{00000000-0005-0000-0000-000069140000}"/>
    <cellStyle name="Normal 102 3 2 6" xfId="20731" xr:uid="{00000000-0005-0000-0000-00006A140000}"/>
    <cellStyle name="Normal 102 3 3" xfId="2553" xr:uid="{00000000-0005-0000-0000-00006B140000}"/>
    <cellStyle name="Normal 102 3 3 2" xfId="2554" xr:uid="{00000000-0005-0000-0000-00006C140000}"/>
    <cellStyle name="Normal 102 3 3 2 2" xfId="6817" xr:uid="{00000000-0005-0000-0000-00006D140000}"/>
    <cellStyle name="Normal 102 3 3 2 2 2" xfId="16181" xr:uid="{00000000-0005-0000-0000-00006E140000}"/>
    <cellStyle name="Normal 102 3 3 2 2 2 2" xfId="32755" xr:uid="{00000000-0005-0000-0000-00006F140000}"/>
    <cellStyle name="Normal 102 3 3 2 2 3" xfId="24708" xr:uid="{00000000-0005-0000-0000-000070140000}"/>
    <cellStyle name="Normal 102 3 3 2 3" xfId="12255" xr:uid="{00000000-0005-0000-0000-000071140000}"/>
    <cellStyle name="Normal 102 3 3 2 3 2" xfId="28779" xr:uid="{00000000-0005-0000-0000-000072140000}"/>
    <cellStyle name="Normal 102 3 3 2 4" xfId="20736" xr:uid="{00000000-0005-0000-0000-000073140000}"/>
    <cellStyle name="Normal 102 3 3 3" xfId="6818" xr:uid="{00000000-0005-0000-0000-000074140000}"/>
    <cellStyle name="Normal 102 3 3 3 2" xfId="16182" xr:uid="{00000000-0005-0000-0000-000075140000}"/>
    <cellStyle name="Normal 102 3 3 3 2 2" xfId="32756" xr:uid="{00000000-0005-0000-0000-000076140000}"/>
    <cellStyle name="Normal 102 3 3 3 3" xfId="24709" xr:uid="{00000000-0005-0000-0000-000077140000}"/>
    <cellStyle name="Normal 102 3 3 4" xfId="12254" xr:uid="{00000000-0005-0000-0000-000078140000}"/>
    <cellStyle name="Normal 102 3 3 4 2" xfId="28778" xr:uid="{00000000-0005-0000-0000-000079140000}"/>
    <cellStyle name="Normal 102 3 3 5" xfId="20735" xr:uid="{00000000-0005-0000-0000-00007A140000}"/>
    <cellStyle name="Normal 102 3 4" xfId="2555" xr:uid="{00000000-0005-0000-0000-00007B140000}"/>
    <cellStyle name="Normal 102 3 4 2" xfId="6819" xr:uid="{00000000-0005-0000-0000-00007C140000}"/>
    <cellStyle name="Normal 102 3 4 2 2" xfId="16183" xr:uid="{00000000-0005-0000-0000-00007D140000}"/>
    <cellStyle name="Normal 102 3 4 2 2 2" xfId="32757" xr:uid="{00000000-0005-0000-0000-00007E140000}"/>
    <cellStyle name="Normal 102 3 4 2 3" xfId="24710" xr:uid="{00000000-0005-0000-0000-00007F140000}"/>
    <cellStyle name="Normal 102 3 4 3" xfId="12256" xr:uid="{00000000-0005-0000-0000-000080140000}"/>
    <cellStyle name="Normal 102 3 4 3 2" xfId="28780" xr:uid="{00000000-0005-0000-0000-000081140000}"/>
    <cellStyle name="Normal 102 3 4 4" xfId="20737" xr:uid="{00000000-0005-0000-0000-000082140000}"/>
    <cellStyle name="Normal 102 3 5" xfId="2556" xr:uid="{00000000-0005-0000-0000-000083140000}"/>
    <cellStyle name="Normal 102 3 5 2" xfId="12257" xr:uid="{00000000-0005-0000-0000-000084140000}"/>
    <cellStyle name="Normal 102 3 5 2 2" xfId="28781" xr:uid="{00000000-0005-0000-0000-000085140000}"/>
    <cellStyle name="Normal 102 3 5 3" xfId="20738" xr:uid="{00000000-0005-0000-0000-000086140000}"/>
    <cellStyle name="Normal 102 4" xfId="2557" xr:uid="{00000000-0005-0000-0000-000087140000}"/>
    <cellStyle name="Normal 102 4 2" xfId="2558" xr:uid="{00000000-0005-0000-0000-000088140000}"/>
    <cellStyle name="Normal 102 4 2 2" xfId="2559" xr:uid="{00000000-0005-0000-0000-000089140000}"/>
    <cellStyle name="Normal 102 4 2 2 2" xfId="2560" xr:uid="{00000000-0005-0000-0000-00008A140000}"/>
    <cellStyle name="Normal 102 4 2 2 2 2" xfId="6820" xr:uid="{00000000-0005-0000-0000-00008B140000}"/>
    <cellStyle name="Normal 102 4 2 2 2 2 2" xfId="16184" xr:uid="{00000000-0005-0000-0000-00008C140000}"/>
    <cellStyle name="Normal 102 4 2 2 2 2 2 2" xfId="32758" xr:uid="{00000000-0005-0000-0000-00008D140000}"/>
    <cellStyle name="Normal 102 4 2 2 2 2 3" xfId="24711" xr:uid="{00000000-0005-0000-0000-00008E140000}"/>
    <cellStyle name="Normal 102 4 2 2 2 3" xfId="12261" xr:uid="{00000000-0005-0000-0000-00008F140000}"/>
    <cellStyle name="Normal 102 4 2 2 2 3 2" xfId="28785" xr:uid="{00000000-0005-0000-0000-000090140000}"/>
    <cellStyle name="Normal 102 4 2 2 2 4" xfId="20742" xr:uid="{00000000-0005-0000-0000-000091140000}"/>
    <cellStyle name="Normal 102 4 2 2 3" xfId="6821" xr:uid="{00000000-0005-0000-0000-000092140000}"/>
    <cellStyle name="Normal 102 4 2 2 3 2" xfId="16185" xr:uid="{00000000-0005-0000-0000-000093140000}"/>
    <cellStyle name="Normal 102 4 2 2 3 2 2" xfId="32759" xr:uid="{00000000-0005-0000-0000-000094140000}"/>
    <cellStyle name="Normal 102 4 2 2 3 3" xfId="24712" xr:uid="{00000000-0005-0000-0000-000095140000}"/>
    <cellStyle name="Normal 102 4 2 2 4" xfId="12260" xr:uid="{00000000-0005-0000-0000-000096140000}"/>
    <cellStyle name="Normal 102 4 2 2 4 2" xfId="28784" xr:uid="{00000000-0005-0000-0000-000097140000}"/>
    <cellStyle name="Normal 102 4 2 2 5" xfId="20741" xr:uid="{00000000-0005-0000-0000-000098140000}"/>
    <cellStyle name="Normal 102 4 2 3" xfId="2561" xr:uid="{00000000-0005-0000-0000-000099140000}"/>
    <cellStyle name="Normal 102 4 2 3 2" xfId="6822" xr:uid="{00000000-0005-0000-0000-00009A140000}"/>
    <cellStyle name="Normal 102 4 2 3 2 2" xfId="16186" xr:uid="{00000000-0005-0000-0000-00009B140000}"/>
    <cellStyle name="Normal 102 4 2 3 2 2 2" xfId="32760" xr:uid="{00000000-0005-0000-0000-00009C140000}"/>
    <cellStyle name="Normal 102 4 2 3 2 3" xfId="24713" xr:uid="{00000000-0005-0000-0000-00009D140000}"/>
    <cellStyle name="Normal 102 4 2 3 3" xfId="12262" xr:uid="{00000000-0005-0000-0000-00009E140000}"/>
    <cellStyle name="Normal 102 4 2 3 3 2" xfId="28786" xr:uid="{00000000-0005-0000-0000-00009F140000}"/>
    <cellStyle name="Normal 102 4 2 3 4" xfId="20743" xr:uid="{00000000-0005-0000-0000-0000A0140000}"/>
    <cellStyle name="Normal 102 4 2 4" xfId="6823" xr:uid="{00000000-0005-0000-0000-0000A1140000}"/>
    <cellStyle name="Normal 102 4 2 4 2" xfId="16187" xr:uid="{00000000-0005-0000-0000-0000A2140000}"/>
    <cellStyle name="Normal 102 4 2 4 2 2" xfId="32761" xr:uid="{00000000-0005-0000-0000-0000A3140000}"/>
    <cellStyle name="Normal 102 4 2 4 3" xfId="24714" xr:uid="{00000000-0005-0000-0000-0000A4140000}"/>
    <cellStyle name="Normal 102 4 2 5" xfId="12259" xr:uid="{00000000-0005-0000-0000-0000A5140000}"/>
    <cellStyle name="Normal 102 4 2 5 2" xfId="28783" xr:uid="{00000000-0005-0000-0000-0000A6140000}"/>
    <cellStyle name="Normal 102 4 2 6" xfId="20740" xr:uid="{00000000-0005-0000-0000-0000A7140000}"/>
    <cellStyle name="Normal 102 4 3" xfId="2562" xr:uid="{00000000-0005-0000-0000-0000A8140000}"/>
    <cellStyle name="Normal 102 4 3 2" xfId="2563" xr:uid="{00000000-0005-0000-0000-0000A9140000}"/>
    <cellStyle name="Normal 102 4 3 2 2" xfId="6824" xr:uid="{00000000-0005-0000-0000-0000AA140000}"/>
    <cellStyle name="Normal 102 4 3 2 2 2" xfId="16188" xr:uid="{00000000-0005-0000-0000-0000AB140000}"/>
    <cellStyle name="Normal 102 4 3 2 2 2 2" xfId="32762" xr:uid="{00000000-0005-0000-0000-0000AC140000}"/>
    <cellStyle name="Normal 102 4 3 2 2 3" xfId="24715" xr:uid="{00000000-0005-0000-0000-0000AD140000}"/>
    <cellStyle name="Normal 102 4 3 2 3" xfId="12264" xr:uid="{00000000-0005-0000-0000-0000AE140000}"/>
    <cellStyle name="Normal 102 4 3 2 3 2" xfId="28788" xr:uid="{00000000-0005-0000-0000-0000AF140000}"/>
    <cellStyle name="Normal 102 4 3 2 4" xfId="20745" xr:uid="{00000000-0005-0000-0000-0000B0140000}"/>
    <cellStyle name="Normal 102 4 3 3" xfId="6825" xr:uid="{00000000-0005-0000-0000-0000B1140000}"/>
    <cellStyle name="Normal 102 4 3 3 2" xfId="16189" xr:uid="{00000000-0005-0000-0000-0000B2140000}"/>
    <cellStyle name="Normal 102 4 3 3 2 2" xfId="32763" xr:uid="{00000000-0005-0000-0000-0000B3140000}"/>
    <cellStyle name="Normal 102 4 3 3 3" xfId="24716" xr:uid="{00000000-0005-0000-0000-0000B4140000}"/>
    <cellStyle name="Normal 102 4 3 4" xfId="12263" xr:uid="{00000000-0005-0000-0000-0000B5140000}"/>
    <cellStyle name="Normal 102 4 3 4 2" xfId="28787" xr:uid="{00000000-0005-0000-0000-0000B6140000}"/>
    <cellStyle name="Normal 102 4 3 5" xfId="20744" xr:uid="{00000000-0005-0000-0000-0000B7140000}"/>
    <cellStyle name="Normal 102 4 4" xfId="2564" xr:uid="{00000000-0005-0000-0000-0000B8140000}"/>
    <cellStyle name="Normal 102 4 4 2" xfId="6826" xr:uid="{00000000-0005-0000-0000-0000B9140000}"/>
    <cellStyle name="Normal 102 4 4 2 2" xfId="16190" xr:uid="{00000000-0005-0000-0000-0000BA140000}"/>
    <cellStyle name="Normal 102 4 4 2 2 2" xfId="32764" xr:uid="{00000000-0005-0000-0000-0000BB140000}"/>
    <cellStyle name="Normal 102 4 4 2 3" xfId="24717" xr:uid="{00000000-0005-0000-0000-0000BC140000}"/>
    <cellStyle name="Normal 102 4 4 3" xfId="12265" xr:uid="{00000000-0005-0000-0000-0000BD140000}"/>
    <cellStyle name="Normal 102 4 4 3 2" xfId="28789" xr:uid="{00000000-0005-0000-0000-0000BE140000}"/>
    <cellStyle name="Normal 102 4 4 4" xfId="20746" xr:uid="{00000000-0005-0000-0000-0000BF140000}"/>
    <cellStyle name="Normal 102 4 5" xfId="6827" xr:uid="{00000000-0005-0000-0000-0000C0140000}"/>
    <cellStyle name="Normal 102 4 5 2" xfId="16191" xr:uid="{00000000-0005-0000-0000-0000C1140000}"/>
    <cellStyle name="Normal 102 4 5 2 2" xfId="32765" xr:uid="{00000000-0005-0000-0000-0000C2140000}"/>
    <cellStyle name="Normal 102 4 5 3" xfId="24718" xr:uid="{00000000-0005-0000-0000-0000C3140000}"/>
    <cellStyle name="Normal 102 4 6" xfId="12258" xr:uid="{00000000-0005-0000-0000-0000C4140000}"/>
    <cellStyle name="Normal 102 4 6 2" xfId="28782" xr:uid="{00000000-0005-0000-0000-0000C5140000}"/>
    <cellStyle name="Normal 102 4 7" xfId="20739" xr:uid="{00000000-0005-0000-0000-0000C6140000}"/>
    <cellStyle name="Normal 102 5" xfId="2565" xr:uid="{00000000-0005-0000-0000-0000C7140000}"/>
    <cellStyle name="Normal 102 5 2" xfId="2566" xr:uid="{00000000-0005-0000-0000-0000C8140000}"/>
    <cellStyle name="Normal 102 5 2 2" xfId="2567" xr:uid="{00000000-0005-0000-0000-0000C9140000}"/>
    <cellStyle name="Normal 102 5 2 2 2" xfId="2568" xr:uid="{00000000-0005-0000-0000-0000CA140000}"/>
    <cellStyle name="Normal 102 5 2 2 2 2" xfId="6828" xr:uid="{00000000-0005-0000-0000-0000CB140000}"/>
    <cellStyle name="Normal 102 5 2 2 2 2 2" xfId="16192" xr:uid="{00000000-0005-0000-0000-0000CC140000}"/>
    <cellStyle name="Normal 102 5 2 2 2 2 2 2" xfId="32766" xr:uid="{00000000-0005-0000-0000-0000CD140000}"/>
    <cellStyle name="Normal 102 5 2 2 2 2 3" xfId="24719" xr:uid="{00000000-0005-0000-0000-0000CE140000}"/>
    <cellStyle name="Normal 102 5 2 2 2 3" xfId="12269" xr:uid="{00000000-0005-0000-0000-0000CF140000}"/>
    <cellStyle name="Normal 102 5 2 2 2 3 2" xfId="28793" xr:uid="{00000000-0005-0000-0000-0000D0140000}"/>
    <cellStyle name="Normal 102 5 2 2 2 4" xfId="20750" xr:uid="{00000000-0005-0000-0000-0000D1140000}"/>
    <cellStyle name="Normal 102 5 2 2 3" xfId="6829" xr:uid="{00000000-0005-0000-0000-0000D2140000}"/>
    <cellStyle name="Normal 102 5 2 2 3 2" xfId="16193" xr:uid="{00000000-0005-0000-0000-0000D3140000}"/>
    <cellStyle name="Normal 102 5 2 2 3 2 2" xfId="32767" xr:uid="{00000000-0005-0000-0000-0000D4140000}"/>
    <cellStyle name="Normal 102 5 2 2 3 3" xfId="24720" xr:uid="{00000000-0005-0000-0000-0000D5140000}"/>
    <cellStyle name="Normal 102 5 2 2 4" xfId="12268" xr:uid="{00000000-0005-0000-0000-0000D6140000}"/>
    <cellStyle name="Normal 102 5 2 2 4 2" xfId="28792" xr:uid="{00000000-0005-0000-0000-0000D7140000}"/>
    <cellStyle name="Normal 102 5 2 2 5" xfId="20749" xr:uid="{00000000-0005-0000-0000-0000D8140000}"/>
    <cellStyle name="Normal 102 5 2 3" xfId="2569" xr:uid="{00000000-0005-0000-0000-0000D9140000}"/>
    <cellStyle name="Normal 102 5 2 3 2" xfId="6830" xr:uid="{00000000-0005-0000-0000-0000DA140000}"/>
    <cellStyle name="Normal 102 5 2 3 2 2" xfId="16194" xr:uid="{00000000-0005-0000-0000-0000DB140000}"/>
    <cellStyle name="Normal 102 5 2 3 2 2 2" xfId="32768" xr:uid="{00000000-0005-0000-0000-0000DC140000}"/>
    <cellStyle name="Normal 102 5 2 3 2 3" xfId="24721" xr:uid="{00000000-0005-0000-0000-0000DD140000}"/>
    <cellStyle name="Normal 102 5 2 3 3" xfId="12270" xr:uid="{00000000-0005-0000-0000-0000DE140000}"/>
    <cellStyle name="Normal 102 5 2 3 3 2" xfId="28794" xr:uid="{00000000-0005-0000-0000-0000DF140000}"/>
    <cellStyle name="Normal 102 5 2 3 4" xfId="20751" xr:uid="{00000000-0005-0000-0000-0000E0140000}"/>
    <cellStyle name="Normal 102 5 2 4" xfId="6831" xr:uid="{00000000-0005-0000-0000-0000E1140000}"/>
    <cellStyle name="Normal 102 5 2 4 2" xfId="16195" xr:uid="{00000000-0005-0000-0000-0000E2140000}"/>
    <cellStyle name="Normal 102 5 2 4 2 2" xfId="32769" xr:uid="{00000000-0005-0000-0000-0000E3140000}"/>
    <cellStyle name="Normal 102 5 2 4 3" xfId="24722" xr:uid="{00000000-0005-0000-0000-0000E4140000}"/>
    <cellStyle name="Normal 102 5 2 5" xfId="12267" xr:uid="{00000000-0005-0000-0000-0000E5140000}"/>
    <cellStyle name="Normal 102 5 2 5 2" xfId="28791" xr:uid="{00000000-0005-0000-0000-0000E6140000}"/>
    <cellStyle name="Normal 102 5 2 6" xfId="20748" xr:uid="{00000000-0005-0000-0000-0000E7140000}"/>
    <cellStyle name="Normal 102 5 3" xfId="2570" xr:uid="{00000000-0005-0000-0000-0000E8140000}"/>
    <cellStyle name="Normal 102 5 3 2" xfId="2571" xr:uid="{00000000-0005-0000-0000-0000E9140000}"/>
    <cellStyle name="Normal 102 5 3 2 2" xfId="6832" xr:uid="{00000000-0005-0000-0000-0000EA140000}"/>
    <cellStyle name="Normal 102 5 3 2 2 2" xfId="16196" xr:uid="{00000000-0005-0000-0000-0000EB140000}"/>
    <cellStyle name="Normal 102 5 3 2 2 2 2" xfId="32770" xr:uid="{00000000-0005-0000-0000-0000EC140000}"/>
    <cellStyle name="Normal 102 5 3 2 2 3" xfId="24723" xr:uid="{00000000-0005-0000-0000-0000ED140000}"/>
    <cellStyle name="Normal 102 5 3 2 3" xfId="12272" xr:uid="{00000000-0005-0000-0000-0000EE140000}"/>
    <cellStyle name="Normal 102 5 3 2 3 2" xfId="28796" xr:uid="{00000000-0005-0000-0000-0000EF140000}"/>
    <cellStyle name="Normal 102 5 3 2 4" xfId="20753" xr:uid="{00000000-0005-0000-0000-0000F0140000}"/>
    <cellStyle name="Normal 102 5 3 3" xfId="6833" xr:uid="{00000000-0005-0000-0000-0000F1140000}"/>
    <cellStyle name="Normal 102 5 3 3 2" xfId="16197" xr:uid="{00000000-0005-0000-0000-0000F2140000}"/>
    <cellStyle name="Normal 102 5 3 3 2 2" xfId="32771" xr:uid="{00000000-0005-0000-0000-0000F3140000}"/>
    <cellStyle name="Normal 102 5 3 3 3" xfId="24724" xr:uid="{00000000-0005-0000-0000-0000F4140000}"/>
    <cellStyle name="Normal 102 5 3 4" xfId="12271" xr:uid="{00000000-0005-0000-0000-0000F5140000}"/>
    <cellStyle name="Normal 102 5 3 4 2" xfId="28795" xr:uid="{00000000-0005-0000-0000-0000F6140000}"/>
    <cellStyle name="Normal 102 5 3 5" xfId="20752" xr:uid="{00000000-0005-0000-0000-0000F7140000}"/>
    <cellStyle name="Normal 102 5 4" xfId="2572" xr:uid="{00000000-0005-0000-0000-0000F8140000}"/>
    <cellStyle name="Normal 102 5 4 2" xfId="6834" xr:uid="{00000000-0005-0000-0000-0000F9140000}"/>
    <cellStyle name="Normal 102 5 4 2 2" xfId="16198" xr:uid="{00000000-0005-0000-0000-0000FA140000}"/>
    <cellStyle name="Normal 102 5 4 2 2 2" xfId="32772" xr:uid="{00000000-0005-0000-0000-0000FB140000}"/>
    <cellStyle name="Normal 102 5 4 2 3" xfId="24725" xr:uid="{00000000-0005-0000-0000-0000FC140000}"/>
    <cellStyle name="Normal 102 5 4 3" xfId="12273" xr:uid="{00000000-0005-0000-0000-0000FD140000}"/>
    <cellStyle name="Normal 102 5 4 3 2" xfId="28797" xr:uid="{00000000-0005-0000-0000-0000FE140000}"/>
    <cellStyle name="Normal 102 5 4 4" xfId="20754" xr:uid="{00000000-0005-0000-0000-0000FF140000}"/>
    <cellStyle name="Normal 102 5 5" xfId="6835" xr:uid="{00000000-0005-0000-0000-000000150000}"/>
    <cellStyle name="Normal 102 5 5 2" xfId="16199" xr:uid="{00000000-0005-0000-0000-000001150000}"/>
    <cellStyle name="Normal 102 5 5 2 2" xfId="32773" xr:uid="{00000000-0005-0000-0000-000002150000}"/>
    <cellStyle name="Normal 102 5 5 3" xfId="24726" xr:uid="{00000000-0005-0000-0000-000003150000}"/>
    <cellStyle name="Normal 102 5 6" xfId="12266" xr:uid="{00000000-0005-0000-0000-000004150000}"/>
    <cellStyle name="Normal 102 5 6 2" xfId="28790" xr:uid="{00000000-0005-0000-0000-000005150000}"/>
    <cellStyle name="Normal 102 5 7" xfId="20747" xr:uid="{00000000-0005-0000-0000-000006150000}"/>
    <cellStyle name="Normal 102 6" xfId="2573" xr:uid="{00000000-0005-0000-0000-000007150000}"/>
    <cellStyle name="Normal 102 6 2" xfId="2574" xr:uid="{00000000-0005-0000-0000-000008150000}"/>
    <cellStyle name="Normal 102 6 2 2" xfId="2575" xr:uid="{00000000-0005-0000-0000-000009150000}"/>
    <cellStyle name="Normal 102 6 2 2 2" xfId="6836" xr:uid="{00000000-0005-0000-0000-00000A150000}"/>
    <cellStyle name="Normal 102 6 2 2 2 2" xfId="16200" xr:uid="{00000000-0005-0000-0000-00000B150000}"/>
    <cellStyle name="Normal 102 6 2 2 2 2 2" xfId="32774" xr:uid="{00000000-0005-0000-0000-00000C150000}"/>
    <cellStyle name="Normal 102 6 2 2 2 3" xfId="24727" xr:uid="{00000000-0005-0000-0000-00000D150000}"/>
    <cellStyle name="Normal 102 6 2 2 3" xfId="12276" xr:uid="{00000000-0005-0000-0000-00000E150000}"/>
    <cellStyle name="Normal 102 6 2 2 3 2" xfId="28800" xr:uid="{00000000-0005-0000-0000-00000F150000}"/>
    <cellStyle name="Normal 102 6 2 2 4" xfId="20757" xr:uid="{00000000-0005-0000-0000-000010150000}"/>
    <cellStyle name="Normal 102 6 2 3" xfId="6837" xr:uid="{00000000-0005-0000-0000-000011150000}"/>
    <cellStyle name="Normal 102 6 2 3 2" xfId="16201" xr:uid="{00000000-0005-0000-0000-000012150000}"/>
    <cellStyle name="Normal 102 6 2 3 2 2" xfId="32775" xr:uid="{00000000-0005-0000-0000-000013150000}"/>
    <cellStyle name="Normal 102 6 2 3 3" xfId="24728" xr:uid="{00000000-0005-0000-0000-000014150000}"/>
    <cellStyle name="Normal 102 6 2 4" xfId="12275" xr:uid="{00000000-0005-0000-0000-000015150000}"/>
    <cellStyle name="Normal 102 6 2 4 2" xfId="28799" xr:uid="{00000000-0005-0000-0000-000016150000}"/>
    <cellStyle name="Normal 102 6 2 5" xfId="20756" xr:uid="{00000000-0005-0000-0000-000017150000}"/>
    <cellStyle name="Normal 102 6 3" xfId="2576" xr:uid="{00000000-0005-0000-0000-000018150000}"/>
    <cellStyle name="Normal 102 6 3 2" xfId="6838" xr:uid="{00000000-0005-0000-0000-000019150000}"/>
    <cellStyle name="Normal 102 6 3 2 2" xfId="16202" xr:uid="{00000000-0005-0000-0000-00001A150000}"/>
    <cellStyle name="Normal 102 6 3 2 2 2" xfId="32776" xr:uid="{00000000-0005-0000-0000-00001B150000}"/>
    <cellStyle name="Normal 102 6 3 2 3" xfId="24729" xr:uid="{00000000-0005-0000-0000-00001C150000}"/>
    <cellStyle name="Normal 102 6 3 3" xfId="12277" xr:uid="{00000000-0005-0000-0000-00001D150000}"/>
    <cellStyle name="Normal 102 6 3 3 2" xfId="28801" xr:uid="{00000000-0005-0000-0000-00001E150000}"/>
    <cellStyle name="Normal 102 6 3 4" xfId="20758" xr:uid="{00000000-0005-0000-0000-00001F150000}"/>
    <cellStyle name="Normal 102 6 4" xfId="6839" xr:uid="{00000000-0005-0000-0000-000020150000}"/>
    <cellStyle name="Normal 102 6 4 2" xfId="16203" xr:uid="{00000000-0005-0000-0000-000021150000}"/>
    <cellStyle name="Normal 102 6 4 2 2" xfId="32777" xr:uid="{00000000-0005-0000-0000-000022150000}"/>
    <cellStyle name="Normal 102 6 4 3" xfId="24730" xr:uid="{00000000-0005-0000-0000-000023150000}"/>
    <cellStyle name="Normal 102 6 5" xfId="12274" xr:uid="{00000000-0005-0000-0000-000024150000}"/>
    <cellStyle name="Normal 102 6 5 2" xfId="28798" xr:uid="{00000000-0005-0000-0000-000025150000}"/>
    <cellStyle name="Normal 102 6 6" xfId="20755" xr:uid="{00000000-0005-0000-0000-000026150000}"/>
    <cellStyle name="Normal 102 7" xfId="2577" xr:uid="{00000000-0005-0000-0000-000027150000}"/>
    <cellStyle name="Normal 102 7 2" xfId="2578" xr:uid="{00000000-0005-0000-0000-000028150000}"/>
    <cellStyle name="Normal 102 7 2 2" xfId="6840" xr:uid="{00000000-0005-0000-0000-000029150000}"/>
    <cellStyle name="Normal 102 7 2 2 2" xfId="16204" xr:uid="{00000000-0005-0000-0000-00002A150000}"/>
    <cellStyle name="Normal 102 7 2 2 2 2" xfId="32778" xr:uid="{00000000-0005-0000-0000-00002B150000}"/>
    <cellStyle name="Normal 102 7 2 2 3" xfId="24731" xr:uid="{00000000-0005-0000-0000-00002C150000}"/>
    <cellStyle name="Normal 102 7 2 3" xfId="12279" xr:uid="{00000000-0005-0000-0000-00002D150000}"/>
    <cellStyle name="Normal 102 7 2 3 2" xfId="28803" xr:uid="{00000000-0005-0000-0000-00002E150000}"/>
    <cellStyle name="Normal 102 7 2 4" xfId="20760" xr:uid="{00000000-0005-0000-0000-00002F150000}"/>
    <cellStyle name="Normal 102 7 3" xfId="6841" xr:uid="{00000000-0005-0000-0000-000030150000}"/>
    <cellStyle name="Normal 102 7 3 2" xfId="16205" xr:uid="{00000000-0005-0000-0000-000031150000}"/>
    <cellStyle name="Normal 102 7 3 2 2" xfId="32779" xr:uid="{00000000-0005-0000-0000-000032150000}"/>
    <cellStyle name="Normal 102 7 3 3" xfId="24732" xr:uid="{00000000-0005-0000-0000-000033150000}"/>
    <cellStyle name="Normal 102 7 4" xfId="12278" xr:uid="{00000000-0005-0000-0000-000034150000}"/>
    <cellStyle name="Normal 102 7 4 2" xfId="28802" xr:uid="{00000000-0005-0000-0000-000035150000}"/>
    <cellStyle name="Normal 102 7 5" xfId="20759" xr:uid="{00000000-0005-0000-0000-000036150000}"/>
    <cellStyle name="Normal 102 8" xfId="2579" xr:uid="{00000000-0005-0000-0000-000037150000}"/>
    <cellStyle name="Normal 102 8 2" xfId="6842" xr:uid="{00000000-0005-0000-0000-000038150000}"/>
    <cellStyle name="Normal 102 8 2 2" xfId="16206" xr:uid="{00000000-0005-0000-0000-000039150000}"/>
    <cellStyle name="Normal 102 8 2 2 2" xfId="32780" xr:uid="{00000000-0005-0000-0000-00003A150000}"/>
    <cellStyle name="Normal 102 8 2 3" xfId="24733" xr:uid="{00000000-0005-0000-0000-00003B150000}"/>
    <cellStyle name="Normal 102 8 3" xfId="12280" xr:uid="{00000000-0005-0000-0000-00003C150000}"/>
    <cellStyle name="Normal 102 8 3 2" xfId="28804" xr:uid="{00000000-0005-0000-0000-00003D150000}"/>
    <cellStyle name="Normal 102 8 4" xfId="20761" xr:uid="{00000000-0005-0000-0000-00003E150000}"/>
    <cellStyle name="Normal 102 9" xfId="6843" xr:uid="{00000000-0005-0000-0000-00003F150000}"/>
    <cellStyle name="Normal 102 9 2" xfId="16207" xr:uid="{00000000-0005-0000-0000-000040150000}"/>
    <cellStyle name="Normal 102 9 2 2" xfId="32781" xr:uid="{00000000-0005-0000-0000-000041150000}"/>
    <cellStyle name="Normal 102 9 3" xfId="24734" xr:uid="{00000000-0005-0000-0000-000042150000}"/>
    <cellStyle name="Normal 103" xfId="2580" xr:uid="{00000000-0005-0000-0000-000043150000}"/>
    <cellStyle name="Normal 103 10" xfId="12281" xr:uid="{00000000-0005-0000-0000-000044150000}"/>
    <cellStyle name="Normal 103 10 2" xfId="28805" xr:uid="{00000000-0005-0000-0000-000045150000}"/>
    <cellStyle name="Normal 103 11" xfId="20762" xr:uid="{00000000-0005-0000-0000-000046150000}"/>
    <cellStyle name="Normal 103 2" xfId="2581" xr:uid="{00000000-0005-0000-0000-000047150000}"/>
    <cellStyle name="Normal 103 2 2" xfId="2582" xr:uid="{00000000-0005-0000-0000-000048150000}"/>
    <cellStyle name="Normal 103 2 3" xfId="12282" xr:uid="{00000000-0005-0000-0000-000049150000}"/>
    <cellStyle name="Normal 103 2 3 2" xfId="28806" xr:uid="{00000000-0005-0000-0000-00004A150000}"/>
    <cellStyle name="Normal 103 2 4" xfId="20763" xr:uid="{00000000-0005-0000-0000-00004B150000}"/>
    <cellStyle name="Normal 103 3" xfId="2583" xr:uid="{00000000-0005-0000-0000-00004C150000}"/>
    <cellStyle name="Normal 103 3 2" xfId="2584" xr:uid="{00000000-0005-0000-0000-00004D150000}"/>
    <cellStyle name="Normal 103 3 2 2" xfId="2585" xr:uid="{00000000-0005-0000-0000-00004E150000}"/>
    <cellStyle name="Normal 103 3 2 2 2" xfId="2586" xr:uid="{00000000-0005-0000-0000-00004F150000}"/>
    <cellStyle name="Normal 103 3 2 2 2 2" xfId="6844" xr:uid="{00000000-0005-0000-0000-000050150000}"/>
    <cellStyle name="Normal 103 3 2 2 2 2 2" xfId="16208" xr:uid="{00000000-0005-0000-0000-000051150000}"/>
    <cellStyle name="Normal 103 3 2 2 2 2 2 2" xfId="32782" xr:uid="{00000000-0005-0000-0000-000052150000}"/>
    <cellStyle name="Normal 103 3 2 2 2 2 3" xfId="24735" xr:uid="{00000000-0005-0000-0000-000053150000}"/>
    <cellStyle name="Normal 103 3 2 2 2 3" xfId="12285" xr:uid="{00000000-0005-0000-0000-000054150000}"/>
    <cellStyle name="Normal 103 3 2 2 2 3 2" xfId="28809" xr:uid="{00000000-0005-0000-0000-000055150000}"/>
    <cellStyle name="Normal 103 3 2 2 2 4" xfId="20766" xr:uid="{00000000-0005-0000-0000-000056150000}"/>
    <cellStyle name="Normal 103 3 2 2 3" xfId="6845" xr:uid="{00000000-0005-0000-0000-000057150000}"/>
    <cellStyle name="Normal 103 3 2 2 3 2" xfId="16209" xr:uid="{00000000-0005-0000-0000-000058150000}"/>
    <cellStyle name="Normal 103 3 2 2 3 2 2" xfId="32783" xr:uid="{00000000-0005-0000-0000-000059150000}"/>
    <cellStyle name="Normal 103 3 2 2 3 3" xfId="24736" xr:uid="{00000000-0005-0000-0000-00005A150000}"/>
    <cellStyle name="Normal 103 3 2 2 4" xfId="12284" xr:uid="{00000000-0005-0000-0000-00005B150000}"/>
    <cellStyle name="Normal 103 3 2 2 4 2" xfId="28808" xr:uid="{00000000-0005-0000-0000-00005C150000}"/>
    <cellStyle name="Normal 103 3 2 2 5" xfId="20765" xr:uid="{00000000-0005-0000-0000-00005D150000}"/>
    <cellStyle name="Normal 103 3 2 3" xfId="2587" xr:uid="{00000000-0005-0000-0000-00005E150000}"/>
    <cellStyle name="Normal 103 3 2 3 2" xfId="6846" xr:uid="{00000000-0005-0000-0000-00005F150000}"/>
    <cellStyle name="Normal 103 3 2 3 2 2" xfId="16210" xr:uid="{00000000-0005-0000-0000-000060150000}"/>
    <cellStyle name="Normal 103 3 2 3 2 2 2" xfId="32784" xr:uid="{00000000-0005-0000-0000-000061150000}"/>
    <cellStyle name="Normal 103 3 2 3 2 3" xfId="24737" xr:uid="{00000000-0005-0000-0000-000062150000}"/>
    <cellStyle name="Normal 103 3 2 3 3" xfId="12286" xr:uid="{00000000-0005-0000-0000-000063150000}"/>
    <cellStyle name="Normal 103 3 2 3 3 2" xfId="28810" xr:uid="{00000000-0005-0000-0000-000064150000}"/>
    <cellStyle name="Normal 103 3 2 3 4" xfId="20767" xr:uid="{00000000-0005-0000-0000-000065150000}"/>
    <cellStyle name="Normal 103 3 2 4" xfId="6847" xr:uid="{00000000-0005-0000-0000-000066150000}"/>
    <cellStyle name="Normal 103 3 2 4 2" xfId="16211" xr:uid="{00000000-0005-0000-0000-000067150000}"/>
    <cellStyle name="Normal 103 3 2 4 2 2" xfId="32785" xr:uid="{00000000-0005-0000-0000-000068150000}"/>
    <cellStyle name="Normal 103 3 2 4 3" xfId="24738" xr:uid="{00000000-0005-0000-0000-000069150000}"/>
    <cellStyle name="Normal 103 3 2 5" xfId="12283" xr:uid="{00000000-0005-0000-0000-00006A150000}"/>
    <cellStyle name="Normal 103 3 2 5 2" xfId="28807" xr:uid="{00000000-0005-0000-0000-00006B150000}"/>
    <cellStyle name="Normal 103 3 2 6" xfId="20764" xr:uid="{00000000-0005-0000-0000-00006C150000}"/>
    <cellStyle name="Normal 103 3 3" xfId="2588" xr:uid="{00000000-0005-0000-0000-00006D150000}"/>
    <cellStyle name="Normal 103 3 3 2" xfId="2589" xr:uid="{00000000-0005-0000-0000-00006E150000}"/>
    <cellStyle name="Normal 103 3 3 2 2" xfId="6848" xr:uid="{00000000-0005-0000-0000-00006F150000}"/>
    <cellStyle name="Normal 103 3 3 2 2 2" xfId="16212" xr:uid="{00000000-0005-0000-0000-000070150000}"/>
    <cellStyle name="Normal 103 3 3 2 2 2 2" xfId="32786" xr:uid="{00000000-0005-0000-0000-000071150000}"/>
    <cellStyle name="Normal 103 3 3 2 2 3" xfId="24739" xr:uid="{00000000-0005-0000-0000-000072150000}"/>
    <cellStyle name="Normal 103 3 3 2 3" xfId="12288" xr:uid="{00000000-0005-0000-0000-000073150000}"/>
    <cellStyle name="Normal 103 3 3 2 3 2" xfId="28812" xr:uid="{00000000-0005-0000-0000-000074150000}"/>
    <cellStyle name="Normal 103 3 3 2 4" xfId="20769" xr:uid="{00000000-0005-0000-0000-000075150000}"/>
    <cellStyle name="Normal 103 3 3 3" xfId="6849" xr:uid="{00000000-0005-0000-0000-000076150000}"/>
    <cellStyle name="Normal 103 3 3 3 2" xfId="16213" xr:uid="{00000000-0005-0000-0000-000077150000}"/>
    <cellStyle name="Normal 103 3 3 3 2 2" xfId="32787" xr:uid="{00000000-0005-0000-0000-000078150000}"/>
    <cellStyle name="Normal 103 3 3 3 3" xfId="24740" xr:uid="{00000000-0005-0000-0000-000079150000}"/>
    <cellStyle name="Normal 103 3 3 4" xfId="12287" xr:uid="{00000000-0005-0000-0000-00007A150000}"/>
    <cellStyle name="Normal 103 3 3 4 2" xfId="28811" xr:uid="{00000000-0005-0000-0000-00007B150000}"/>
    <cellStyle name="Normal 103 3 3 5" xfId="20768" xr:uid="{00000000-0005-0000-0000-00007C150000}"/>
    <cellStyle name="Normal 103 3 4" xfId="2590" xr:uid="{00000000-0005-0000-0000-00007D150000}"/>
    <cellStyle name="Normal 103 3 4 2" xfId="6850" xr:uid="{00000000-0005-0000-0000-00007E150000}"/>
    <cellStyle name="Normal 103 3 4 2 2" xfId="16214" xr:uid="{00000000-0005-0000-0000-00007F150000}"/>
    <cellStyle name="Normal 103 3 4 2 2 2" xfId="32788" xr:uid="{00000000-0005-0000-0000-000080150000}"/>
    <cellStyle name="Normal 103 3 4 2 3" xfId="24741" xr:uid="{00000000-0005-0000-0000-000081150000}"/>
    <cellStyle name="Normal 103 3 4 3" xfId="12289" xr:uid="{00000000-0005-0000-0000-000082150000}"/>
    <cellStyle name="Normal 103 3 4 3 2" xfId="28813" xr:uid="{00000000-0005-0000-0000-000083150000}"/>
    <cellStyle name="Normal 103 3 4 4" xfId="20770" xr:uid="{00000000-0005-0000-0000-000084150000}"/>
    <cellStyle name="Normal 103 3 5" xfId="2591" xr:uid="{00000000-0005-0000-0000-000085150000}"/>
    <cellStyle name="Normal 103 3 5 2" xfId="12290" xr:uid="{00000000-0005-0000-0000-000086150000}"/>
    <cellStyle name="Normal 103 3 5 2 2" xfId="28814" xr:uid="{00000000-0005-0000-0000-000087150000}"/>
    <cellStyle name="Normal 103 3 5 3" xfId="20771" xr:uid="{00000000-0005-0000-0000-000088150000}"/>
    <cellStyle name="Normal 103 4" xfId="2592" xr:uid="{00000000-0005-0000-0000-000089150000}"/>
    <cellStyle name="Normal 103 4 2" xfId="2593" xr:uid="{00000000-0005-0000-0000-00008A150000}"/>
    <cellStyle name="Normal 103 4 2 2" xfId="2594" xr:uid="{00000000-0005-0000-0000-00008B150000}"/>
    <cellStyle name="Normal 103 4 2 2 2" xfId="2595" xr:uid="{00000000-0005-0000-0000-00008C150000}"/>
    <cellStyle name="Normal 103 4 2 2 2 2" xfId="6851" xr:uid="{00000000-0005-0000-0000-00008D150000}"/>
    <cellStyle name="Normal 103 4 2 2 2 2 2" xfId="16215" xr:uid="{00000000-0005-0000-0000-00008E150000}"/>
    <cellStyle name="Normal 103 4 2 2 2 2 2 2" xfId="32789" xr:uid="{00000000-0005-0000-0000-00008F150000}"/>
    <cellStyle name="Normal 103 4 2 2 2 2 3" xfId="24742" xr:uid="{00000000-0005-0000-0000-000090150000}"/>
    <cellStyle name="Normal 103 4 2 2 2 3" xfId="12294" xr:uid="{00000000-0005-0000-0000-000091150000}"/>
    <cellStyle name="Normal 103 4 2 2 2 3 2" xfId="28818" xr:uid="{00000000-0005-0000-0000-000092150000}"/>
    <cellStyle name="Normal 103 4 2 2 2 4" xfId="20775" xr:uid="{00000000-0005-0000-0000-000093150000}"/>
    <cellStyle name="Normal 103 4 2 2 3" xfId="6852" xr:uid="{00000000-0005-0000-0000-000094150000}"/>
    <cellStyle name="Normal 103 4 2 2 3 2" xfId="16216" xr:uid="{00000000-0005-0000-0000-000095150000}"/>
    <cellStyle name="Normal 103 4 2 2 3 2 2" xfId="32790" xr:uid="{00000000-0005-0000-0000-000096150000}"/>
    <cellStyle name="Normal 103 4 2 2 3 3" xfId="24743" xr:uid="{00000000-0005-0000-0000-000097150000}"/>
    <cellStyle name="Normal 103 4 2 2 4" xfId="12293" xr:uid="{00000000-0005-0000-0000-000098150000}"/>
    <cellStyle name="Normal 103 4 2 2 4 2" xfId="28817" xr:uid="{00000000-0005-0000-0000-000099150000}"/>
    <cellStyle name="Normal 103 4 2 2 5" xfId="20774" xr:uid="{00000000-0005-0000-0000-00009A150000}"/>
    <cellStyle name="Normal 103 4 2 3" xfId="2596" xr:uid="{00000000-0005-0000-0000-00009B150000}"/>
    <cellStyle name="Normal 103 4 2 3 2" xfId="6853" xr:uid="{00000000-0005-0000-0000-00009C150000}"/>
    <cellStyle name="Normal 103 4 2 3 2 2" xfId="16217" xr:uid="{00000000-0005-0000-0000-00009D150000}"/>
    <cellStyle name="Normal 103 4 2 3 2 2 2" xfId="32791" xr:uid="{00000000-0005-0000-0000-00009E150000}"/>
    <cellStyle name="Normal 103 4 2 3 2 3" xfId="24744" xr:uid="{00000000-0005-0000-0000-00009F150000}"/>
    <cellStyle name="Normal 103 4 2 3 3" xfId="12295" xr:uid="{00000000-0005-0000-0000-0000A0150000}"/>
    <cellStyle name="Normal 103 4 2 3 3 2" xfId="28819" xr:uid="{00000000-0005-0000-0000-0000A1150000}"/>
    <cellStyle name="Normal 103 4 2 3 4" xfId="20776" xr:uid="{00000000-0005-0000-0000-0000A2150000}"/>
    <cellStyle name="Normal 103 4 2 4" xfId="6854" xr:uid="{00000000-0005-0000-0000-0000A3150000}"/>
    <cellStyle name="Normal 103 4 2 4 2" xfId="16218" xr:uid="{00000000-0005-0000-0000-0000A4150000}"/>
    <cellStyle name="Normal 103 4 2 4 2 2" xfId="32792" xr:uid="{00000000-0005-0000-0000-0000A5150000}"/>
    <cellStyle name="Normal 103 4 2 4 3" xfId="24745" xr:uid="{00000000-0005-0000-0000-0000A6150000}"/>
    <cellStyle name="Normal 103 4 2 5" xfId="12292" xr:uid="{00000000-0005-0000-0000-0000A7150000}"/>
    <cellStyle name="Normal 103 4 2 5 2" xfId="28816" xr:uid="{00000000-0005-0000-0000-0000A8150000}"/>
    <cellStyle name="Normal 103 4 2 6" xfId="20773" xr:uid="{00000000-0005-0000-0000-0000A9150000}"/>
    <cellStyle name="Normal 103 4 3" xfId="2597" xr:uid="{00000000-0005-0000-0000-0000AA150000}"/>
    <cellStyle name="Normal 103 4 3 2" xfId="2598" xr:uid="{00000000-0005-0000-0000-0000AB150000}"/>
    <cellStyle name="Normal 103 4 3 2 2" xfId="6855" xr:uid="{00000000-0005-0000-0000-0000AC150000}"/>
    <cellStyle name="Normal 103 4 3 2 2 2" xfId="16219" xr:uid="{00000000-0005-0000-0000-0000AD150000}"/>
    <cellStyle name="Normal 103 4 3 2 2 2 2" xfId="32793" xr:uid="{00000000-0005-0000-0000-0000AE150000}"/>
    <cellStyle name="Normal 103 4 3 2 2 3" xfId="24746" xr:uid="{00000000-0005-0000-0000-0000AF150000}"/>
    <cellStyle name="Normal 103 4 3 2 3" xfId="12297" xr:uid="{00000000-0005-0000-0000-0000B0150000}"/>
    <cellStyle name="Normal 103 4 3 2 3 2" xfId="28821" xr:uid="{00000000-0005-0000-0000-0000B1150000}"/>
    <cellStyle name="Normal 103 4 3 2 4" xfId="20778" xr:uid="{00000000-0005-0000-0000-0000B2150000}"/>
    <cellStyle name="Normal 103 4 3 3" xfId="6856" xr:uid="{00000000-0005-0000-0000-0000B3150000}"/>
    <cellStyle name="Normal 103 4 3 3 2" xfId="16220" xr:uid="{00000000-0005-0000-0000-0000B4150000}"/>
    <cellStyle name="Normal 103 4 3 3 2 2" xfId="32794" xr:uid="{00000000-0005-0000-0000-0000B5150000}"/>
    <cellStyle name="Normal 103 4 3 3 3" xfId="24747" xr:uid="{00000000-0005-0000-0000-0000B6150000}"/>
    <cellStyle name="Normal 103 4 3 4" xfId="12296" xr:uid="{00000000-0005-0000-0000-0000B7150000}"/>
    <cellStyle name="Normal 103 4 3 4 2" xfId="28820" xr:uid="{00000000-0005-0000-0000-0000B8150000}"/>
    <cellStyle name="Normal 103 4 3 5" xfId="20777" xr:uid="{00000000-0005-0000-0000-0000B9150000}"/>
    <cellStyle name="Normal 103 4 4" xfId="2599" xr:uid="{00000000-0005-0000-0000-0000BA150000}"/>
    <cellStyle name="Normal 103 4 4 2" xfId="6857" xr:uid="{00000000-0005-0000-0000-0000BB150000}"/>
    <cellStyle name="Normal 103 4 4 2 2" xfId="16221" xr:uid="{00000000-0005-0000-0000-0000BC150000}"/>
    <cellStyle name="Normal 103 4 4 2 2 2" xfId="32795" xr:uid="{00000000-0005-0000-0000-0000BD150000}"/>
    <cellStyle name="Normal 103 4 4 2 3" xfId="24748" xr:uid="{00000000-0005-0000-0000-0000BE150000}"/>
    <cellStyle name="Normal 103 4 4 3" xfId="12298" xr:uid="{00000000-0005-0000-0000-0000BF150000}"/>
    <cellStyle name="Normal 103 4 4 3 2" xfId="28822" xr:uid="{00000000-0005-0000-0000-0000C0150000}"/>
    <cellStyle name="Normal 103 4 4 4" xfId="20779" xr:uid="{00000000-0005-0000-0000-0000C1150000}"/>
    <cellStyle name="Normal 103 4 5" xfId="6858" xr:uid="{00000000-0005-0000-0000-0000C2150000}"/>
    <cellStyle name="Normal 103 4 5 2" xfId="16222" xr:uid="{00000000-0005-0000-0000-0000C3150000}"/>
    <cellStyle name="Normal 103 4 5 2 2" xfId="32796" xr:uid="{00000000-0005-0000-0000-0000C4150000}"/>
    <cellStyle name="Normal 103 4 5 3" xfId="24749" xr:uid="{00000000-0005-0000-0000-0000C5150000}"/>
    <cellStyle name="Normal 103 4 6" xfId="12291" xr:uid="{00000000-0005-0000-0000-0000C6150000}"/>
    <cellStyle name="Normal 103 4 6 2" xfId="28815" xr:uid="{00000000-0005-0000-0000-0000C7150000}"/>
    <cellStyle name="Normal 103 4 7" xfId="20772" xr:uid="{00000000-0005-0000-0000-0000C8150000}"/>
    <cellStyle name="Normal 103 5" xfId="2600" xr:uid="{00000000-0005-0000-0000-0000C9150000}"/>
    <cellStyle name="Normal 103 5 2" xfId="2601" xr:uid="{00000000-0005-0000-0000-0000CA150000}"/>
    <cellStyle name="Normal 103 5 2 2" xfId="2602" xr:uid="{00000000-0005-0000-0000-0000CB150000}"/>
    <cellStyle name="Normal 103 5 2 2 2" xfId="2603" xr:uid="{00000000-0005-0000-0000-0000CC150000}"/>
    <cellStyle name="Normal 103 5 2 2 2 2" xfId="6859" xr:uid="{00000000-0005-0000-0000-0000CD150000}"/>
    <cellStyle name="Normal 103 5 2 2 2 2 2" xfId="16223" xr:uid="{00000000-0005-0000-0000-0000CE150000}"/>
    <cellStyle name="Normal 103 5 2 2 2 2 2 2" xfId="32797" xr:uid="{00000000-0005-0000-0000-0000CF150000}"/>
    <cellStyle name="Normal 103 5 2 2 2 2 3" xfId="24750" xr:uid="{00000000-0005-0000-0000-0000D0150000}"/>
    <cellStyle name="Normal 103 5 2 2 2 3" xfId="12302" xr:uid="{00000000-0005-0000-0000-0000D1150000}"/>
    <cellStyle name="Normal 103 5 2 2 2 3 2" xfId="28826" xr:uid="{00000000-0005-0000-0000-0000D2150000}"/>
    <cellStyle name="Normal 103 5 2 2 2 4" xfId="20783" xr:uid="{00000000-0005-0000-0000-0000D3150000}"/>
    <cellStyle name="Normal 103 5 2 2 3" xfId="6860" xr:uid="{00000000-0005-0000-0000-0000D4150000}"/>
    <cellStyle name="Normal 103 5 2 2 3 2" xfId="16224" xr:uid="{00000000-0005-0000-0000-0000D5150000}"/>
    <cellStyle name="Normal 103 5 2 2 3 2 2" xfId="32798" xr:uid="{00000000-0005-0000-0000-0000D6150000}"/>
    <cellStyle name="Normal 103 5 2 2 3 3" xfId="24751" xr:uid="{00000000-0005-0000-0000-0000D7150000}"/>
    <cellStyle name="Normal 103 5 2 2 4" xfId="12301" xr:uid="{00000000-0005-0000-0000-0000D8150000}"/>
    <cellStyle name="Normal 103 5 2 2 4 2" xfId="28825" xr:uid="{00000000-0005-0000-0000-0000D9150000}"/>
    <cellStyle name="Normal 103 5 2 2 5" xfId="20782" xr:uid="{00000000-0005-0000-0000-0000DA150000}"/>
    <cellStyle name="Normal 103 5 2 3" xfId="2604" xr:uid="{00000000-0005-0000-0000-0000DB150000}"/>
    <cellStyle name="Normal 103 5 2 3 2" xfId="6861" xr:uid="{00000000-0005-0000-0000-0000DC150000}"/>
    <cellStyle name="Normal 103 5 2 3 2 2" xfId="16225" xr:uid="{00000000-0005-0000-0000-0000DD150000}"/>
    <cellStyle name="Normal 103 5 2 3 2 2 2" xfId="32799" xr:uid="{00000000-0005-0000-0000-0000DE150000}"/>
    <cellStyle name="Normal 103 5 2 3 2 3" xfId="24752" xr:uid="{00000000-0005-0000-0000-0000DF150000}"/>
    <cellStyle name="Normal 103 5 2 3 3" xfId="12303" xr:uid="{00000000-0005-0000-0000-0000E0150000}"/>
    <cellStyle name="Normal 103 5 2 3 3 2" xfId="28827" xr:uid="{00000000-0005-0000-0000-0000E1150000}"/>
    <cellStyle name="Normal 103 5 2 3 4" xfId="20784" xr:uid="{00000000-0005-0000-0000-0000E2150000}"/>
    <cellStyle name="Normal 103 5 2 4" xfId="6862" xr:uid="{00000000-0005-0000-0000-0000E3150000}"/>
    <cellStyle name="Normal 103 5 2 4 2" xfId="16226" xr:uid="{00000000-0005-0000-0000-0000E4150000}"/>
    <cellStyle name="Normal 103 5 2 4 2 2" xfId="32800" xr:uid="{00000000-0005-0000-0000-0000E5150000}"/>
    <cellStyle name="Normal 103 5 2 4 3" xfId="24753" xr:uid="{00000000-0005-0000-0000-0000E6150000}"/>
    <cellStyle name="Normal 103 5 2 5" xfId="12300" xr:uid="{00000000-0005-0000-0000-0000E7150000}"/>
    <cellStyle name="Normal 103 5 2 5 2" xfId="28824" xr:uid="{00000000-0005-0000-0000-0000E8150000}"/>
    <cellStyle name="Normal 103 5 2 6" xfId="20781" xr:uid="{00000000-0005-0000-0000-0000E9150000}"/>
    <cellStyle name="Normal 103 5 3" xfId="2605" xr:uid="{00000000-0005-0000-0000-0000EA150000}"/>
    <cellStyle name="Normal 103 5 3 2" xfId="2606" xr:uid="{00000000-0005-0000-0000-0000EB150000}"/>
    <cellStyle name="Normal 103 5 3 2 2" xfId="6863" xr:uid="{00000000-0005-0000-0000-0000EC150000}"/>
    <cellStyle name="Normal 103 5 3 2 2 2" xfId="16227" xr:uid="{00000000-0005-0000-0000-0000ED150000}"/>
    <cellStyle name="Normal 103 5 3 2 2 2 2" xfId="32801" xr:uid="{00000000-0005-0000-0000-0000EE150000}"/>
    <cellStyle name="Normal 103 5 3 2 2 3" xfId="24754" xr:uid="{00000000-0005-0000-0000-0000EF150000}"/>
    <cellStyle name="Normal 103 5 3 2 3" xfId="12305" xr:uid="{00000000-0005-0000-0000-0000F0150000}"/>
    <cellStyle name="Normal 103 5 3 2 3 2" xfId="28829" xr:uid="{00000000-0005-0000-0000-0000F1150000}"/>
    <cellStyle name="Normal 103 5 3 2 4" xfId="20786" xr:uid="{00000000-0005-0000-0000-0000F2150000}"/>
    <cellStyle name="Normal 103 5 3 3" xfId="6864" xr:uid="{00000000-0005-0000-0000-0000F3150000}"/>
    <cellStyle name="Normal 103 5 3 3 2" xfId="16228" xr:uid="{00000000-0005-0000-0000-0000F4150000}"/>
    <cellStyle name="Normal 103 5 3 3 2 2" xfId="32802" xr:uid="{00000000-0005-0000-0000-0000F5150000}"/>
    <cellStyle name="Normal 103 5 3 3 3" xfId="24755" xr:uid="{00000000-0005-0000-0000-0000F6150000}"/>
    <cellStyle name="Normal 103 5 3 4" xfId="12304" xr:uid="{00000000-0005-0000-0000-0000F7150000}"/>
    <cellStyle name="Normal 103 5 3 4 2" xfId="28828" xr:uid="{00000000-0005-0000-0000-0000F8150000}"/>
    <cellStyle name="Normal 103 5 3 5" xfId="20785" xr:uid="{00000000-0005-0000-0000-0000F9150000}"/>
    <cellStyle name="Normal 103 5 4" xfId="2607" xr:uid="{00000000-0005-0000-0000-0000FA150000}"/>
    <cellStyle name="Normal 103 5 4 2" xfId="6865" xr:uid="{00000000-0005-0000-0000-0000FB150000}"/>
    <cellStyle name="Normal 103 5 4 2 2" xfId="16229" xr:uid="{00000000-0005-0000-0000-0000FC150000}"/>
    <cellStyle name="Normal 103 5 4 2 2 2" xfId="32803" xr:uid="{00000000-0005-0000-0000-0000FD150000}"/>
    <cellStyle name="Normal 103 5 4 2 3" xfId="24756" xr:uid="{00000000-0005-0000-0000-0000FE150000}"/>
    <cellStyle name="Normal 103 5 4 3" xfId="12306" xr:uid="{00000000-0005-0000-0000-0000FF150000}"/>
    <cellStyle name="Normal 103 5 4 3 2" xfId="28830" xr:uid="{00000000-0005-0000-0000-000000160000}"/>
    <cellStyle name="Normal 103 5 4 4" xfId="20787" xr:uid="{00000000-0005-0000-0000-000001160000}"/>
    <cellStyle name="Normal 103 5 5" xfId="6866" xr:uid="{00000000-0005-0000-0000-000002160000}"/>
    <cellStyle name="Normal 103 5 5 2" xfId="16230" xr:uid="{00000000-0005-0000-0000-000003160000}"/>
    <cellStyle name="Normal 103 5 5 2 2" xfId="32804" xr:uid="{00000000-0005-0000-0000-000004160000}"/>
    <cellStyle name="Normal 103 5 5 3" xfId="24757" xr:uid="{00000000-0005-0000-0000-000005160000}"/>
    <cellStyle name="Normal 103 5 6" xfId="12299" xr:uid="{00000000-0005-0000-0000-000006160000}"/>
    <cellStyle name="Normal 103 5 6 2" xfId="28823" xr:uid="{00000000-0005-0000-0000-000007160000}"/>
    <cellStyle name="Normal 103 5 7" xfId="20780" xr:uid="{00000000-0005-0000-0000-000008160000}"/>
    <cellStyle name="Normal 103 6" xfId="2608" xr:uid="{00000000-0005-0000-0000-000009160000}"/>
    <cellStyle name="Normal 103 6 2" xfId="2609" xr:uid="{00000000-0005-0000-0000-00000A160000}"/>
    <cellStyle name="Normal 103 6 2 2" xfId="2610" xr:uid="{00000000-0005-0000-0000-00000B160000}"/>
    <cellStyle name="Normal 103 6 2 2 2" xfId="6867" xr:uid="{00000000-0005-0000-0000-00000C160000}"/>
    <cellStyle name="Normal 103 6 2 2 2 2" xfId="16231" xr:uid="{00000000-0005-0000-0000-00000D160000}"/>
    <cellStyle name="Normal 103 6 2 2 2 2 2" xfId="32805" xr:uid="{00000000-0005-0000-0000-00000E160000}"/>
    <cellStyle name="Normal 103 6 2 2 2 3" xfId="24758" xr:uid="{00000000-0005-0000-0000-00000F160000}"/>
    <cellStyle name="Normal 103 6 2 2 3" xfId="12309" xr:uid="{00000000-0005-0000-0000-000010160000}"/>
    <cellStyle name="Normal 103 6 2 2 3 2" xfId="28833" xr:uid="{00000000-0005-0000-0000-000011160000}"/>
    <cellStyle name="Normal 103 6 2 2 4" xfId="20790" xr:uid="{00000000-0005-0000-0000-000012160000}"/>
    <cellStyle name="Normal 103 6 2 3" xfId="6868" xr:uid="{00000000-0005-0000-0000-000013160000}"/>
    <cellStyle name="Normal 103 6 2 3 2" xfId="16232" xr:uid="{00000000-0005-0000-0000-000014160000}"/>
    <cellStyle name="Normal 103 6 2 3 2 2" xfId="32806" xr:uid="{00000000-0005-0000-0000-000015160000}"/>
    <cellStyle name="Normal 103 6 2 3 3" xfId="24759" xr:uid="{00000000-0005-0000-0000-000016160000}"/>
    <cellStyle name="Normal 103 6 2 4" xfId="12308" xr:uid="{00000000-0005-0000-0000-000017160000}"/>
    <cellStyle name="Normal 103 6 2 4 2" xfId="28832" xr:uid="{00000000-0005-0000-0000-000018160000}"/>
    <cellStyle name="Normal 103 6 2 5" xfId="20789" xr:uid="{00000000-0005-0000-0000-000019160000}"/>
    <cellStyle name="Normal 103 6 3" xfId="2611" xr:uid="{00000000-0005-0000-0000-00001A160000}"/>
    <cellStyle name="Normal 103 6 3 2" xfId="6869" xr:uid="{00000000-0005-0000-0000-00001B160000}"/>
    <cellStyle name="Normal 103 6 3 2 2" xfId="16233" xr:uid="{00000000-0005-0000-0000-00001C160000}"/>
    <cellStyle name="Normal 103 6 3 2 2 2" xfId="32807" xr:uid="{00000000-0005-0000-0000-00001D160000}"/>
    <cellStyle name="Normal 103 6 3 2 3" xfId="24760" xr:uid="{00000000-0005-0000-0000-00001E160000}"/>
    <cellStyle name="Normal 103 6 3 3" xfId="12310" xr:uid="{00000000-0005-0000-0000-00001F160000}"/>
    <cellStyle name="Normal 103 6 3 3 2" xfId="28834" xr:uid="{00000000-0005-0000-0000-000020160000}"/>
    <cellStyle name="Normal 103 6 3 4" xfId="20791" xr:uid="{00000000-0005-0000-0000-000021160000}"/>
    <cellStyle name="Normal 103 6 4" xfId="6870" xr:uid="{00000000-0005-0000-0000-000022160000}"/>
    <cellStyle name="Normal 103 6 4 2" xfId="16234" xr:uid="{00000000-0005-0000-0000-000023160000}"/>
    <cellStyle name="Normal 103 6 4 2 2" xfId="32808" xr:uid="{00000000-0005-0000-0000-000024160000}"/>
    <cellStyle name="Normal 103 6 4 3" xfId="24761" xr:uid="{00000000-0005-0000-0000-000025160000}"/>
    <cellStyle name="Normal 103 6 5" xfId="12307" xr:uid="{00000000-0005-0000-0000-000026160000}"/>
    <cellStyle name="Normal 103 6 5 2" xfId="28831" xr:uid="{00000000-0005-0000-0000-000027160000}"/>
    <cellStyle name="Normal 103 6 6" xfId="20788" xr:uid="{00000000-0005-0000-0000-000028160000}"/>
    <cellStyle name="Normal 103 7" xfId="2612" xr:uid="{00000000-0005-0000-0000-000029160000}"/>
    <cellStyle name="Normal 103 7 2" xfId="2613" xr:uid="{00000000-0005-0000-0000-00002A160000}"/>
    <cellStyle name="Normal 103 7 2 2" xfId="6871" xr:uid="{00000000-0005-0000-0000-00002B160000}"/>
    <cellStyle name="Normal 103 7 2 2 2" xfId="16235" xr:uid="{00000000-0005-0000-0000-00002C160000}"/>
    <cellStyle name="Normal 103 7 2 2 2 2" xfId="32809" xr:uid="{00000000-0005-0000-0000-00002D160000}"/>
    <cellStyle name="Normal 103 7 2 2 3" xfId="24762" xr:uid="{00000000-0005-0000-0000-00002E160000}"/>
    <cellStyle name="Normal 103 7 2 3" xfId="12312" xr:uid="{00000000-0005-0000-0000-00002F160000}"/>
    <cellStyle name="Normal 103 7 2 3 2" xfId="28836" xr:uid="{00000000-0005-0000-0000-000030160000}"/>
    <cellStyle name="Normal 103 7 2 4" xfId="20793" xr:uid="{00000000-0005-0000-0000-000031160000}"/>
    <cellStyle name="Normal 103 7 3" xfId="6872" xr:uid="{00000000-0005-0000-0000-000032160000}"/>
    <cellStyle name="Normal 103 7 3 2" xfId="16236" xr:uid="{00000000-0005-0000-0000-000033160000}"/>
    <cellStyle name="Normal 103 7 3 2 2" xfId="32810" xr:uid="{00000000-0005-0000-0000-000034160000}"/>
    <cellStyle name="Normal 103 7 3 3" xfId="24763" xr:uid="{00000000-0005-0000-0000-000035160000}"/>
    <cellStyle name="Normal 103 7 4" xfId="12311" xr:uid="{00000000-0005-0000-0000-000036160000}"/>
    <cellStyle name="Normal 103 7 4 2" xfId="28835" xr:uid="{00000000-0005-0000-0000-000037160000}"/>
    <cellStyle name="Normal 103 7 5" xfId="20792" xr:uid="{00000000-0005-0000-0000-000038160000}"/>
    <cellStyle name="Normal 103 8" xfId="2614" xr:uid="{00000000-0005-0000-0000-000039160000}"/>
    <cellStyle name="Normal 103 8 2" xfId="6873" xr:uid="{00000000-0005-0000-0000-00003A160000}"/>
    <cellStyle name="Normal 103 8 2 2" xfId="16237" xr:uid="{00000000-0005-0000-0000-00003B160000}"/>
    <cellStyle name="Normal 103 8 2 2 2" xfId="32811" xr:uid="{00000000-0005-0000-0000-00003C160000}"/>
    <cellStyle name="Normal 103 8 2 3" xfId="24764" xr:uid="{00000000-0005-0000-0000-00003D160000}"/>
    <cellStyle name="Normal 103 8 3" xfId="12313" xr:uid="{00000000-0005-0000-0000-00003E160000}"/>
    <cellStyle name="Normal 103 8 3 2" xfId="28837" xr:uid="{00000000-0005-0000-0000-00003F160000}"/>
    <cellStyle name="Normal 103 8 4" xfId="20794" xr:uid="{00000000-0005-0000-0000-000040160000}"/>
    <cellStyle name="Normal 103 9" xfId="6874" xr:uid="{00000000-0005-0000-0000-000041160000}"/>
    <cellStyle name="Normal 103 9 2" xfId="16238" xr:uid="{00000000-0005-0000-0000-000042160000}"/>
    <cellStyle name="Normal 103 9 2 2" xfId="32812" xr:uid="{00000000-0005-0000-0000-000043160000}"/>
    <cellStyle name="Normal 103 9 3" xfId="24765" xr:uid="{00000000-0005-0000-0000-000044160000}"/>
    <cellStyle name="Normal 104" xfId="2615" xr:uid="{00000000-0005-0000-0000-000045160000}"/>
    <cellStyle name="Normal 104 2" xfId="6875" xr:uid="{00000000-0005-0000-0000-000046160000}"/>
    <cellStyle name="Normal 105" xfId="2616" xr:uid="{00000000-0005-0000-0000-000047160000}"/>
    <cellStyle name="Normal 105 10" xfId="12314" xr:uid="{00000000-0005-0000-0000-000048160000}"/>
    <cellStyle name="Normal 105 10 2" xfId="28838" xr:uid="{00000000-0005-0000-0000-000049160000}"/>
    <cellStyle name="Normal 105 11" xfId="20795" xr:uid="{00000000-0005-0000-0000-00004A160000}"/>
    <cellStyle name="Normal 105 2" xfId="2617" xr:uid="{00000000-0005-0000-0000-00004B160000}"/>
    <cellStyle name="Normal 105 2 2" xfId="2618" xr:uid="{00000000-0005-0000-0000-00004C160000}"/>
    <cellStyle name="Normal 105 2 3" xfId="12315" xr:uid="{00000000-0005-0000-0000-00004D160000}"/>
    <cellStyle name="Normal 105 2 3 2" xfId="28839" xr:uid="{00000000-0005-0000-0000-00004E160000}"/>
    <cellStyle name="Normal 105 2 4" xfId="20796" xr:uid="{00000000-0005-0000-0000-00004F160000}"/>
    <cellStyle name="Normal 105 3" xfId="2619" xr:uid="{00000000-0005-0000-0000-000050160000}"/>
    <cellStyle name="Normal 105 3 2" xfId="2620" xr:uid="{00000000-0005-0000-0000-000051160000}"/>
    <cellStyle name="Normal 105 3 2 2" xfId="2621" xr:uid="{00000000-0005-0000-0000-000052160000}"/>
    <cellStyle name="Normal 105 3 2 2 2" xfId="2622" xr:uid="{00000000-0005-0000-0000-000053160000}"/>
    <cellStyle name="Normal 105 3 2 2 2 2" xfId="6876" xr:uid="{00000000-0005-0000-0000-000054160000}"/>
    <cellStyle name="Normal 105 3 2 2 2 2 2" xfId="16239" xr:uid="{00000000-0005-0000-0000-000055160000}"/>
    <cellStyle name="Normal 105 3 2 2 2 2 2 2" xfId="32813" xr:uid="{00000000-0005-0000-0000-000056160000}"/>
    <cellStyle name="Normal 105 3 2 2 2 2 3" xfId="24766" xr:uid="{00000000-0005-0000-0000-000057160000}"/>
    <cellStyle name="Normal 105 3 2 2 2 3" xfId="12318" xr:uid="{00000000-0005-0000-0000-000058160000}"/>
    <cellStyle name="Normal 105 3 2 2 2 3 2" xfId="28842" xr:uid="{00000000-0005-0000-0000-000059160000}"/>
    <cellStyle name="Normal 105 3 2 2 2 4" xfId="20799" xr:uid="{00000000-0005-0000-0000-00005A160000}"/>
    <cellStyle name="Normal 105 3 2 2 3" xfId="6877" xr:uid="{00000000-0005-0000-0000-00005B160000}"/>
    <cellStyle name="Normal 105 3 2 2 3 2" xfId="16240" xr:uid="{00000000-0005-0000-0000-00005C160000}"/>
    <cellStyle name="Normal 105 3 2 2 3 2 2" xfId="32814" xr:uid="{00000000-0005-0000-0000-00005D160000}"/>
    <cellStyle name="Normal 105 3 2 2 3 3" xfId="24767" xr:uid="{00000000-0005-0000-0000-00005E160000}"/>
    <cellStyle name="Normal 105 3 2 2 4" xfId="12317" xr:uid="{00000000-0005-0000-0000-00005F160000}"/>
    <cellStyle name="Normal 105 3 2 2 4 2" xfId="28841" xr:uid="{00000000-0005-0000-0000-000060160000}"/>
    <cellStyle name="Normal 105 3 2 2 5" xfId="20798" xr:uid="{00000000-0005-0000-0000-000061160000}"/>
    <cellStyle name="Normal 105 3 2 3" xfId="2623" xr:uid="{00000000-0005-0000-0000-000062160000}"/>
    <cellStyle name="Normal 105 3 2 3 2" xfId="6878" xr:uid="{00000000-0005-0000-0000-000063160000}"/>
    <cellStyle name="Normal 105 3 2 3 2 2" xfId="16241" xr:uid="{00000000-0005-0000-0000-000064160000}"/>
    <cellStyle name="Normal 105 3 2 3 2 2 2" xfId="32815" xr:uid="{00000000-0005-0000-0000-000065160000}"/>
    <cellStyle name="Normal 105 3 2 3 2 3" xfId="24768" xr:uid="{00000000-0005-0000-0000-000066160000}"/>
    <cellStyle name="Normal 105 3 2 3 3" xfId="12319" xr:uid="{00000000-0005-0000-0000-000067160000}"/>
    <cellStyle name="Normal 105 3 2 3 3 2" xfId="28843" xr:uid="{00000000-0005-0000-0000-000068160000}"/>
    <cellStyle name="Normal 105 3 2 3 4" xfId="20800" xr:uid="{00000000-0005-0000-0000-000069160000}"/>
    <cellStyle name="Normal 105 3 2 4" xfId="6879" xr:uid="{00000000-0005-0000-0000-00006A160000}"/>
    <cellStyle name="Normal 105 3 2 4 2" xfId="16242" xr:uid="{00000000-0005-0000-0000-00006B160000}"/>
    <cellStyle name="Normal 105 3 2 4 2 2" xfId="32816" xr:uid="{00000000-0005-0000-0000-00006C160000}"/>
    <cellStyle name="Normal 105 3 2 4 3" xfId="24769" xr:uid="{00000000-0005-0000-0000-00006D160000}"/>
    <cellStyle name="Normal 105 3 2 5" xfId="12316" xr:uid="{00000000-0005-0000-0000-00006E160000}"/>
    <cellStyle name="Normal 105 3 2 5 2" xfId="28840" xr:uid="{00000000-0005-0000-0000-00006F160000}"/>
    <cellStyle name="Normal 105 3 2 6" xfId="20797" xr:uid="{00000000-0005-0000-0000-000070160000}"/>
    <cellStyle name="Normal 105 3 3" xfId="2624" xr:uid="{00000000-0005-0000-0000-000071160000}"/>
    <cellStyle name="Normal 105 3 3 2" xfId="2625" xr:uid="{00000000-0005-0000-0000-000072160000}"/>
    <cellStyle name="Normal 105 3 3 2 2" xfId="6880" xr:uid="{00000000-0005-0000-0000-000073160000}"/>
    <cellStyle name="Normal 105 3 3 2 2 2" xfId="16243" xr:uid="{00000000-0005-0000-0000-000074160000}"/>
    <cellStyle name="Normal 105 3 3 2 2 2 2" xfId="32817" xr:uid="{00000000-0005-0000-0000-000075160000}"/>
    <cellStyle name="Normal 105 3 3 2 2 3" xfId="24770" xr:uid="{00000000-0005-0000-0000-000076160000}"/>
    <cellStyle name="Normal 105 3 3 2 3" xfId="12321" xr:uid="{00000000-0005-0000-0000-000077160000}"/>
    <cellStyle name="Normal 105 3 3 2 3 2" xfId="28845" xr:uid="{00000000-0005-0000-0000-000078160000}"/>
    <cellStyle name="Normal 105 3 3 2 4" xfId="20802" xr:uid="{00000000-0005-0000-0000-000079160000}"/>
    <cellStyle name="Normal 105 3 3 3" xfId="6881" xr:uid="{00000000-0005-0000-0000-00007A160000}"/>
    <cellStyle name="Normal 105 3 3 3 2" xfId="16244" xr:uid="{00000000-0005-0000-0000-00007B160000}"/>
    <cellStyle name="Normal 105 3 3 3 2 2" xfId="32818" xr:uid="{00000000-0005-0000-0000-00007C160000}"/>
    <cellStyle name="Normal 105 3 3 3 3" xfId="24771" xr:uid="{00000000-0005-0000-0000-00007D160000}"/>
    <cellStyle name="Normal 105 3 3 4" xfId="12320" xr:uid="{00000000-0005-0000-0000-00007E160000}"/>
    <cellStyle name="Normal 105 3 3 4 2" xfId="28844" xr:uid="{00000000-0005-0000-0000-00007F160000}"/>
    <cellStyle name="Normal 105 3 3 5" xfId="20801" xr:uid="{00000000-0005-0000-0000-000080160000}"/>
    <cellStyle name="Normal 105 3 4" xfId="2626" xr:uid="{00000000-0005-0000-0000-000081160000}"/>
    <cellStyle name="Normal 105 3 4 2" xfId="6882" xr:uid="{00000000-0005-0000-0000-000082160000}"/>
    <cellStyle name="Normal 105 3 4 2 2" xfId="16245" xr:uid="{00000000-0005-0000-0000-000083160000}"/>
    <cellStyle name="Normal 105 3 4 2 2 2" xfId="32819" xr:uid="{00000000-0005-0000-0000-000084160000}"/>
    <cellStyle name="Normal 105 3 4 2 3" xfId="24772" xr:uid="{00000000-0005-0000-0000-000085160000}"/>
    <cellStyle name="Normal 105 3 4 3" xfId="12322" xr:uid="{00000000-0005-0000-0000-000086160000}"/>
    <cellStyle name="Normal 105 3 4 3 2" xfId="28846" xr:uid="{00000000-0005-0000-0000-000087160000}"/>
    <cellStyle name="Normal 105 3 4 4" xfId="20803" xr:uid="{00000000-0005-0000-0000-000088160000}"/>
    <cellStyle name="Normal 105 3 5" xfId="2627" xr:uid="{00000000-0005-0000-0000-000089160000}"/>
    <cellStyle name="Normal 105 3 5 2" xfId="12323" xr:uid="{00000000-0005-0000-0000-00008A160000}"/>
    <cellStyle name="Normal 105 3 5 2 2" xfId="28847" xr:uid="{00000000-0005-0000-0000-00008B160000}"/>
    <cellStyle name="Normal 105 3 5 3" xfId="20804" xr:uid="{00000000-0005-0000-0000-00008C160000}"/>
    <cellStyle name="Normal 105 4" xfId="2628" xr:uid="{00000000-0005-0000-0000-00008D160000}"/>
    <cellStyle name="Normal 105 4 2" xfId="2629" xr:uid="{00000000-0005-0000-0000-00008E160000}"/>
    <cellStyle name="Normal 105 4 2 2" xfId="2630" xr:uid="{00000000-0005-0000-0000-00008F160000}"/>
    <cellStyle name="Normal 105 4 2 2 2" xfId="2631" xr:uid="{00000000-0005-0000-0000-000090160000}"/>
    <cellStyle name="Normal 105 4 2 2 2 2" xfId="6883" xr:uid="{00000000-0005-0000-0000-000091160000}"/>
    <cellStyle name="Normal 105 4 2 2 2 2 2" xfId="16246" xr:uid="{00000000-0005-0000-0000-000092160000}"/>
    <cellStyle name="Normal 105 4 2 2 2 2 2 2" xfId="32820" xr:uid="{00000000-0005-0000-0000-000093160000}"/>
    <cellStyle name="Normal 105 4 2 2 2 2 3" xfId="24773" xr:uid="{00000000-0005-0000-0000-000094160000}"/>
    <cellStyle name="Normal 105 4 2 2 2 3" xfId="12327" xr:uid="{00000000-0005-0000-0000-000095160000}"/>
    <cellStyle name="Normal 105 4 2 2 2 3 2" xfId="28851" xr:uid="{00000000-0005-0000-0000-000096160000}"/>
    <cellStyle name="Normal 105 4 2 2 2 4" xfId="20808" xr:uid="{00000000-0005-0000-0000-000097160000}"/>
    <cellStyle name="Normal 105 4 2 2 3" xfId="6884" xr:uid="{00000000-0005-0000-0000-000098160000}"/>
    <cellStyle name="Normal 105 4 2 2 3 2" xfId="16247" xr:uid="{00000000-0005-0000-0000-000099160000}"/>
    <cellStyle name="Normal 105 4 2 2 3 2 2" xfId="32821" xr:uid="{00000000-0005-0000-0000-00009A160000}"/>
    <cellStyle name="Normal 105 4 2 2 3 3" xfId="24774" xr:uid="{00000000-0005-0000-0000-00009B160000}"/>
    <cellStyle name="Normal 105 4 2 2 4" xfId="12326" xr:uid="{00000000-0005-0000-0000-00009C160000}"/>
    <cellStyle name="Normal 105 4 2 2 4 2" xfId="28850" xr:uid="{00000000-0005-0000-0000-00009D160000}"/>
    <cellStyle name="Normal 105 4 2 2 5" xfId="20807" xr:uid="{00000000-0005-0000-0000-00009E160000}"/>
    <cellStyle name="Normal 105 4 2 3" xfId="2632" xr:uid="{00000000-0005-0000-0000-00009F160000}"/>
    <cellStyle name="Normal 105 4 2 3 2" xfId="6885" xr:uid="{00000000-0005-0000-0000-0000A0160000}"/>
    <cellStyle name="Normal 105 4 2 3 2 2" xfId="16248" xr:uid="{00000000-0005-0000-0000-0000A1160000}"/>
    <cellStyle name="Normal 105 4 2 3 2 2 2" xfId="32822" xr:uid="{00000000-0005-0000-0000-0000A2160000}"/>
    <cellStyle name="Normal 105 4 2 3 2 3" xfId="24775" xr:uid="{00000000-0005-0000-0000-0000A3160000}"/>
    <cellStyle name="Normal 105 4 2 3 3" xfId="12328" xr:uid="{00000000-0005-0000-0000-0000A4160000}"/>
    <cellStyle name="Normal 105 4 2 3 3 2" xfId="28852" xr:uid="{00000000-0005-0000-0000-0000A5160000}"/>
    <cellStyle name="Normal 105 4 2 3 4" xfId="20809" xr:uid="{00000000-0005-0000-0000-0000A6160000}"/>
    <cellStyle name="Normal 105 4 2 4" xfId="6886" xr:uid="{00000000-0005-0000-0000-0000A7160000}"/>
    <cellStyle name="Normal 105 4 2 4 2" xfId="16249" xr:uid="{00000000-0005-0000-0000-0000A8160000}"/>
    <cellStyle name="Normal 105 4 2 4 2 2" xfId="32823" xr:uid="{00000000-0005-0000-0000-0000A9160000}"/>
    <cellStyle name="Normal 105 4 2 4 3" xfId="24776" xr:uid="{00000000-0005-0000-0000-0000AA160000}"/>
    <cellStyle name="Normal 105 4 2 5" xfId="12325" xr:uid="{00000000-0005-0000-0000-0000AB160000}"/>
    <cellStyle name="Normal 105 4 2 5 2" xfId="28849" xr:uid="{00000000-0005-0000-0000-0000AC160000}"/>
    <cellStyle name="Normal 105 4 2 6" xfId="20806" xr:uid="{00000000-0005-0000-0000-0000AD160000}"/>
    <cellStyle name="Normal 105 4 3" xfId="2633" xr:uid="{00000000-0005-0000-0000-0000AE160000}"/>
    <cellStyle name="Normal 105 4 3 2" xfId="2634" xr:uid="{00000000-0005-0000-0000-0000AF160000}"/>
    <cellStyle name="Normal 105 4 3 2 2" xfId="6887" xr:uid="{00000000-0005-0000-0000-0000B0160000}"/>
    <cellStyle name="Normal 105 4 3 2 2 2" xfId="16250" xr:uid="{00000000-0005-0000-0000-0000B1160000}"/>
    <cellStyle name="Normal 105 4 3 2 2 2 2" xfId="32824" xr:uid="{00000000-0005-0000-0000-0000B2160000}"/>
    <cellStyle name="Normal 105 4 3 2 2 3" xfId="24777" xr:uid="{00000000-0005-0000-0000-0000B3160000}"/>
    <cellStyle name="Normal 105 4 3 2 3" xfId="12330" xr:uid="{00000000-0005-0000-0000-0000B4160000}"/>
    <cellStyle name="Normal 105 4 3 2 3 2" xfId="28854" xr:uid="{00000000-0005-0000-0000-0000B5160000}"/>
    <cellStyle name="Normal 105 4 3 2 4" xfId="20811" xr:uid="{00000000-0005-0000-0000-0000B6160000}"/>
    <cellStyle name="Normal 105 4 3 3" xfId="6888" xr:uid="{00000000-0005-0000-0000-0000B7160000}"/>
    <cellStyle name="Normal 105 4 3 3 2" xfId="16251" xr:uid="{00000000-0005-0000-0000-0000B8160000}"/>
    <cellStyle name="Normal 105 4 3 3 2 2" xfId="32825" xr:uid="{00000000-0005-0000-0000-0000B9160000}"/>
    <cellStyle name="Normal 105 4 3 3 3" xfId="24778" xr:uid="{00000000-0005-0000-0000-0000BA160000}"/>
    <cellStyle name="Normal 105 4 3 4" xfId="12329" xr:uid="{00000000-0005-0000-0000-0000BB160000}"/>
    <cellStyle name="Normal 105 4 3 4 2" xfId="28853" xr:uid="{00000000-0005-0000-0000-0000BC160000}"/>
    <cellStyle name="Normal 105 4 3 5" xfId="20810" xr:uid="{00000000-0005-0000-0000-0000BD160000}"/>
    <cellStyle name="Normal 105 4 4" xfId="2635" xr:uid="{00000000-0005-0000-0000-0000BE160000}"/>
    <cellStyle name="Normal 105 4 4 2" xfId="6889" xr:uid="{00000000-0005-0000-0000-0000BF160000}"/>
    <cellStyle name="Normal 105 4 4 2 2" xfId="16252" xr:uid="{00000000-0005-0000-0000-0000C0160000}"/>
    <cellStyle name="Normal 105 4 4 2 2 2" xfId="32826" xr:uid="{00000000-0005-0000-0000-0000C1160000}"/>
    <cellStyle name="Normal 105 4 4 2 3" xfId="24779" xr:uid="{00000000-0005-0000-0000-0000C2160000}"/>
    <cellStyle name="Normal 105 4 4 3" xfId="12331" xr:uid="{00000000-0005-0000-0000-0000C3160000}"/>
    <cellStyle name="Normal 105 4 4 3 2" xfId="28855" xr:uid="{00000000-0005-0000-0000-0000C4160000}"/>
    <cellStyle name="Normal 105 4 4 4" xfId="20812" xr:uid="{00000000-0005-0000-0000-0000C5160000}"/>
    <cellStyle name="Normal 105 4 5" xfId="6890" xr:uid="{00000000-0005-0000-0000-0000C6160000}"/>
    <cellStyle name="Normal 105 4 5 2" xfId="16253" xr:uid="{00000000-0005-0000-0000-0000C7160000}"/>
    <cellStyle name="Normal 105 4 5 2 2" xfId="32827" xr:uid="{00000000-0005-0000-0000-0000C8160000}"/>
    <cellStyle name="Normal 105 4 5 3" xfId="24780" xr:uid="{00000000-0005-0000-0000-0000C9160000}"/>
    <cellStyle name="Normal 105 4 6" xfId="12324" xr:uid="{00000000-0005-0000-0000-0000CA160000}"/>
    <cellStyle name="Normal 105 4 6 2" xfId="28848" xr:uid="{00000000-0005-0000-0000-0000CB160000}"/>
    <cellStyle name="Normal 105 4 7" xfId="20805" xr:uid="{00000000-0005-0000-0000-0000CC160000}"/>
    <cellStyle name="Normal 105 5" xfId="2636" xr:uid="{00000000-0005-0000-0000-0000CD160000}"/>
    <cellStyle name="Normal 105 5 2" xfId="2637" xr:uid="{00000000-0005-0000-0000-0000CE160000}"/>
    <cellStyle name="Normal 105 5 2 2" xfId="2638" xr:uid="{00000000-0005-0000-0000-0000CF160000}"/>
    <cellStyle name="Normal 105 5 2 2 2" xfId="2639" xr:uid="{00000000-0005-0000-0000-0000D0160000}"/>
    <cellStyle name="Normal 105 5 2 2 2 2" xfId="6891" xr:uid="{00000000-0005-0000-0000-0000D1160000}"/>
    <cellStyle name="Normal 105 5 2 2 2 2 2" xfId="16254" xr:uid="{00000000-0005-0000-0000-0000D2160000}"/>
    <cellStyle name="Normal 105 5 2 2 2 2 2 2" xfId="32828" xr:uid="{00000000-0005-0000-0000-0000D3160000}"/>
    <cellStyle name="Normal 105 5 2 2 2 2 3" xfId="24781" xr:uid="{00000000-0005-0000-0000-0000D4160000}"/>
    <cellStyle name="Normal 105 5 2 2 2 3" xfId="12335" xr:uid="{00000000-0005-0000-0000-0000D5160000}"/>
    <cellStyle name="Normal 105 5 2 2 2 3 2" xfId="28859" xr:uid="{00000000-0005-0000-0000-0000D6160000}"/>
    <cellStyle name="Normal 105 5 2 2 2 4" xfId="20816" xr:uid="{00000000-0005-0000-0000-0000D7160000}"/>
    <cellStyle name="Normal 105 5 2 2 3" xfId="6892" xr:uid="{00000000-0005-0000-0000-0000D8160000}"/>
    <cellStyle name="Normal 105 5 2 2 3 2" xfId="16255" xr:uid="{00000000-0005-0000-0000-0000D9160000}"/>
    <cellStyle name="Normal 105 5 2 2 3 2 2" xfId="32829" xr:uid="{00000000-0005-0000-0000-0000DA160000}"/>
    <cellStyle name="Normal 105 5 2 2 3 3" xfId="24782" xr:uid="{00000000-0005-0000-0000-0000DB160000}"/>
    <cellStyle name="Normal 105 5 2 2 4" xfId="12334" xr:uid="{00000000-0005-0000-0000-0000DC160000}"/>
    <cellStyle name="Normal 105 5 2 2 4 2" xfId="28858" xr:uid="{00000000-0005-0000-0000-0000DD160000}"/>
    <cellStyle name="Normal 105 5 2 2 5" xfId="20815" xr:uid="{00000000-0005-0000-0000-0000DE160000}"/>
    <cellStyle name="Normal 105 5 2 3" xfId="2640" xr:uid="{00000000-0005-0000-0000-0000DF160000}"/>
    <cellStyle name="Normal 105 5 2 3 2" xfId="6893" xr:uid="{00000000-0005-0000-0000-0000E0160000}"/>
    <cellStyle name="Normal 105 5 2 3 2 2" xfId="16256" xr:uid="{00000000-0005-0000-0000-0000E1160000}"/>
    <cellStyle name="Normal 105 5 2 3 2 2 2" xfId="32830" xr:uid="{00000000-0005-0000-0000-0000E2160000}"/>
    <cellStyle name="Normal 105 5 2 3 2 3" xfId="24783" xr:uid="{00000000-0005-0000-0000-0000E3160000}"/>
    <cellStyle name="Normal 105 5 2 3 3" xfId="12336" xr:uid="{00000000-0005-0000-0000-0000E4160000}"/>
    <cellStyle name="Normal 105 5 2 3 3 2" xfId="28860" xr:uid="{00000000-0005-0000-0000-0000E5160000}"/>
    <cellStyle name="Normal 105 5 2 3 4" xfId="20817" xr:uid="{00000000-0005-0000-0000-0000E6160000}"/>
    <cellStyle name="Normal 105 5 2 4" xfId="6894" xr:uid="{00000000-0005-0000-0000-0000E7160000}"/>
    <cellStyle name="Normal 105 5 2 4 2" xfId="16257" xr:uid="{00000000-0005-0000-0000-0000E8160000}"/>
    <cellStyle name="Normal 105 5 2 4 2 2" xfId="32831" xr:uid="{00000000-0005-0000-0000-0000E9160000}"/>
    <cellStyle name="Normal 105 5 2 4 3" xfId="24784" xr:uid="{00000000-0005-0000-0000-0000EA160000}"/>
    <cellStyle name="Normal 105 5 2 5" xfId="12333" xr:uid="{00000000-0005-0000-0000-0000EB160000}"/>
    <cellStyle name="Normal 105 5 2 5 2" xfId="28857" xr:uid="{00000000-0005-0000-0000-0000EC160000}"/>
    <cellStyle name="Normal 105 5 2 6" xfId="20814" xr:uid="{00000000-0005-0000-0000-0000ED160000}"/>
    <cellStyle name="Normal 105 5 3" xfId="2641" xr:uid="{00000000-0005-0000-0000-0000EE160000}"/>
    <cellStyle name="Normal 105 5 3 2" xfId="2642" xr:uid="{00000000-0005-0000-0000-0000EF160000}"/>
    <cellStyle name="Normal 105 5 3 2 2" xfId="6895" xr:uid="{00000000-0005-0000-0000-0000F0160000}"/>
    <cellStyle name="Normal 105 5 3 2 2 2" xfId="16258" xr:uid="{00000000-0005-0000-0000-0000F1160000}"/>
    <cellStyle name="Normal 105 5 3 2 2 2 2" xfId="32832" xr:uid="{00000000-0005-0000-0000-0000F2160000}"/>
    <cellStyle name="Normal 105 5 3 2 2 3" xfId="24785" xr:uid="{00000000-0005-0000-0000-0000F3160000}"/>
    <cellStyle name="Normal 105 5 3 2 3" xfId="12338" xr:uid="{00000000-0005-0000-0000-0000F4160000}"/>
    <cellStyle name="Normal 105 5 3 2 3 2" xfId="28862" xr:uid="{00000000-0005-0000-0000-0000F5160000}"/>
    <cellStyle name="Normal 105 5 3 2 4" xfId="20819" xr:uid="{00000000-0005-0000-0000-0000F6160000}"/>
    <cellStyle name="Normal 105 5 3 3" xfId="6896" xr:uid="{00000000-0005-0000-0000-0000F7160000}"/>
    <cellStyle name="Normal 105 5 3 3 2" xfId="16259" xr:uid="{00000000-0005-0000-0000-0000F8160000}"/>
    <cellStyle name="Normal 105 5 3 3 2 2" xfId="32833" xr:uid="{00000000-0005-0000-0000-0000F9160000}"/>
    <cellStyle name="Normal 105 5 3 3 3" xfId="24786" xr:uid="{00000000-0005-0000-0000-0000FA160000}"/>
    <cellStyle name="Normal 105 5 3 4" xfId="12337" xr:uid="{00000000-0005-0000-0000-0000FB160000}"/>
    <cellStyle name="Normal 105 5 3 4 2" xfId="28861" xr:uid="{00000000-0005-0000-0000-0000FC160000}"/>
    <cellStyle name="Normal 105 5 3 5" xfId="20818" xr:uid="{00000000-0005-0000-0000-0000FD160000}"/>
    <cellStyle name="Normal 105 5 4" xfId="2643" xr:uid="{00000000-0005-0000-0000-0000FE160000}"/>
    <cellStyle name="Normal 105 5 4 2" xfId="6897" xr:uid="{00000000-0005-0000-0000-0000FF160000}"/>
    <cellStyle name="Normal 105 5 4 2 2" xfId="16260" xr:uid="{00000000-0005-0000-0000-000000170000}"/>
    <cellStyle name="Normal 105 5 4 2 2 2" xfId="32834" xr:uid="{00000000-0005-0000-0000-000001170000}"/>
    <cellStyle name="Normal 105 5 4 2 3" xfId="24787" xr:uid="{00000000-0005-0000-0000-000002170000}"/>
    <cellStyle name="Normal 105 5 4 3" xfId="12339" xr:uid="{00000000-0005-0000-0000-000003170000}"/>
    <cellStyle name="Normal 105 5 4 3 2" xfId="28863" xr:uid="{00000000-0005-0000-0000-000004170000}"/>
    <cellStyle name="Normal 105 5 4 4" xfId="20820" xr:uid="{00000000-0005-0000-0000-000005170000}"/>
    <cellStyle name="Normal 105 5 5" xfId="6898" xr:uid="{00000000-0005-0000-0000-000006170000}"/>
    <cellStyle name="Normal 105 5 5 2" xfId="16261" xr:uid="{00000000-0005-0000-0000-000007170000}"/>
    <cellStyle name="Normal 105 5 5 2 2" xfId="32835" xr:uid="{00000000-0005-0000-0000-000008170000}"/>
    <cellStyle name="Normal 105 5 5 3" xfId="24788" xr:uid="{00000000-0005-0000-0000-000009170000}"/>
    <cellStyle name="Normal 105 5 6" xfId="12332" xr:uid="{00000000-0005-0000-0000-00000A170000}"/>
    <cellStyle name="Normal 105 5 6 2" xfId="28856" xr:uid="{00000000-0005-0000-0000-00000B170000}"/>
    <cellStyle name="Normal 105 5 7" xfId="20813" xr:uid="{00000000-0005-0000-0000-00000C170000}"/>
    <cellStyle name="Normal 105 6" xfId="2644" xr:uid="{00000000-0005-0000-0000-00000D170000}"/>
    <cellStyle name="Normal 105 6 2" xfId="2645" xr:uid="{00000000-0005-0000-0000-00000E170000}"/>
    <cellStyle name="Normal 105 6 2 2" xfId="2646" xr:uid="{00000000-0005-0000-0000-00000F170000}"/>
    <cellStyle name="Normal 105 6 2 2 2" xfId="6899" xr:uid="{00000000-0005-0000-0000-000010170000}"/>
    <cellStyle name="Normal 105 6 2 2 2 2" xfId="16262" xr:uid="{00000000-0005-0000-0000-000011170000}"/>
    <cellStyle name="Normal 105 6 2 2 2 2 2" xfId="32836" xr:uid="{00000000-0005-0000-0000-000012170000}"/>
    <cellStyle name="Normal 105 6 2 2 2 3" xfId="24789" xr:uid="{00000000-0005-0000-0000-000013170000}"/>
    <cellStyle name="Normal 105 6 2 2 3" xfId="12342" xr:uid="{00000000-0005-0000-0000-000014170000}"/>
    <cellStyle name="Normal 105 6 2 2 3 2" xfId="28866" xr:uid="{00000000-0005-0000-0000-000015170000}"/>
    <cellStyle name="Normal 105 6 2 2 4" xfId="20823" xr:uid="{00000000-0005-0000-0000-000016170000}"/>
    <cellStyle name="Normal 105 6 2 3" xfId="6900" xr:uid="{00000000-0005-0000-0000-000017170000}"/>
    <cellStyle name="Normal 105 6 2 3 2" xfId="16263" xr:uid="{00000000-0005-0000-0000-000018170000}"/>
    <cellStyle name="Normal 105 6 2 3 2 2" xfId="32837" xr:uid="{00000000-0005-0000-0000-000019170000}"/>
    <cellStyle name="Normal 105 6 2 3 3" xfId="24790" xr:uid="{00000000-0005-0000-0000-00001A170000}"/>
    <cellStyle name="Normal 105 6 2 4" xfId="12341" xr:uid="{00000000-0005-0000-0000-00001B170000}"/>
    <cellStyle name="Normal 105 6 2 4 2" xfId="28865" xr:uid="{00000000-0005-0000-0000-00001C170000}"/>
    <cellStyle name="Normal 105 6 2 5" xfId="20822" xr:uid="{00000000-0005-0000-0000-00001D170000}"/>
    <cellStyle name="Normal 105 6 3" xfId="2647" xr:uid="{00000000-0005-0000-0000-00001E170000}"/>
    <cellStyle name="Normal 105 6 3 2" xfId="6901" xr:uid="{00000000-0005-0000-0000-00001F170000}"/>
    <cellStyle name="Normal 105 6 3 2 2" xfId="16264" xr:uid="{00000000-0005-0000-0000-000020170000}"/>
    <cellStyle name="Normal 105 6 3 2 2 2" xfId="32838" xr:uid="{00000000-0005-0000-0000-000021170000}"/>
    <cellStyle name="Normal 105 6 3 2 3" xfId="24791" xr:uid="{00000000-0005-0000-0000-000022170000}"/>
    <cellStyle name="Normal 105 6 3 3" xfId="12343" xr:uid="{00000000-0005-0000-0000-000023170000}"/>
    <cellStyle name="Normal 105 6 3 3 2" xfId="28867" xr:uid="{00000000-0005-0000-0000-000024170000}"/>
    <cellStyle name="Normal 105 6 3 4" xfId="20824" xr:uid="{00000000-0005-0000-0000-000025170000}"/>
    <cellStyle name="Normal 105 6 4" xfId="6902" xr:uid="{00000000-0005-0000-0000-000026170000}"/>
    <cellStyle name="Normal 105 6 4 2" xfId="16265" xr:uid="{00000000-0005-0000-0000-000027170000}"/>
    <cellStyle name="Normal 105 6 4 2 2" xfId="32839" xr:uid="{00000000-0005-0000-0000-000028170000}"/>
    <cellStyle name="Normal 105 6 4 3" xfId="24792" xr:uid="{00000000-0005-0000-0000-000029170000}"/>
    <cellStyle name="Normal 105 6 5" xfId="12340" xr:uid="{00000000-0005-0000-0000-00002A170000}"/>
    <cellStyle name="Normal 105 6 5 2" xfId="28864" xr:uid="{00000000-0005-0000-0000-00002B170000}"/>
    <cellStyle name="Normal 105 6 6" xfId="20821" xr:uid="{00000000-0005-0000-0000-00002C170000}"/>
    <cellStyle name="Normal 105 7" xfId="2648" xr:uid="{00000000-0005-0000-0000-00002D170000}"/>
    <cellStyle name="Normal 105 7 2" xfId="2649" xr:uid="{00000000-0005-0000-0000-00002E170000}"/>
    <cellStyle name="Normal 105 7 2 2" xfId="6903" xr:uid="{00000000-0005-0000-0000-00002F170000}"/>
    <cellStyle name="Normal 105 7 2 2 2" xfId="16266" xr:uid="{00000000-0005-0000-0000-000030170000}"/>
    <cellStyle name="Normal 105 7 2 2 2 2" xfId="32840" xr:uid="{00000000-0005-0000-0000-000031170000}"/>
    <cellStyle name="Normal 105 7 2 2 3" xfId="24793" xr:uid="{00000000-0005-0000-0000-000032170000}"/>
    <cellStyle name="Normal 105 7 2 3" xfId="12345" xr:uid="{00000000-0005-0000-0000-000033170000}"/>
    <cellStyle name="Normal 105 7 2 3 2" xfId="28869" xr:uid="{00000000-0005-0000-0000-000034170000}"/>
    <cellStyle name="Normal 105 7 2 4" xfId="20826" xr:uid="{00000000-0005-0000-0000-000035170000}"/>
    <cellStyle name="Normal 105 7 3" xfId="6904" xr:uid="{00000000-0005-0000-0000-000036170000}"/>
    <cellStyle name="Normal 105 7 3 2" xfId="16267" xr:uid="{00000000-0005-0000-0000-000037170000}"/>
    <cellStyle name="Normal 105 7 3 2 2" xfId="32841" xr:uid="{00000000-0005-0000-0000-000038170000}"/>
    <cellStyle name="Normal 105 7 3 3" xfId="24794" xr:uid="{00000000-0005-0000-0000-000039170000}"/>
    <cellStyle name="Normal 105 7 4" xfId="12344" xr:uid="{00000000-0005-0000-0000-00003A170000}"/>
    <cellStyle name="Normal 105 7 4 2" xfId="28868" xr:uid="{00000000-0005-0000-0000-00003B170000}"/>
    <cellStyle name="Normal 105 7 5" xfId="20825" xr:uid="{00000000-0005-0000-0000-00003C170000}"/>
    <cellStyle name="Normal 105 8" xfId="2650" xr:uid="{00000000-0005-0000-0000-00003D170000}"/>
    <cellStyle name="Normal 105 8 2" xfId="6905" xr:uid="{00000000-0005-0000-0000-00003E170000}"/>
    <cellStyle name="Normal 105 8 2 2" xfId="16268" xr:uid="{00000000-0005-0000-0000-00003F170000}"/>
    <cellStyle name="Normal 105 8 2 2 2" xfId="32842" xr:uid="{00000000-0005-0000-0000-000040170000}"/>
    <cellStyle name="Normal 105 8 2 3" xfId="24795" xr:uid="{00000000-0005-0000-0000-000041170000}"/>
    <cellStyle name="Normal 105 8 3" xfId="12346" xr:uid="{00000000-0005-0000-0000-000042170000}"/>
    <cellStyle name="Normal 105 8 3 2" xfId="28870" xr:uid="{00000000-0005-0000-0000-000043170000}"/>
    <cellStyle name="Normal 105 8 4" xfId="20827" xr:uid="{00000000-0005-0000-0000-000044170000}"/>
    <cellStyle name="Normal 105 9" xfId="6906" xr:uid="{00000000-0005-0000-0000-000045170000}"/>
    <cellStyle name="Normal 105 9 2" xfId="16269" xr:uid="{00000000-0005-0000-0000-000046170000}"/>
    <cellStyle name="Normal 105 9 2 2" xfId="32843" xr:uid="{00000000-0005-0000-0000-000047170000}"/>
    <cellStyle name="Normal 105 9 3" xfId="24796" xr:uid="{00000000-0005-0000-0000-000048170000}"/>
    <cellStyle name="Normal 106" xfId="2651" xr:uid="{00000000-0005-0000-0000-000049170000}"/>
    <cellStyle name="Normal 106 10" xfId="12347" xr:uid="{00000000-0005-0000-0000-00004A170000}"/>
    <cellStyle name="Normal 106 10 2" xfId="28871" xr:uid="{00000000-0005-0000-0000-00004B170000}"/>
    <cellStyle name="Normal 106 11" xfId="20828" xr:uid="{00000000-0005-0000-0000-00004C170000}"/>
    <cellStyle name="Normal 106 2" xfId="2652" xr:uid="{00000000-0005-0000-0000-00004D170000}"/>
    <cellStyle name="Normal 106 2 2" xfId="2653" xr:uid="{00000000-0005-0000-0000-00004E170000}"/>
    <cellStyle name="Normal 106 2 3" xfId="12348" xr:uid="{00000000-0005-0000-0000-00004F170000}"/>
    <cellStyle name="Normal 106 2 3 2" xfId="28872" xr:uid="{00000000-0005-0000-0000-000050170000}"/>
    <cellStyle name="Normal 106 2 4" xfId="20829" xr:uid="{00000000-0005-0000-0000-000051170000}"/>
    <cellStyle name="Normal 106 3" xfId="2654" xr:uid="{00000000-0005-0000-0000-000052170000}"/>
    <cellStyle name="Normal 106 3 2" xfId="2655" xr:uid="{00000000-0005-0000-0000-000053170000}"/>
    <cellStyle name="Normal 106 3 2 2" xfId="2656" xr:uid="{00000000-0005-0000-0000-000054170000}"/>
    <cellStyle name="Normal 106 3 2 2 2" xfId="2657" xr:uid="{00000000-0005-0000-0000-000055170000}"/>
    <cellStyle name="Normal 106 3 2 2 2 2" xfId="6907" xr:uid="{00000000-0005-0000-0000-000056170000}"/>
    <cellStyle name="Normal 106 3 2 2 2 2 2" xfId="16270" xr:uid="{00000000-0005-0000-0000-000057170000}"/>
    <cellStyle name="Normal 106 3 2 2 2 2 2 2" xfId="32844" xr:uid="{00000000-0005-0000-0000-000058170000}"/>
    <cellStyle name="Normal 106 3 2 2 2 2 3" xfId="24797" xr:uid="{00000000-0005-0000-0000-000059170000}"/>
    <cellStyle name="Normal 106 3 2 2 2 3" xfId="12351" xr:uid="{00000000-0005-0000-0000-00005A170000}"/>
    <cellStyle name="Normal 106 3 2 2 2 3 2" xfId="28875" xr:uid="{00000000-0005-0000-0000-00005B170000}"/>
    <cellStyle name="Normal 106 3 2 2 2 4" xfId="20832" xr:uid="{00000000-0005-0000-0000-00005C170000}"/>
    <cellStyle name="Normal 106 3 2 2 3" xfId="6908" xr:uid="{00000000-0005-0000-0000-00005D170000}"/>
    <cellStyle name="Normal 106 3 2 2 3 2" xfId="16271" xr:uid="{00000000-0005-0000-0000-00005E170000}"/>
    <cellStyle name="Normal 106 3 2 2 3 2 2" xfId="32845" xr:uid="{00000000-0005-0000-0000-00005F170000}"/>
    <cellStyle name="Normal 106 3 2 2 3 3" xfId="24798" xr:uid="{00000000-0005-0000-0000-000060170000}"/>
    <cellStyle name="Normal 106 3 2 2 4" xfId="12350" xr:uid="{00000000-0005-0000-0000-000061170000}"/>
    <cellStyle name="Normal 106 3 2 2 4 2" xfId="28874" xr:uid="{00000000-0005-0000-0000-000062170000}"/>
    <cellStyle name="Normal 106 3 2 2 5" xfId="20831" xr:uid="{00000000-0005-0000-0000-000063170000}"/>
    <cellStyle name="Normal 106 3 2 3" xfId="2658" xr:uid="{00000000-0005-0000-0000-000064170000}"/>
    <cellStyle name="Normal 106 3 2 3 2" xfId="6909" xr:uid="{00000000-0005-0000-0000-000065170000}"/>
    <cellStyle name="Normal 106 3 2 3 2 2" xfId="16272" xr:uid="{00000000-0005-0000-0000-000066170000}"/>
    <cellStyle name="Normal 106 3 2 3 2 2 2" xfId="32846" xr:uid="{00000000-0005-0000-0000-000067170000}"/>
    <cellStyle name="Normal 106 3 2 3 2 3" xfId="24799" xr:uid="{00000000-0005-0000-0000-000068170000}"/>
    <cellStyle name="Normal 106 3 2 3 3" xfId="12352" xr:uid="{00000000-0005-0000-0000-000069170000}"/>
    <cellStyle name="Normal 106 3 2 3 3 2" xfId="28876" xr:uid="{00000000-0005-0000-0000-00006A170000}"/>
    <cellStyle name="Normal 106 3 2 3 4" xfId="20833" xr:uid="{00000000-0005-0000-0000-00006B170000}"/>
    <cellStyle name="Normal 106 3 2 4" xfId="6910" xr:uid="{00000000-0005-0000-0000-00006C170000}"/>
    <cellStyle name="Normal 106 3 2 4 2" xfId="16273" xr:uid="{00000000-0005-0000-0000-00006D170000}"/>
    <cellStyle name="Normal 106 3 2 4 2 2" xfId="32847" xr:uid="{00000000-0005-0000-0000-00006E170000}"/>
    <cellStyle name="Normal 106 3 2 4 3" xfId="24800" xr:uid="{00000000-0005-0000-0000-00006F170000}"/>
    <cellStyle name="Normal 106 3 2 5" xfId="12349" xr:uid="{00000000-0005-0000-0000-000070170000}"/>
    <cellStyle name="Normal 106 3 2 5 2" xfId="28873" xr:uid="{00000000-0005-0000-0000-000071170000}"/>
    <cellStyle name="Normal 106 3 2 6" xfId="20830" xr:uid="{00000000-0005-0000-0000-000072170000}"/>
    <cellStyle name="Normal 106 3 3" xfId="2659" xr:uid="{00000000-0005-0000-0000-000073170000}"/>
    <cellStyle name="Normal 106 3 3 2" xfId="2660" xr:uid="{00000000-0005-0000-0000-000074170000}"/>
    <cellStyle name="Normal 106 3 3 2 2" xfId="6911" xr:uid="{00000000-0005-0000-0000-000075170000}"/>
    <cellStyle name="Normal 106 3 3 2 2 2" xfId="16274" xr:uid="{00000000-0005-0000-0000-000076170000}"/>
    <cellStyle name="Normal 106 3 3 2 2 2 2" xfId="32848" xr:uid="{00000000-0005-0000-0000-000077170000}"/>
    <cellStyle name="Normal 106 3 3 2 2 3" xfId="24801" xr:uid="{00000000-0005-0000-0000-000078170000}"/>
    <cellStyle name="Normal 106 3 3 2 3" xfId="12354" xr:uid="{00000000-0005-0000-0000-000079170000}"/>
    <cellStyle name="Normal 106 3 3 2 3 2" xfId="28878" xr:uid="{00000000-0005-0000-0000-00007A170000}"/>
    <cellStyle name="Normal 106 3 3 2 4" xfId="20835" xr:uid="{00000000-0005-0000-0000-00007B170000}"/>
    <cellStyle name="Normal 106 3 3 3" xfId="6912" xr:uid="{00000000-0005-0000-0000-00007C170000}"/>
    <cellStyle name="Normal 106 3 3 3 2" xfId="16275" xr:uid="{00000000-0005-0000-0000-00007D170000}"/>
    <cellStyle name="Normal 106 3 3 3 2 2" xfId="32849" xr:uid="{00000000-0005-0000-0000-00007E170000}"/>
    <cellStyle name="Normal 106 3 3 3 3" xfId="24802" xr:uid="{00000000-0005-0000-0000-00007F170000}"/>
    <cellStyle name="Normal 106 3 3 4" xfId="12353" xr:uid="{00000000-0005-0000-0000-000080170000}"/>
    <cellStyle name="Normal 106 3 3 4 2" xfId="28877" xr:uid="{00000000-0005-0000-0000-000081170000}"/>
    <cellStyle name="Normal 106 3 3 5" xfId="20834" xr:uid="{00000000-0005-0000-0000-000082170000}"/>
    <cellStyle name="Normal 106 3 4" xfId="2661" xr:uid="{00000000-0005-0000-0000-000083170000}"/>
    <cellStyle name="Normal 106 3 4 2" xfId="6913" xr:uid="{00000000-0005-0000-0000-000084170000}"/>
    <cellStyle name="Normal 106 3 4 2 2" xfId="16276" xr:uid="{00000000-0005-0000-0000-000085170000}"/>
    <cellStyle name="Normal 106 3 4 2 2 2" xfId="32850" xr:uid="{00000000-0005-0000-0000-000086170000}"/>
    <cellStyle name="Normal 106 3 4 2 3" xfId="24803" xr:uid="{00000000-0005-0000-0000-000087170000}"/>
    <cellStyle name="Normal 106 3 4 3" xfId="12355" xr:uid="{00000000-0005-0000-0000-000088170000}"/>
    <cellStyle name="Normal 106 3 4 3 2" xfId="28879" xr:uid="{00000000-0005-0000-0000-000089170000}"/>
    <cellStyle name="Normal 106 3 4 4" xfId="20836" xr:uid="{00000000-0005-0000-0000-00008A170000}"/>
    <cellStyle name="Normal 106 3 5" xfId="2662" xr:uid="{00000000-0005-0000-0000-00008B170000}"/>
    <cellStyle name="Normal 106 3 5 2" xfId="12356" xr:uid="{00000000-0005-0000-0000-00008C170000}"/>
    <cellStyle name="Normal 106 3 5 2 2" xfId="28880" xr:uid="{00000000-0005-0000-0000-00008D170000}"/>
    <cellStyle name="Normal 106 3 5 3" xfId="20837" xr:uid="{00000000-0005-0000-0000-00008E170000}"/>
    <cellStyle name="Normal 106 4" xfId="2663" xr:uid="{00000000-0005-0000-0000-00008F170000}"/>
    <cellStyle name="Normal 106 4 2" xfId="2664" xr:uid="{00000000-0005-0000-0000-000090170000}"/>
    <cellStyle name="Normal 106 4 2 2" xfId="2665" xr:uid="{00000000-0005-0000-0000-000091170000}"/>
    <cellStyle name="Normal 106 4 2 2 2" xfId="2666" xr:uid="{00000000-0005-0000-0000-000092170000}"/>
    <cellStyle name="Normal 106 4 2 2 2 2" xfId="6914" xr:uid="{00000000-0005-0000-0000-000093170000}"/>
    <cellStyle name="Normal 106 4 2 2 2 2 2" xfId="16277" xr:uid="{00000000-0005-0000-0000-000094170000}"/>
    <cellStyle name="Normal 106 4 2 2 2 2 2 2" xfId="32851" xr:uid="{00000000-0005-0000-0000-000095170000}"/>
    <cellStyle name="Normal 106 4 2 2 2 2 3" xfId="24804" xr:uid="{00000000-0005-0000-0000-000096170000}"/>
    <cellStyle name="Normal 106 4 2 2 2 3" xfId="12360" xr:uid="{00000000-0005-0000-0000-000097170000}"/>
    <cellStyle name="Normal 106 4 2 2 2 3 2" xfId="28884" xr:uid="{00000000-0005-0000-0000-000098170000}"/>
    <cellStyle name="Normal 106 4 2 2 2 4" xfId="20841" xr:uid="{00000000-0005-0000-0000-000099170000}"/>
    <cellStyle name="Normal 106 4 2 2 3" xfId="6915" xr:uid="{00000000-0005-0000-0000-00009A170000}"/>
    <cellStyle name="Normal 106 4 2 2 3 2" xfId="16278" xr:uid="{00000000-0005-0000-0000-00009B170000}"/>
    <cellStyle name="Normal 106 4 2 2 3 2 2" xfId="32852" xr:uid="{00000000-0005-0000-0000-00009C170000}"/>
    <cellStyle name="Normal 106 4 2 2 3 3" xfId="24805" xr:uid="{00000000-0005-0000-0000-00009D170000}"/>
    <cellStyle name="Normal 106 4 2 2 4" xfId="12359" xr:uid="{00000000-0005-0000-0000-00009E170000}"/>
    <cellStyle name="Normal 106 4 2 2 4 2" xfId="28883" xr:uid="{00000000-0005-0000-0000-00009F170000}"/>
    <cellStyle name="Normal 106 4 2 2 5" xfId="20840" xr:uid="{00000000-0005-0000-0000-0000A0170000}"/>
    <cellStyle name="Normal 106 4 2 3" xfId="2667" xr:uid="{00000000-0005-0000-0000-0000A1170000}"/>
    <cellStyle name="Normal 106 4 2 3 2" xfId="6916" xr:uid="{00000000-0005-0000-0000-0000A2170000}"/>
    <cellStyle name="Normal 106 4 2 3 2 2" xfId="16279" xr:uid="{00000000-0005-0000-0000-0000A3170000}"/>
    <cellStyle name="Normal 106 4 2 3 2 2 2" xfId="32853" xr:uid="{00000000-0005-0000-0000-0000A4170000}"/>
    <cellStyle name="Normal 106 4 2 3 2 3" xfId="24806" xr:uid="{00000000-0005-0000-0000-0000A5170000}"/>
    <cellStyle name="Normal 106 4 2 3 3" xfId="12361" xr:uid="{00000000-0005-0000-0000-0000A6170000}"/>
    <cellStyle name="Normal 106 4 2 3 3 2" xfId="28885" xr:uid="{00000000-0005-0000-0000-0000A7170000}"/>
    <cellStyle name="Normal 106 4 2 3 4" xfId="20842" xr:uid="{00000000-0005-0000-0000-0000A8170000}"/>
    <cellStyle name="Normal 106 4 2 4" xfId="6917" xr:uid="{00000000-0005-0000-0000-0000A9170000}"/>
    <cellStyle name="Normal 106 4 2 4 2" xfId="16280" xr:uid="{00000000-0005-0000-0000-0000AA170000}"/>
    <cellStyle name="Normal 106 4 2 4 2 2" xfId="32854" xr:uid="{00000000-0005-0000-0000-0000AB170000}"/>
    <cellStyle name="Normal 106 4 2 4 3" xfId="24807" xr:uid="{00000000-0005-0000-0000-0000AC170000}"/>
    <cellStyle name="Normal 106 4 2 5" xfId="12358" xr:uid="{00000000-0005-0000-0000-0000AD170000}"/>
    <cellStyle name="Normal 106 4 2 5 2" xfId="28882" xr:uid="{00000000-0005-0000-0000-0000AE170000}"/>
    <cellStyle name="Normal 106 4 2 6" xfId="20839" xr:uid="{00000000-0005-0000-0000-0000AF170000}"/>
    <cellStyle name="Normal 106 4 3" xfId="2668" xr:uid="{00000000-0005-0000-0000-0000B0170000}"/>
    <cellStyle name="Normal 106 4 3 2" xfId="2669" xr:uid="{00000000-0005-0000-0000-0000B1170000}"/>
    <cellStyle name="Normal 106 4 3 2 2" xfId="6918" xr:uid="{00000000-0005-0000-0000-0000B2170000}"/>
    <cellStyle name="Normal 106 4 3 2 2 2" xfId="16281" xr:uid="{00000000-0005-0000-0000-0000B3170000}"/>
    <cellStyle name="Normal 106 4 3 2 2 2 2" xfId="32855" xr:uid="{00000000-0005-0000-0000-0000B4170000}"/>
    <cellStyle name="Normal 106 4 3 2 2 3" xfId="24808" xr:uid="{00000000-0005-0000-0000-0000B5170000}"/>
    <cellStyle name="Normal 106 4 3 2 3" xfId="12363" xr:uid="{00000000-0005-0000-0000-0000B6170000}"/>
    <cellStyle name="Normal 106 4 3 2 3 2" xfId="28887" xr:uid="{00000000-0005-0000-0000-0000B7170000}"/>
    <cellStyle name="Normal 106 4 3 2 4" xfId="20844" xr:uid="{00000000-0005-0000-0000-0000B8170000}"/>
    <cellStyle name="Normal 106 4 3 3" xfId="6919" xr:uid="{00000000-0005-0000-0000-0000B9170000}"/>
    <cellStyle name="Normal 106 4 3 3 2" xfId="16282" xr:uid="{00000000-0005-0000-0000-0000BA170000}"/>
    <cellStyle name="Normal 106 4 3 3 2 2" xfId="32856" xr:uid="{00000000-0005-0000-0000-0000BB170000}"/>
    <cellStyle name="Normal 106 4 3 3 3" xfId="24809" xr:uid="{00000000-0005-0000-0000-0000BC170000}"/>
    <cellStyle name="Normal 106 4 3 4" xfId="12362" xr:uid="{00000000-0005-0000-0000-0000BD170000}"/>
    <cellStyle name="Normal 106 4 3 4 2" xfId="28886" xr:uid="{00000000-0005-0000-0000-0000BE170000}"/>
    <cellStyle name="Normal 106 4 3 5" xfId="20843" xr:uid="{00000000-0005-0000-0000-0000BF170000}"/>
    <cellStyle name="Normal 106 4 4" xfId="2670" xr:uid="{00000000-0005-0000-0000-0000C0170000}"/>
    <cellStyle name="Normal 106 4 4 2" xfId="6920" xr:uid="{00000000-0005-0000-0000-0000C1170000}"/>
    <cellStyle name="Normal 106 4 4 2 2" xfId="16283" xr:uid="{00000000-0005-0000-0000-0000C2170000}"/>
    <cellStyle name="Normal 106 4 4 2 2 2" xfId="32857" xr:uid="{00000000-0005-0000-0000-0000C3170000}"/>
    <cellStyle name="Normal 106 4 4 2 3" xfId="24810" xr:uid="{00000000-0005-0000-0000-0000C4170000}"/>
    <cellStyle name="Normal 106 4 4 3" xfId="12364" xr:uid="{00000000-0005-0000-0000-0000C5170000}"/>
    <cellStyle name="Normal 106 4 4 3 2" xfId="28888" xr:uid="{00000000-0005-0000-0000-0000C6170000}"/>
    <cellStyle name="Normal 106 4 4 4" xfId="20845" xr:uid="{00000000-0005-0000-0000-0000C7170000}"/>
    <cellStyle name="Normal 106 4 5" xfId="6921" xr:uid="{00000000-0005-0000-0000-0000C8170000}"/>
    <cellStyle name="Normal 106 4 5 2" xfId="16284" xr:uid="{00000000-0005-0000-0000-0000C9170000}"/>
    <cellStyle name="Normal 106 4 5 2 2" xfId="32858" xr:uid="{00000000-0005-0000-0000-0000CA170000}"/>
    <cellStyle name="Normal 106 4 5 3" xfId="24811" xr:uid="{00000000-0005-0000-0000-0000CB170000}"/>
    <cellStyle name="Normal 106 4 6" xfId="12357" xr:uid="{00000000-0005-0000-0000-0000CC170000}"/>
    <cellStyle name="Normal 106 4 6 2" xfId="28881" xr:uid="{00000000-0005-0000-0000-0000CD170000}"/>
    <cellStyle name="Normal 106 4 7" xfId="20838" xr:uid="{00000000-0005-0000-0000-0000CE170000}"/>
    <cellStyle name="Normal 106 5" xfId="2671" xr:uid="{00000000-0005-0000-0000-0000CF170000}"/>
    <cellStyle name="Normal 106 5 2" xfId="2672" xr:uid="{00000000-0005-0000-0000-0000D0170000}"/>
    <cellStyle name="Normal 106 5 2 2" xfId="2673" xr:uid="{00000000-0005-0000-0000-0000D1170000}"/>
    <cellStyle name="Normal 106 5 2 2 2" xfId="2674" xr:uid="{00000000-0005-0000-0000-0000D2170000}"/>
    <cellStyle name="Normal 106 5 2 2 2 2" xfId="6922" xr:uid="{00000000-0005-0000-0000-0000D3170000}"/>
    <cellStyle name="Normal 106 5 2 2 2 2 2" xfId="16285" xr:uid="{00000000-0005-0000-0000-0000D4170000}"/>
    <cellStyle name="Normal 106 5 2 2 2 2 2 2" xfId="32859" xr:uid="{00000000-0005-0000-0000-0000D5170000}"/>
    <cellStyle name="Normal 106 5 2 2 2 2 3" xfId="24812" xr:uid="{00000000-0005-0000-0000-0000D6170000}"/>
    <cellStyle name="Normal 106 5 2 2 2 3" xfId="12368" xr:uid="{00000000-0005-0000-0000-0000D7170000}"/>
    <cellStyle name="Normal 106 5 2 2 2 3 2" xfId="28892" xr:uid="{00000000-0005-0000-0000-0000D8170000}"/>
    <cellStyle name="Normal 106 5 2 2 2 4" xfId="20849" xr:uid="{00000000-0005-0000-0000-0000D9170000}"/>
    <cellStyle name="Normal 106 5 2 2 3" xfId="6923" xr:uid="{00000000-0005-0000-0000-0000DA170000}"/>
    <cellStyle name="Normal 106 5 2 2 3 2" xfId="16286" xr:uid="{00000000-0005-0000-0000-0000DB170000}"/>
    <cellStyle name="Normal 106 5 2 2 3 2 2" xfId="32860" xr:uid="{00000000-0005-0000-0000-0000DC170000}"/>
    <cellStyle name="Normal 106 5 2 2 3 3" xfId="24813" xr:uid="{00000000-0005-0000-0000-0000DD170000}"/>
    <cellStyle name="Normal 106 5 2 2 4" xfId="12367" xr:uid="{00000000-0005-0000-0000-0000DE170000}"/>
    <cellStyle name="Normal 106 5 2 2 4 2" xfId="28891" xr:uid="{00000000-0005-0000-0000-0000DF170000}"/>
    <cellStyle name="Normal 106 5 2 2 5" xfId="20848" xr:uid="{00000000-0005-0000-0000-0000E0170000}"/>
    <cellStyle name="Normal 106 5 2 3" xfId="2675" xr:uid="{00000000-0005-0000-0000-0000E1170000}"/>
    <cellStyle name="Normal 106 5 2 3 2" xfId="6924" xr:uid="{00000000-0005-0000-0000-0000E2170000}"/>
    <cellStyle name="Normal 106 5 2 3 2 2" xfId="16287" xr:uid="{00000000-0005-0000-0000-0000E3170000}"/>
    <cellStyle name="Normal 106 5 2 3 2 2 2" xfId="32861" xr:uid="{00000000-0005-0000-0000-0000E4170000}"/>
    <cellStyle name="Normal 106 5 2 3 2 3" xfId="24814" xr:uid="{00000000-0005-0000-0000-0000E5170000}"/>
    <cellStyle name="Normal 106 5 2 3 3" xfId="12369" xr:uid="{00000000-0005-0000-0000-0000E6170000}"/>
    <cellStyle name="Normal 106 5 2 3 3 2" xfId="28893" xr:uid="{00000000-0005-0000-0000-0000E7170000}"/>
    <cellStyle name="Normal 106 5 2 3 4" xfId="20850" xr:uid="{00000000-0005-0000-0000-0000E8170000}"/>
    <cellStyle name="Normal 106 5 2 4" xfId="6925" xr:uid="{00000000-0005-0000-0000-0000E9170000}"/>
    <cellStyle name="Normal 106 5 2 4 2" xfId="16288" xr:uid="{00000000-0005-0000-0000-0000EA170000}"/>
    <cellStyle name="Normal 106 5 2 4 2 2" xfId="32862" xr:uid="{00000000-0005-0000-0000-0000EB170000}"/>
    <cellStyle name="Normal 106 5 2 4 3" xfId="24815" xr:uid="{00000000-0005-0000-0000-0000EC170000}"/>
    <cellStyle name="Normal 106 5 2 5" xfId="12366" xr:uid="{00000000-0005-0000-0000-0000ED170000}"/>
    <cellStyle name="Normal 106 5 2 5 2" xfId="28890" xr:uid="{00000000-0005-0000-0000-0000EE170000}"/>
    <cellStyle name="Normal 106 5 2 6" xfId="20847" xr:uid="{00000000-0005-0000-0000-0000EF170000}"/>
    <cellStyle name="Normal 106 5 3" xfId="2676" xr:uid="{00000000-0005-0000-0000-0000F0170000}"/>
    <cellStyle name="Normal 106 5 3 2" xfId="2677" xr:uid="{00000000-0005-0000-0000-0000F1170000}"/>
    <cellStyle name="Normal 106 5 3 2 2" xfId="6926" xr:uid="{00000000-0005-0000-0000-0000F2170000}"/>
    <cellStyle name="Normal 106 5 3 2 2 2" xfId="16289" xr:uid="{00000000-0005-0000-0000-0000F3170000}"/>
    <cellStyle name="Normal 106 5 3 2 2 2 2" xfId="32863" xr:uid="{00000000-0005-0000-0000-0000F4170000}"/>
    <cellStyle name="Normal 106 5 3 2 2 3" xfId="24816" xr:uid="{00000000-0005-0000-0000-0000F5170000}"/>
    <cellStyle name="Normal 106 5 3 2 3" xfId="12371" xr:uid="{00000000-0005-0000-0000-0000F6170000}"/>
    <cellStyle name="Normal 106 5 3 2 3 2" xfId="28895" xr:uid="{00000000-0005-0000-0000-0000F7170000}"/>
    <cellStyle name="Normal 106 5 3 2 4" xfId="20852" xr:uid="{00000000-0005-0000-0000-0000F8170000}"/>
    <cellStyle name="Normal 106 5 3 3" xfId="6927" xr:uid="{00000000-0005-0000-0000-0000F9170000}"/>
    <cellStyle name="Normal 106 5 3 3 2" xfId="16290" xr:uid="{00000000-0005-0000-0000-0000FA170000}"/>
    <cellStyle name="Normal 106 5 3 3 2 2" xfId="32864" xr:uid="{00000000-0005-0000-0000-0000FB170000}"/>
    <cellStyle name="Normal 106 5 3 3 3" xfId="24817" xr:uid="{00000000-0005-0000-0000-0000FC170000}"/>
    <cellStyle name="Normal 106 5 3 4" xfId="12370" xr:uid="{00000000-0005-0000-0000-0000FD170000}"/>
    <cellStyle name="Normal 106 5 3 4 2" xfId="28894" xr:uid="{00000000-0005-0000-0000-0000FE170000}"/>
    <cellStyle name="Normal 106 5 3 5" xfId="20851" xr:uid="{00000000-0005-0000-0000-0000FF170000}"/>
    <cellStyle name="Normal 106 5 4" xfId="2678" xr:uid="{00000000-0005-0000-0000-000000180000}"/>
    <cellStyle name="Normal 106 5 4 2" xfId="6928" xr:uid="{00000000-0005-0000-0000-000001180000}"/>
    <cellStyle name="Normal 106 5 4 2 2" xfId="16291" xr:uid="{00000000-0005-0000-0000-000002180000}"/>
    <cellStyle name="Normal 106 5 4 2 2 2" xfId="32865" xr:uid="{00000000-0005-0000-0000-000003180000}"/>
    <cellStyle name="Normal 106 5 4 2 3" xfId="24818" xr:uid="{00000000-0005-0000-0000-000004180000}"/>
    <cellStyle name="Normal 106 5 4 3" xfId="12372" xr:uid="{00000000-0005-0000-0000-000005180000}"/>
    <cellStyle name="Normal 106 5 4 3 2" xfId="28896" xr:uid="{00000000-0005-0000-0000-000006180000}"/>
    <cellStyle name="Normal 106 5 4 4" xfId="20853" xr:uid="{00000000-0005-0000-0000-000007180000}"/>
    <cellStyle name="Normal 106 5 5" xfId="6929" xr:uid="{00000000-0005-0000-0000-000008180000}"/>
    <cellStyle name="Normal 106 5 5 2" xfId="16292" xr:uid="{00000000-0005-0000-0000-000009180000}"/>
    <cellStyle name="Normal 106 5 5 2 2" xfId="32866" xr:uid="{00000000-0005-0000-0000-00000A180000}"/>
    <cellStyle name="Normal 106 5 5 3" xfId="24819" xr:uid="{00000000-0005-0000-0000-00000B180000}"/>
    <cellStyle name="Normal 106 5 6" xfId="12365" xr:uid="{00000000-0005-0000-0000-00000C180000}"/>
    <cellStyle name="Normal 106 5 6 2" xfId="28889" xr:uid="{00000000-0005-0000-0000-00000D180000}"/>
    <cellStyle name="Normal 106 5 7" xfId="20846" xr:uid="{00000000-0005-0000-0000-00000E180000}"/>
    <cellStyle name="Normal 106 6" xfId="2679" xr:uid="{00000000-0005-0000-0000-00000F180000}"/>
    <cellStyle name="Normal 106 6 2" xfId="2680" xr:uid="{00000000-0005-0000-0000-000010180000}"/>
    <cellStyle name="Normal 106 6 2 2" xfId="2681" xr:uid="{00000000-0005-0000-0000-000011180000}"/>
    <cellStyle name="Normal 106 6 2 2 2" xfId="6930" xr:uid="{00000000-0005-0000-0000-000012180000}"/>
    <cellStyle name="Normal 106 6 2 2 2 2" xfId="16293" xr:uid="{00000000-0005-0000-0000-000013180000}"/>
    <cellStyle name="Normal 106 6 2 2 2 2 2" xfId="32867" xr:uid="{00000000-0005-0000-0000-000014180000}"/>
    <cellStyle name="Normal 106 6 2 2 2 3" xfId="24820" xr:uid="{00000000-0005-0000-0000-000015180000}"/>
    <cellStyle name="Normal 106 6 2 2 3" xfId="12375" xr:uid="{00000000-0005-0000-0000-000016180000}"/>
    <cellStyle name="Normal 106 6 2 2 3 2" xfId="28899" xr:uid="{00000000-0005-0000-0000-000017180000}"/>
    <cellStyle name="Normal 106 6 2 2 4" xfId="20856" xr:uid="{00000000-0005-0000-0000-000018180000}"/>
    <cellStyle name="Normal 106 6 2 3" xfId="6931" xr:uid="{00000000-0005-0000-0000-000019180000}"/>
    <cellStyle name="Normal 106 6 2 3 2" xfId="16294" xr:uid="{00000000-0005-0000-0000-00001A180000}"/>
    <cellStyle name="Normal 106 6 2 3 2 2" xfId="32868" xr:uid="{00000000-0005-0000-0000-00001B180000}"/>
    <cellStyle name="Normal 106 6 2 3 3" xfId="24821" xr:uid="{00000000-0005-0000-0000-00001C180000}"/>
    <cellStyle name="Normal 106 6 2 4" xfId="12374" xr:uid="{00000000-0005-0000-0000-00001D180000}"/>
    <cellStyle name="Normal 106 6 2 4 2" xfId="28898" xr:uid="{00000000-0005-0000-0000-00001E180000}"/>
    <cellStyle name="Normal 106 6 2 5" xfId="20855" xr:uid="{00000000-0005-0000-0000-00001F180000}"/>
    <cellStyle name="Normal 106 6 3" xfId="2682" xr:uid="{00000000-0005-0000-0000-000020180000}"/>
    <cellStyle name="Normal 106 6 3 2" xfId="6932" xr:uid="{00000000-0005-0000-0000-000021180000}"/>
    <cellStyle name="Normal 106 6 3 2 2" xfId="16295" xr:uid="{00000000-0005-0000-0000-000022180000}"/>
    <cellStyle name="Normal 106 6 3 2 2 2" xfId="32869" xr:uid="{00000000-0005-0000-0000-000023180000}"/>
    <cellStyle name="Normal 106 6 3 2 3" xfId="24822" xr:uid="{00000000-0005-0000-0000-000024180000}"/>
    <cellStyle name="Normal 106 6 3 3" xfId="12376" xr:uid="{00000000-0005-0000-0000-000025180000}"/>
    <cellStyle name="Normal 106 6 3 3 2" xfId="28900" xr:uid="{00000000-0005-0000-0000-000026180000}"/>
    <cellStyle name="Normal 106 6 3 4" xfId="20857" xr:uid="{00000000-0005-0000-0000-000027180000}"/>
    <cellStyle name="Normal 106 6 4" xfId="6933" xr:uid="{00000000-0005-0000-0000-000028180000}"/>
    <cellStyle name="Normal 106 6 4 2" xfId="16296" xr:uid="{00000000-0005-0000-0000-000029180000}"/>
    <cellStyle name="Normal 106 6 4 2 2" xfId="32870" xr:uid="{00000000-0005-0000-0000-00002A180000}"/>
    <cellStyle name="Normal 106 6 4 3" xfId="24823" xr:uid="{00000000-0005-0000-0000-00002B180000}"/>
    <cellStyle name="Normal 106 6 5" xfId="12373" xr:uid="{00000000-0005-0000-0000-00002C180000}"/>
    <cellStyle name="Normal 106 6 5 2" xfId="28897" xr:uid="{00000000-0005-0000-0000-00002D180000}"/>
    <cellStyle name="Normal 106 6 6" xfId="20854" xr:uid="{00000000-0005-0000-0000-00002E180000}"/>
    <cellStyle name="Normal 106 7" xfId="2683" xr:uid="{00000000-0005-0000-0000-00002F180000}"/>
    <cellStyle name="Normal 106 7 2" xfId="2684" xr:uid="{00000000-0005-0000-0000-000030180000}"/>
    <cellStyle name="Normal 106 7 2 2" xfId="6934" xr:uid="{00000000-0005-0000-0000-000031180000}"/>
    <cellStyle name="Normal 106 7 2 2 2" xfId="16297" xr:uid="{00000000-0005-0000-0000-000032180000}"/>
    <cellStyle name="Normal 106 7 2 2 2 2" xfId="32871" xr:uid="{00000000-0005-0000-0000-000033180000}"/>
    <cellStyle name="Normal 106 7 2 2 3" xfId="24824" xr:uid="{00000000-0005-0000-0000-000034180000}"/>
    <cellStyle name="Normal 106 7 2 3" xfId="12378" xr:uid="{00000000-0005-0000-0000-000035180000}"/>
    <cellStyle name="Normal 106 7 2 3 2" xfId="28902" xr:uid="{00000000-0005-0000-0000-000036180000}"/>
    <cellStyle name="Normal 106 7 2 4" xfId="20859" xr:uid="{00000000-0005-0000-0000-000037180000}"/>
    <cellStyle name="Normal 106 7 3" xfId="6935" xr:uid="{00000000-0005-0000-0000-000038180000}"/>
    <cellStyle name="Normal 106 7 3 2" xfId="16298" xr:uid="{00000000-0005-0000-0000-000039180000}"/>
    <cellStyle name="Normal 106 7 3 2 2" xfId="32872" xr:uid="{00000000-0005-0000-0000-00003A180000}"/>
    <cellStyle name="Normal 106 7 3 3" xfId="24825" xr:uid="{00000000-0005-0000-0000-00003B180000}"/>
    <cellStyle name="Normal 106 7 4" xfId="12377" xr:uid="{00000000-0005-0000-0000-00003C180000}"/>
    <cellStyle name="Normal 106 7 4 2" xfId="28901" xr:uid="{00000000-0005-0000-0000-00003D180000}"/>
    <cellStyle name="Normal 106 7 5" xfId="20858" xr:uid="{00000000-0005-0000-0000-00003E180000}"/>
    <cellStyle name="Normal 106 8" xfId="2685" xr:uid="{00000000-0005-0000-0000-00003F180000}"/>
    <cellStyle name="Normal 106 8 2" xfId="6936" xr:uid="{00000000-0005-0000-0000-000040180000}"/>
    <cellStyle name="Normal 106 8 2 2" xfId="16299" xr:uid="{00000000-0005-0000-0000-000041180000}"/>
    <cellStyle name="Normal 106 8 2 2 2" xfId="32873" xr:uid="{00000000-0005-0000-0000-000042180000}"/>
    <cellStyle name="Normal 106 8 2 3" xfId="24826" xr:uid="{00000000-0005-0000-0000-000043180000}"/>
    <cellStyle name="Normal 106 8 3" xfId="12379" xr:uid="{00000000-0005-0000-0000-000044180000}"/>
    <cellStyle name="Normal 106 8 3 2" xfId="28903" xr:uid="{00000000-0005-0000-0000-000045180000}"/>
    <cellStyle name="Normal 106 8 4" xfId="20860" xr:uid="{00000000-0005-0000-0000-000046180000}"/>
    <cellStyle name="Normal 106 9" xfId="6937" xr:uid="{00000000-0005-0000-0000-000047180000}"/>
    <cellStyle name="Normal 106 9 2" xfId="16300" xr:uid="{00000000-0005-0000-0000-000048180000}"/>
    <cellStyle name="Normal 106 9 2 2" xfId="32874" xr:uid="{00000000-0005-0000-0000-000049180000}"/>
    <cellStyle name="Normal 106 9 3" xfId="24827" xr:uid="{00000000-0005-0000-0000-00004A180000}"/>
    <cellStyle name="Normal 107" xfId="2686" xr:uid="{00000000-0005-0000-0000-00004B180000}"/>
    <cellStyle name="Normal 107 10" xfId="12380" xr:uid="{00000000-0005-0000-0000-00004C180000}"/>
    <cellStyle name="Normal 107 10 2" xfId="28904" xr:uid="{00000000-0005-0000-0000-00004D180000}"/>
    <cellStyle name="Normal 107 11" xfId="20861" xr:uid="{00000000-0005-0000-0000-00004E180000}"/>
    <cellStyle name="Normal 107 2" xfId="2687" xr:uid="{00000000-0005-0000-0000-00004F180000}"/>
    <cellStyle name="Normal 107 2 2" xfId="2688" xr:uid="{00000000-0005-0000-0000-000050180000}"/>
    <cellStyle name="Normal 107 2 3" xfId="12381" xr:uid="{00000000-0005-0000-0000-000051180000}"/>
    <cellStyle name="Normal 107 2 3 2" xfId="28905" xr:uid="{00000000-0005-0000-0000-000052180000}"/>
    <cellStyle name="Normal 107 2 4" xfId="20862" xr:uid="{00000000-0005-0000-0000-000053180000}"/>
    <cellStyle name="Normal 107 3" xfId="2689" xr:uid="{00000000-0005-0000-0000-000054180000}"/>
    <cellStyle name="Normal 107 3 2" xfId="2690" xr:uid="{00000000-0005-0000-0000-000055180000}"/>
    <cellStyle name="Normal 107 3 2 2" xfId="2691" xr:uid="{00000000-0005-0000-0000-000056180000}"/>
    <cellStyle name="Normal 107 3 2 2 2" xfId="2692" xr:uid="{00000000-0005-0000-0000-000057180000}"/>
    <cellStyle name="Normal 107 3 2 2 2 2" xfId="6938" xr:uid="{00000000-0005-0000-0000-000058180000}"/>
    <cellStyle name="Normal 107 3 2 2 2 2 2" xfId="16301" xr:uid="{00000000-0005-0000-0000-000059180000}"/>
    <cellStyle name="Normal 107 3 2 2 2 2 2 2" xfId="32875" xr:uid="{00000000-0005-0000-0000-00005A180000}"/>
    <cellStyle name="Normal 107 3 2 2 2 2 3" xfId="24828" xr:uid="{00000000-0005-0000-0000-00005B180000}"/>
    <cellStyle name="Normal 107 3 2 2 2 3" xfId="12384" xr:uid="{00000000-0005-0000-0000-00005C180000}"/>
    <cellStyle name="Normal 107 3 2 2 2 3 2" xfId="28908" xr:uid="{00000000-0005-0000-0000-00005D180000}"/>
    <cellStyle name="Normal 107 3 2 2 2 4" xfId="20865" xr:uid="{00000000-0005-0000-0000-00005E180000}"/>
    <cellStyle name="Normal 107 3 2 2 3" xfId="6939" xr:uid="{00000000-0005-0000-0000-00005F180000}"/>
    <cellStyle name="Normal 107 3 2 2 3 2" xfId="16302" xr:uid="{00000000-0005-0000-0000-000060180000}"/>
    <cellStyle name="Normal 107 3 2 2 3 2 2" xfId="32876" xr:uid="{00000000-0005-0000-0000-000061180000}"/>
    <cellStyle name="Normal 107 3 2 2 3 3" xfId="24829" xr:uid="{00000000-0005-0000-0000-000062180000}"/>
    <cellStyle name="Normal 107 3 2 2 4" xfId="12383" xr:uid="{00000000-0005-0000-0000-000063180000}"/>
    <cellStyle name="Normal 107 3 2 2 4 2" xfId="28907" xr:uid="{00000000-0005-0000-0000-000064180000}"/>
    <cellStyle name="Normal 107 3 2 2 5" xfId="20864" xr:uid="{00000000-0005-0000-0000-000065180000}"/>
    <cellStyle name="Normal 107 3 2 3" xfId="2693" xr:uid="{00000000-0005-0000-0000-000066180000}"/>
    <cellStyle name="Normal 107 3 2 3 2" xfId="6940" xr:uid="{00000000-0005-0000-0000-000067180000}"/>
    <cellStyle name="Normal 107 3 2 3 2 2" xfId="16303" xr:uid="{00000000-0005-0000-0000-000068180000}"/>
    <cellStyle name="Normal 107 3 2 3 2 2 2" xfId="32877" xr:uid="{00000000-0005-0000-0000-000069180000}"/>
    <cellStyle name="Normal 107 3 2 3 2 3" xfId="24830" xr:uid="{00000000-0005-0000-0000-00006A180000}"/>
    <cellStyle name="Normal 107 3 2 3 3" xfId="12385" xr:uid="{00000000-0005-0000-0000-00006B180000}"/>
    <cellStyle name="Normal 107 3 2 3 3 2" xfId="28909" xr:uid="{00000000-0005-0000-0000-00006C180000}"/>
    <cellStyle name="Normal 107 3 2 3 4" xfId="20866" xr:uid="{00000000-0005-0000-0000-00006D180000}"/>
    <cellStyle name="Normal 107 3 2 4" xfId="6941" xr:uid="{00000000-0005-0000-0000-00006E180000}"/>
    <cellStyle name="Normal 107 3 2 4 2" xfId="16304" xr:uid="{00000000-0005-0000-0000-00006F180000}"/>
    <cellStyle name="Normal 107 3 2 4 2 2" xfId="32878" xr:uid="{00000000-0005-0000-0000-000070180000}"/>
    <cellStyle name="Normal 107 3 2 4 3" xfId="24831" xr:uid="{00000000-0005-0000-0000-000071180000}"/>
    <cellStyle name="Normal 107 3 2 5" xfId="12382" xr:uid="{00000000-0005-0000-0000-000072180000}"/>
    <cellStyle name="Normal 107 3 2 5 2" xfId="28906" xr:uid="{00000000-0005-0000-0000-000073180000}"/>
    <cellStyle name="Normal 107 3 2 6" xfId="20863" xr:uid="{00000000-0005-0000-0000-000074180000}"/>
    <cellStyle name="Normal 107 3 3" xfId="2694" xr:uid="{00000000-0005-0000-0000-000075180000}"/>
    <cellStyle name="Normal 107 3 3 2" xfId="2695" xr:uid="{00000000-0005-0000-0000-000076180000}"/>
    <cellStyle name="Normal 107 3 3 2 2" xfId="6942" xr:uid="{00000000-0005-0000-0000-000077180000}"/>
    <cellStyle name="Normal 107 3 3 2 2 2" xfId="16305" xr:uid="{00000000-0005-0000-0000-000078180000}"/>
    <cellStyle name="Normal 107 3 3 2 2 2 2" xfId="32879" xr:uid="{00000000-0005-0000-0000-000079180000}"/>
    <cellStyle name="Normal 107 3 3 2 2 3" xfId="24832" xr:uid="{00000000-0005-0000-0000-00007A180000}"/>
    <cellStyle name="Normal 107 3 3 2 3" xfId="12387" xr:uid="{00000000-0005-0000-0000-00007B180000}"/>
    <cellStyle name="Normal 107 3 3 2 3 2" xfId="28911" xr:uid="{00000000-0005-0000-0000-00007C180000}"/>
    <cellStyle name="Normal 107 3 3 2 4" xfId="20868" xr:uid="{00000000-0005-0000-0000-00007D180000}"/>
    <cellStyle name="Normal 107 3 3 3" xfId="6943" xr:uid="{00000000-0005-0000-0000-00007E180000}"/>
    <cellStyle name="Normal 107 3 3 3 2" xfId="16306" xr:uid="{00000000-0005-0000-0000-00007F180000}"/>
    <cellStyle name="Normal 107 3 3 3 2 2" xfId="32880" xr:uid="{00000000-0005-0000-0000-000080180000}"/>
    <cellStyle name="Normal 107 3 3 3 3" xfId="24833" xr:uid="{00000000-0005-0000-0000-000081180000}"/>
    <cellStyle name="Normal 107 3 3 4" xfId="12386" xr:uid="{00000000-0005-0000-0000-000082180000}"/>
    <cellStyle name="Normal 107 3 3 4 2" xfId="28910" xr:uid="{00000000-0005-0000-0000-000083180000}"/>
    <cellStyle name="Normal 107 3 3 5" xfId="20867" xr:uid="{00000000-0005-0000-0000-000084180000}"/>
    <cellStyle name="Normal 107 3 4" xfId="2696" xr:uid="{00000000-0005-0000-0000-000085180000}"/>
    <cellStyle name="Normal 107 3 4 2" xfId="6944" xr:uid="{00000000-0005-0000-0000-000086180000}"/>
    <cellStyle name="Normal 107 3 4 2 2" xfId="16307" xr:uid="{00000000-0005-0000-0000-000087180000}"/>
    <cellStyle name="Normal 107 3 4 2 2 2" xfId="32881" xr:uid="{00000000-0005-0000-0000-000088180000}"/>
    <cellStyle name="Normal 107 3 4 2 3" xfId="24834" xr:uid="{00000000-0005-0000-0000-000089180000}"/>
    <cellStyle name="Normal 107 3 4 3" xfId="12388" xr:uid="{00000000-0005-0000-0000-00008A180000}"/>
    <cellStyle name="Normal 107 3 4 3 2" xfId="28912" xr:uid="{00000000-0005-0000-0000-00008B180000}"/>
    <cellStyle name="Normal 107 3 4 4" xfId="20869" xr:uid="{00000000-0005-0000-0000-00008C180000}"/>
    <cellStyle name="Normal 107 3 5" xfId="2697" xr:uid="{00000000-0005-0000-0000-00008D180000}"/>
    <cellStyle name="Normal 107 3 5 2" xfId="12389" xr:uid="{00000000-0005-0000-0000-00008E180000}"/>
    <cellStyle name="Normal 107 3 5 2 2" xfId="28913" xr:uid="{00000000-0005-0000-0000-00008F180000}"/>
    <cellStyle name="Normal 107 3 5 3" xfId="20870" xr:uid="{00000000-0005-0000-0000-000090180000}"/>
    <cellStyle name="Normal 107 4" xfId="2698" xr:uid="{00000000-0005-0000-0000-000091180000}"/>
    <cellStyle name="Normal 107 4 2" xfId="2699" xr:uid="{00000000-0005-0000-0000-000092180000}"/>
    <cellStyle name="Normal 107 4 2 2" xfId="2700" xr:uid="{00000000-0005-0000-0000-000093180000}"/>
    <cellStyle name="Normal 107 4 2 2 2" xfId="2701" xr:uid="{00000000-0005-0000-0000-000094180000}"/>
    <cellStyle name="Normal 107 4 2 2 2 2" xfId="6945" xr:uid="{00000000-0005-0000-0000-000095180000}"/>
    <cellStyle name="Normal 107 4 2 2 2 2 2" xfId="16308" xr:uid="{00000000-0005-0000-0000-000096180000}"/>
    <cellStyle name="Normal 107 4 2 2 2 2 2 2" xfId="32882" xr:uid="{00000000-0005-0000-0000-000097180000}"/>
    <cellStyle name="Normal 107 4 2 2 2 2 3" xfId="24835" xr:uid="{00000000-0005-0000-0000-000098180000}"/>
    <cellStyle name="Normal 107 4 2 2 2 3" xfId="12393" xr:uid="{00000000-0005-0000-0000-000099180000}"/>
    <cellStyle name="Normal 107 4 2 2 2 3 2" xfId="28917" xr:uid="{00000000-0005-0000-0000-00009A180000}"/>
    <cellStyle name="Normal 107 4 2 2 2 4" xfId="20874" xr:uid="{00000000-0005-0000-0000-00009B180000}"/>
    <cellStyle name="Normal 107 4 2 2 3" xfId="6946" xr:uid="{00000000-0005-0000-0000-00009C180000}"/>
    <cellStyle name="Normal 107 4 2 2 3 2" xfId="16309" xr:uid="{00000000-0005-0000-0000-00009D180000}"/>
    <cellStyle name="Normal 107 4 2 2 3 2 2" xfId="32883" xr:uid="{00000000-0005-0000-0000-00009E180000}"/>
    <cellStyle name="Normal 107 4 2 2 3 3" xfId="24836" xr:uid="{00000000-0005-0000-0000-00009F180000}"/>
    <cellStyle name="Normal 107 4 2 2 4" xfId="12392" xr:uid="{00000000-0005-0000-0000-0000A0180000}"/>
    <cellStyle name="Normal 107 4 2 2 4 2" xfId="28916" xr:uid="{00000000-0005-0000-0000-0000A1180000}"/>
    <cellStyle name="Normal 107 4 2 2 5" xfId="20873" xr:uid="{00000000-0005-0000-0000-0000A2180000}"/>
    <cellStyle name="Normal 107 4 2 3" xfId="2702" xr:uid="{00000000-0005-0000-0000-0000A3180000}"/>
    <cellStyle name="Normal 107 4 2 3 2" xfId="6947" xr:uid="{00000000-0005-0000-0000-0000A4180000}"/>
    <cellStyle name="Normal 107 4 2 3 2 2" xfId="16310" xr:uid="{00000000-0005-0000-0000-0000A5180000}"/>
    <cellStyle name="Normal 107 4 2 3 2 2 2" xfId="32884" xr:uid="{00000000-0005-0000-0000-0000A6180000}"/>
    <cellStyle name="Normal 107 4 2 3 2 3" xfId="24837" xr:uid="{00000000-0005-0000-0000-0000A7180000}"/>
    <cellStyle name="Normal 107 4 2 3 3" xfId="12394" xr:uid="{00000000-0005-0000-0000-0000A8180000}"/>
    <cellStyle name="Normal 107 4 2 3 3 2" xfId="28918" xr:uid="{00000000-0005-0000-0000-0000A9180000}"/>
    <cellStyle name="Normal 107 4 2 3 4" xfId="20875" xr:uid="{00000000-0005-0000-0000-0000AA180000}"/>
    <cellStyle name="Normal 107 4 2 4" xfId="6948" xr:uid="{00000000-0005-0000-0000-0000AB180000}"/>
    <cellStyle name="Normal 107 4 2 4 2" xfId="16311" xr:uid="{00000000-0005-0000-0000-0000AC180000}"/>
    <cellStyle name="Normal 107 4 2 4 2 2" xfId="32885" xr:uid="{00000000-0005-0000-0000-0000AD180000}"/>
    <cellStyle name="Normal 107 4 2 4 3" xfId="24838" xr:uid="{00000000-0005-0000-0000-0000AE180000}"/>
    <cellStyle name="Normal 107 4 2 5" xfId="12391" xr:uid="{00000000-0005-0000-0000-0000AF180000}"/>
    <cellStyle name="Normal 107 4 2 5 2" xfId="28915" xr:uid="{00000000-0005-0000-0000-0000B0180000}"/>
    <cellStyle name="Normal 107 4 2 6" xfId="20872" xr:uid="{00000000-0005-0000-0000-0000B1180000}"/>
    <cellStyle name="Normal 107 4 3" xfId="2703" xr:uid="{00000000-0005-0000-0000-0000B2180000}"/>
    <cellStyle name="Normal 107 4 3 2" xfId="2704" xr:uid="{00000000-0005-0000-0000-0000B3180000}"/>
    <cellStyle name="Normal 107 4 3 2 2" xfId="6949" xr:uid="{00000000-0005-0000-0000-0000B4180000}"/>
    <cellStyle name="Normal 107 4 3 2 2 2" xfId="16312" xr:uid="{00000000-0005-0000-0000-0000B5180000}"/>
    <cellStyle name="Normal 107 4 3 2 2 2 2" xfId="32886" xr:uid="{00000000-0005-0000-0000-0000B6180000}"/>
    <cellStyle name="Normal 107 4 3 2 2 3" xfId="24839" xr:uid="{00000000-0005-0000-0000-0000B7180000}"/>
    <cellStyle name="Normal 107 4 3 2 3" xfId="12396" xr:uid="{00000000-0005-0000-0000-0000B8180000}"/>
    <cellStyle name="Normal 107 4 3 2 3 2" xfId="28920" xr:uid="{00000000-0005-0000-0000-0000B9180000}"/>
    <cellStyle name="Normal 107 4 3 2 4" xfId="20877" xr:uid="{00000000-0005-0000-0000-0000BA180000}"/>
    <cellStyle name="Normal 107 4 3 3" xfId="6950" xr:uid="{00000000-0005-0000-0000-0000BB180000}"/>
    <cellStyle name="Normal 107 4 3 3 2" xfId="16313" xr:uid="{00000000-0005-0000-0000-0000BC180000}"/>
    <cellStyle name="Normal 107 4 3 3 2 2" xfId="32887" xr:uid="{00000000-0005-0000-0000-0000BD180000}"/>
    <cellStyle name="Normal 107 4 3 3 3" xfId="24840" xr:uid="{00000000-0005-0000-0000-0000BE180000}"/>
    <cellStyle name="Normal 107 4 3 4" xfId="12395" xr:uid="{00000000-0005-0000-0000-0000BF180000}"/>
    <cellStyle name="Normal 107 4 3 4 2" xfId="28919" xr:uid="{00000000-0005-0000-0000-0000C0180000}"/>
    <cellStyle name="Normal 107 4 3 5" xfId="20876" xr:uid="{00000000-0005-0000-0000-0000C1180000}"/>
    <cellStyle name="Normal 107 4 4" xfId="2705" xr:uid="{00000000-0005-0000-0000-0000C2180000}"/>
    <cellStyle name="Normal 107 4 4 2" xfId="6951" xr:uid="{00000000-0005-0000-0000-0000C3180000}"/>
    <cellStyle name="Normal 107 4 4 2 2" xfId="16314" xr:uid="{00000000-0005-0000-0000-0000C4180000}"/>
    <cellStyle name="Normal 107 4 4 2 2 2" xfId="32888" xr:uid="{00000000-0005-0000-0000-0000C5180000}"/>
    <cellStyle name="Normal 107 4 4 2 3" xfId="24841" xr:uid="{00000000-0005-0000-0000-0000C6180000}"/>
    <cellStyle name="Normal 107 4 4 3" xfId="12397" xr:uid="{00000000-0005-0000-0000-0000C7180000}"/>
    <cellStyle name="Normal 107 4 4 3 2" xfId="28921" xr:uid="{00000000-0005-0000-0000-0000C8180000}"/>
    <cellStyle name="Normal 107 4 4 4" xfId="20878" xr:uid="{00000000-0005-0000-0000-0000C9180000}"/>
    <cellStyle name="Normal 107 4 5" xfId="6952" xr:uid="{00000000-0005-0000-0000-0000CA180000}"/>
    <cellStyle name="Normal 107 4 5 2" xfId="16315" xr:uid="{00000000-0005-0000-0000-0000CB180000}"/>
    <cellStyle name="Normal 107 4 5 2 2" xfId="32889" xr:uid="{00000000-0005-0000-0000-0000CC180000}"/>
    <cellStyle name="Normal 107 4 5 3" xfId="24842" xr:uid="{00000000-0005-0000-0000-0000CD180000}"/>
    <cellStyle name="Normal 107 4 6" xfId="12390" xr:uid="{00000000-0005-0000-0000-0000CE180000}"/>
    <cellStyle name="Normal 107 4 6 2" xfId="28914" xr:uid="{00000000-0005-0000-0000-0000CF180000}"/>
    <cellStyle name="Normal 107 4 7" xfId="20871" xr:uid="{00000000-0005-0000-0000-0000D0180000}"/>
    <cellStyle name="Normal 107 5" xfId="2706" xr:uid="{00000000-0005-0000-0000-0000D1180000}"/>
    <cellStyle name="Normal 107 5 2" xfId="2707" xr:uid="{00000000-0005-0000-0000-0000D2180000}"/>
    <cellStyle name="Normal 107 5 2 2" xfId="2708" xr:uid="{00000000-0005-0000-0000-0000D3180000}"/>
    <cellStyle name="Normal 107 5 2 2 2" xfId="2709" xr:uid="{00000000-0005-0000-0000-0000D4180000}"/>
    <cellStyle name="Normal 107 5 2 2 2 2" xfId="6953" xr:uid="{00000000-0005-0000-0000-0000D5180000}"/>
    <cellStyle name="Normal 107 5 2 2 2 2 2" xfId="16316" xr:uid="{00000000-0005-0000-0000-0000D6180000}"/>
    <cellStyle name="Normal 107 5 2 2 2 2 2 2" xfId="32890" xr:uid="{00000000-0005-0000-0000-0000D7180000}"/>
    <cellStyle name="Normal 107 5 2 2 2 2 3" xfId="24843" xr:uid="{00000000-0005-0000-0000-0000D8180000}"/>
    <cellStyle name="Normal 107 5 2 2 2 3" xfId="12401" xr:uid="{00000000-0005-0000-0000-0000D9180000}"/>
    <cellStyle name="Normal 107 5 2 2 2 3 2" xfId="28925" xr:uid="{00000000-0005-0000-0000-0000DA180000}"/>
    <cellStyle name="Normal 107 5 2 2 2 4" xfId="20882" xr:uid="{00000000-0005-0000-0000-0000DB180000}"/>
    <cellStyle name="Normal 107 5 2 2 3" xfId="6954" xr:uid="{00000000-0005-0000-0000-0000DC180000}"/>
    <cellStyle name="Normal 107 5 2 2 3 2" xfId="16317" xr:uid="{00000000-0005-0000-0000-0000DD180000}"/>
    <cellStyle name="Normal 107 5 2 2 3 2 2" xfId="32891" xr:uid="{00000000-0005-0000-0000-0000DE180000}"/>
    <cellStyle name="Normal 107 5 2 2 3 3" xfId="24844" xr:uid="{00000000-0005-0000-0000-0000DF180000}"/>
    <cellStyle name="Normal 107 5 2 2 4" xfId="12400" xr:uid="{00000000-0005-0000-0000-0000E0180000}"/>
    <cellStyle name="Normal 107 5 2 2 4 2" xfId="28924" xr:uid="{00000000-0005-0000-0000-0000E1180000}"/>
    <cellStyle name="Normal 107 5 2 2 5" xfId="20881" xr:uid="{00000000-0005-0000-0000-0000E2180000}"/>
    <cellStyle name="Normal 107 5 2 3" xfId="2710" xr:uid="{00000000-0005-0000-0000-0000E3180000}"/>
    <cellStyle name="Normal 107 5 2 3 2" xfId="6955" xr:uid="{00000000-0005-0000-0000-0000E4180000}"/>
    <cellStyle name="Normal 107 5 2 3 2 2" xfId="16318" xr:uid="{00000000-0005-0000-0000-0000E5180000}"/>
    <cellStyle name="Normal 107 5 2 3 2 2 2" xfId="32892" xr:uid="{00000000-0005-0000-0000-0000E6180000}"/>
    <cellStyle name="Normal 107 5 2 3 2 3" xfId="24845" xr:uid="{00000000-0005-0000-0000-0000E7180000}"/>
    <cellStyle name="Normal 107 5 2 3 3" xfId="12402" xr:uid="{00000000-0005-0000-0000-0000E8180000}"/>
    <cellStyle name="Normal 107 5 2 3 3 2" xfId="28926" xr:uid="{00000000-0005-0000-0000-0000E9180000}"/>
    <cellStyle name="Normal 107 5 2 3 4" xfId="20883" xr:uid="{00000000-0005-0000-0000-0000EA180000}"/>
    <cellStyle name="Normal 107 5 2 4" xfId="6956" xr:uid="{00000000-0005-0000-0000-0000EB180000}"/>
    <cellStyle name="Normal 107 5 2 4 2" xfId="16319" xr:uid="{00000000-0005-0000-0000-0000EC180000}"/>
    <cellStyle name="Normal 107 5 2 4 2 2" xfId="32893" xr:uid="{00000000-0005-0000-0000-0000ED180000}"/>
    <cellStyle name="Normal 107 5 2 4 3" xfId="24846" xr:uid="{00000000-0005-0000-0000-0000EE180000}"/>
    <cellStyle name="Normal 107 5 2 5" xfId="12399" xr:uid="{00000000-0005-0000-0000-0000EF180000}"/>
    <cellStyle name="Normal 107 5 2 5 2" xfId="28923" xr:uid="{00000000-0005-0000-0000-0000F0180000}"/>
    <cellStyle name="Normal 107 5 2 6" xfId="20880" xr:uid="{00000000-0005-0000-0000-0000F1180000}"/>
    <cellStyle name="Normal 107 5 3" xfId="2711" xr:uid="{00000000-0005-0000-0000-0000F2180000}"/>
    <cellStyle name="Normal 107 5 3 2" xfId="2712" xr:uid="{00000000-0005-0000-0000-0000F3180000}"/>
    <cellStyle name="Normal 107 5 3 2 2" xfId="6957" xr:uid="{00000000-0005-0000-0000-0000F4180000}"/>
    <cellStyle name="Normal 107 5 3 2 2 2" xfId="16320" xr:uid="{00000000-0005-0000-0000-0000F5180000}"/>
    <cellStyle name="Normal 107 5 3 2 2 2 2" xfId="32894" xr:uid="{00000000-0005-0000-0000-0000F6180000}"/>
    <cellStyle name="Normal 107 5 3 2 2 3" xfId="24847" xr:uid="{00000000-0005-0000-0000-0000F7180000}"/>
    <cellStyle name="Normal 107 5 3 2 3" xfId="12404" xr:uid="{00000000-0005-0000-0000-0000F8180000}"/>
    <cellStyle name="Normal 107 5 3 2 3 2" xfId="28928" xr:uid="{00000000-0005-0000-0000-0000F9180000}"/>
    <cellStyle name="Normal 107 5 3 2 4" xfId="20885" xr:uid="{00000000-0005-0000-0000-0000FA180000}"/>
    <cellStyle name="Normal 107 5 3 3" xfId="6958" xr:uid="{00000000-0005-0000-0000-0000FB180000}"/>
    <cellStyle name="Normal 107 5 3 3 2" xfId="16321" xr:uid="{00000000-0005-0000-0000-0000FC180000}"/>
    <cellStyle name="Normal 107 5 3 3 2 2" xfId="32895" xr:uid="{00000000-0005-0000-0000-0000FD180000}"/>
    <cellStyle name="Normal 107 5 3 3 3" xfId="24848" xr:uid="{00000000-0005-0000-0000-0000FE180000}"/>
    <cellStyle name="Normal 107 5 3 4" xfId="12403" xr:uid="{00000000-0005-0000-0000-0000FF180000}"/>
    <cellStyle name="Normal 107 5 3 4 2" xfId="28927" xr:uid="{00000000-0005-0000-0000-000000190000}"/>
    <cellStyle name="Normal 107 5 3 5" xfId="20884" xr:uid="{00000000-0005-0000-0000-000001190000}"/>
    <cellStyle name="Normal 107 5 4" xfId="2713" xr:uid="{00000000-0005-0000-0000-000002190000}"/>
    <cellStyle name="Normal 107 5 4 2" xfId="6959" xr:uid="{00000000-0005-0000-0000-000003190000}"/>
    <cellStyle name="Normal 107 5 4 2 2" xfId="16322" xr:uid="{00000000-0005-0000-0000-000004190000}"/>
    <cellStyle name="Normal 107 5 4 2 2 2" xfId="32896" xr:uid="{00000000-0005-0000-0000-000005190000}"/>
    <cellStyle name="Normal 107 5 4 2 3" xfId="24849" xr:uid="{00000000-0005-0000-0000-000006190000}"/>
    <cellStyle name="Normal 107 5 4 3" xfId="12405" xr:uid="{00000000-0005-0000-0000-000007190000}"/>
    <cellStyle name="Normal 107 5 4 3 2" xfId="28929" xr:uid="{00000000-0005-0000-0000-000008190000}"/>
    <cellStyle name="Normal 107 5 4 4" xfId="20886" xr:uid="{00000000-0005-0000-0000-000009190000}"/>
    <cellStyle name="Normal 107 5 5" xfId="6960" xr:uid="{00000000-0005-0000-0000-00000A190000}"/>
    <cellStyle name="Normal 107 5 5 2" xfId="16323" xr:uid="{00000000-0005-0000-0000-00000B190000}"/>
    <cellStyle name="Normal 107 5 5 2 2" xfId="32897" xr:uid="{00000000-0005-0000-0000-00000C190000}"/>
    <cellStyle name="Normal 107 5 5 3" xfId="24850" xr:uid="{00000000-0005-0000-0000-00000D190000}"/>
    <cellStyle name="Normal 107 5 6" xfId="12398" xr:uid="{00000000-0005-0000-0000-00000E190000}"/>
    <cellStyle name="Normal 107 5 6 2" xfId="28922" xr:uid="{00000000-0005-0000-0000-00000F190000}"/>
    <cellStyle name="Normal 107 5 7" xfId="20879" xr:uid="{00000000-0005-0000-0000-000010190000}"/>
    <cellStyle name="Normal 107 6" xfId="2714" xr:uid="{00000000-0005-0000-0000-000011190000}"/>
    <cellStyle name="Normal 107 6 2" xfId="2715" xr:uid="{00000000-0005-0000-0000-000012190000}"/>
    <cellStyle name="Normal 107 6 2 2" xfId="2716" xr:uid="{00000000-0005-0000-0000-000013190000}"/>
    <cellStyle name="Normal 107 6 2 2 2" xfId="6961" xr:uid="{00000000-0005-0000-0000-000014190000}"/>
    <cellStyle name="Normal 107 6 2 2 2 2" xfId="16324" xr:uid="{00000000-0005-0000-0000-000015190000}"/>
    <cellStyle name="Normal 107 6 2 2 2 2 2" xfId="32898" xr:uid="{00000000-0005-0000-0000-000016190000}"/>
    <cellStyle name="Normal 107 6 2 2 2 3" xfId="24851" xr:uid="{00000000-0005-0000-0000-000017190000}"/>
    <cellStyle name="Normal 107 6 2 2 3" xfId="12408" xr:uid="{00000000-0005-0000-0000-000018190000}"/>
    <cellStyle name="Normal 107 6 2 2 3 2" xfId="28932" xr:uid="{00000000-0005-0000-0000-000019190000}"/>
    <cellStyle name="Normal 107 6 2 2 4" xfId="20889" xr:uid="{00000000-0005-0000-0000-00001A190000}"/>
    <cellStyle name="Normal 107 6 2 3" xfId="6962" xr:uid="{00000000-0005-0000-0000-00001B190000}"/>
    <cellStyle name="Normal 107 6 2 3 2" xfId="16325" xr:uid="{00000000-0005-0000-0000-00001C190000}"/>
    <cellStyle name="Normal 107 6 2 3 2 2" xfId="32899" xr:uid="{00000000-0005-0000-0000-00001D190000}"/>
    <cellStyle name="Normal 107 6 2 3 3" xfId="24852" xr:uid="{00000000-0005-0000-0000-00001E190000}"/>
    <cellStyle name="Normal 107 6 2 4" xfId="12407" xr:uid="{00000000-0005-0000-0000-00001F190000}"/>
    <cellStyle name="Normal 107 6 2 4 2" xfId="28931" xr:uid="{00000000-0005-0000-0000-000020190000}"/>
    <cellStyle name="Normal 107 6 2 5" xfId="20888" xr:uid="{00000000-0005-0000-0000-000021190000}"/>
    <cellStyle name="Normal 107 6 3" xfId="2717" xr:uid="{00000000-0005-0000-0000-000022190000}"/>
    <cellStyle name="Normal 107 6 3 2" xfId="6963" xr:uid="{00000000-0005-0000-0000-000023190000}"/>
    <cellStyle name="Normal 107 6 3 2 2" xfId="16326" xr:uid="{00000000-0005-0000-0000-000024190000}"/>
    <cellStyle name="Normal 107 6 3 2 2 2" xfId="32900" xr:uid="{00000000-0005-0000-0000-000025190000}"/>
    <cellStyle name="Normal 107 6 3 2 3" xfId="24853" xr:uid="{00000000-0005-0000-0000-000026190000}"/>
    <cellStyle name="Normal 107 6 3 3" xfId="12409" xr:uid="{00000000-0005-0000-0000-000027190000}"/>
    <cellStyle name="Normal 107 6 3 3 2" xfId="28933" xr:uid="{00000000-0005-0000-0000-000028190000}"/>
    <cellStyle name="Normal 107 6 3 4" xfId="20890" xr:uid="{00000000-0005-0000-0000-000029190000}"/>
    <cellStyle name="Normal 107 6 4" xfId="6964" xr:uid="{00000000-0005-0000-0000-00002A190000}"/>
    <cellStyle name="Normal 107 6 4 2" xfId="16327" xr:uid="{00000000-0005-0000-0000-00002B190000}"/>
    <cellStyle name="Normal 107 6 4 2 2" xfId="32901" xr:uid="{00000000-0005-0000-0000-00002C190000}"/>
    <cellStyle name="Normal 107 6 4 3" xfId="24854" xr:uid="{00000000-0005-0000-0000-00002D190000}"/>
    <cellStyle name="Normal 107 6 5" xfId="12406" xr:uid="{00000000-0005-0000-0000-00002E190000}"/>
    <cellStyle name="Normal 107 6 5 2" xfId="28930" xr:uid="{00000000-0005-0000-0000-00002F190000}"/>
    <cellStyle name="Normal 107 6 6" xfId="20887" xr:uid="{00000000-0005-0000-0000-000030190000}"/>
    <cellStyle name="Normal 107 7" xfId="2718" xr:uid="{00000000-0005-0000-0000-000031190000}"/>
    <cellStyle name="Normal 107 7 2" xfId="2719" xr:uid="{00000000-0005-0000-0000-000032190000}"/>
    <cellStyle name="Normal 107 7 2 2" xfId="6965" xr:uid="{00000000-0005-0000-0000-000033190000}"/>
    <cellStyle name="Normal 107 7 2 2 2" xfId="16328" xr:uid="{00000000-0005-0000-0000-000034190000}"/>
    <cellStyle name="Normal 107 7 2 2 2 2" xfId="32902" xr:uid="{00000000-0005-0000-0000-000035190000}"/>
    <cellStyle name="Normal 107 7 2 2 3" xfId="24855" xr:uid="{00000000-0005-0000-0000-000036190000}"/>
    <cellStyle name="Normal 107 7 2 3" xfId="12411" xr:uid="{00000000-0005-0000-0000-000037190000}"/>
    <cellStyle name="Normal 107 7 2 3 2" xfId="28935" xr:uid="{00000000-0005-0000-0000-000038190000}"/>
    <cellStyle name="Normal 107 7 2 4" xfId="20892" xr:uid="{00000000-0005-0000-0000-000039190000}"/>
    <cellStyle name="Normal 107 7 3" xfId="6966" xr:uid="{00000000-0005-0000-0000-00003A190000}"/>
    <cellStyle name="Normal 107 7 3 2" xfId="16329" xr:uid="{00000000-0005-0000-0000-00003B190000}"/>
    <cellStyle name="Normal 107 7 3 2 2" xfId="32903" xr:uid="{00000000-0005-0000-0000-00003C190000}"/>
    <cellStyle name="Normal 107 7 3 3" xfId="24856" xr:uid="{00000000-0005-0000-0000-00003D190000}"/>
    <cellStyle name="Normal 107 7 4" xfId="12410" xr:uid="{00000000-0005-0000-0000-00003E190000}"/>
    <cellStyle name="Normal 107 7 4 2" xfId="28934" xr:uid="{00000000-0005-0000-0000-00003F190000}"/>
    <cellStyle name="Normal 107 7 5" xfId="20891" xr:uid="{00000000-0005-0000-0000-000040190000}"/>
    <cellStyle name="Normal 107 8" xfId="2720" xr:uid="{00000000-0005-0000-0000-000041190000}"/>
    <cellStyle name="Normal 107 8 2" xfId="6967" xr:uid="{00000000-0005-0000-0000-000042190000}"/>
    <cellStyle name="Normal 107 8 2 2" xfId="16330" xr:uid="{00000000-0005-0000-0000-000043190000}"/>
    <cellStyle name="Normal 107 8 2 2 2" xfId="32904" xr:uid="{00000000-0005-0000-0000-000044190000}"/>
    <cellStyle name="Normal 107 8 2 3" xfId="24857" xr:uid="{00000000-0005-0000-0000-000045190000}"/>
    <cellStyle name="Normal 107 8 3" xfId="12412" xr:uid="{00000000-0005-0000-0000-000046190000}"/>
    <cellStyle name="Normal 107 8 3 2" xfId="28936" xr:uid="{00000000-0005-0000-0000-000047190000}"/>
    <cellStyle name="Normal 107 8 4" xfId="20893" xr:uid="{00000000-0005-0000-0000-000048190000}"/>
    <cellStyle name="Normal 107 9" xfId="6968" xr:uid="{00000000-0005-0000-0000-000049190000}"/>
    <cellStyle name="Normal 107 9 2" xfId="16331" xr:uid="{00000000-0005-0000-0000-00004A190000}"/>
    <cellStyle name="Normal 107 9 2 2" xfId="32905" xr:uid="{00000000-0005-0000-0000-00004B190000}"/>
    <cellStyle name="Normal 107 9 3" xfId="24858" xr:uid="{00000000-0005-0000-0000-00004C190000}"/>
    <cellStyle name="Normal 108" xfId="2721" xr:uid="{00000000-0005-0000-0000-00004D190000}"/>
    <cellStyle name="Normal 108 10" xfId="12413" xr:uid="{00000000-0005-0000-0000-00004E190000}"/>
    <cellStyle name="Normal 108 10 2" xfId="28937" xr:uid="{00000000-0005-0000-0000-00004F190000}"/>
    <cellStyle name="Normal 108 11" xfId="20894" xr:uid="{00000000-0005-0000-0000-000050190000}"/>
    <cellStyle name="Normal 108 2" xfId="2722" xr:uid="{00000000-0005-0000-0000-000051190000}"/>
    <cellStyle name="Normal 108 2 2" xfId="2723" xr:uid="{00000000-0005-0000-0000-000052190000}"/>
    <cellStyle name="Normal 108 2 3" xfId="12414" xr:uid="{00000000-0005-0000-0000-000053190000}"/>
    <cellStyle name="Normal 108 2 3 2" xfId="28938" xr:uid="{00000000-0005-0000-0000-000054190000}"/>
    <cellStyle name="Normal 108 2 4" xfId="20895" xr:uid="{00000000-0005-0000-0000-000055190000}"/>
    <cellStyle name="Normal 108 3" xfId="2724" xr:uid="{00000000-0005-0000-0000-000056190000}"/>
    <cellStyle name="Normal 108 3 2" xfId="2725" xr:uid="{00000000-0005-0000-0000-000057190000}"/>
    <cellStyle name="Normal 108 3 2 2" xfId="2726" xr:uid="{00000000-0005-0000-0000-000058190000}"/>
    <cellStyle name="Normal 108 3 2 2 2" xfId="2727" xr:uid="{00000000-0005-0000-0000-000059190000}"/>
    <cellStyle name="Normal 108 3 2 2 2 2" xfId="6969" xr:uid="{00000000-0005-0000-0000-00005A190000}"/>
    <cellStyle name="Normal 108 3 2 2 2 2 2" xfId="16332" xr:uid="{00000000-0005-0000-0000-00005B190000}"/>
    <cellStyle name="Normal 108 3 2 2 2 2 2 2" xfId="32906" xr:uid="{00000000-0005-0000-0000-00005C190000}"/>
    <cellStyle name="Normal 108 3 2 2 2 2 3" xfId="24859" xr:uid="{00000000-0005-0000-0000-00005D190000}"/>
    <cellStyle name="Normal 108 3 2 2 2 3" xfId="12417" xr:uid="{00000000-0005-0000-0000-00005E190000}"/>
    <cellStyle name="Normal 108 3 2 2 2 3 2" xfId="28941" xr:uid="{00000000-0005-0000-0000-00005F190000}"/>
    <cellStyle name="Normal 108 3 2 2 2 4" xfId="20898" xr:uid="{00000000-0005-0000-0000-000060190000}"/>
    <cellStyle name="Normal 108 3 2 2 3" xfId="6970" xr:uid="{00000000-0005-0000-0000-000061190000}"/>
    <cellStyle name="Normal 108 3 2 2 3 2" xfId="16333" xr:uid="{00000000-0005-0000-0000-000062190000}"/>
    <cellStyle name="Normal 108 3 2 2 3 2 2" xfId="32907" xr:uid="{00000000-0005-0000-0000-000063190000}"/>
    <cellStyle name="Normal 108 3 2 2 3 3" xfId="24860" xr:uid="{00000000-0005-0000-0000-000064190000}"/>
    <cellStyle name="Normal 108 3 2 2 4" xfId="12416" xr:uid="{00000000-0005-0000-0000-000065190000}"/>
    <cellStyle name="Normal 108 3 2 2 4 2" xfId="28940" xr:uid="{00000000-0005-0000-0000-000066190000}"/>
    <cellStyle name="Normal 108 3 2 2 5" xfId="20897" xr:uid="{00000000-0005-0000-0000-000067190000}"/>
    <cellStyle name="Normal 108 3 2 3" xfId="2728" xr:uid="{00000000-0005-0000-0000-000068190000}"/>
    <cellStyle name="Normal 108 3 2 3 2" xfId="6971" xr:uid="{00000000-0005-0000-0000-000069190000}"/>
    <cellStyle name="Normal 108 3 2 3 2 2" xfId="16334" xr:uid="{00000000-0005-0000-0000-00006A190000}"/>
    <cellStyle name="Normal 108 3 2 3 2 2 2" xfId="32908" xr:uid="{00000000-0005-0000-0000-00006B190000}"/>
    <cellStyle name="Normal 108 3 2 3 2 3" xfId="24861" xr:uid="{00000000-0005-0000-0000-00006C190000}"/>
    <cellStyle name="Normal 108 3 2 3 3" xfId="12418" xr:uid="{00000000-0005-0000-0000-00006D190000}"/>
    <cellStyle name="Normal 108 3 2 3 3 2" xfId="28942" xr:uid="{00000000-0005-0000-0000-00006E190000}"/>
    <cellStyle name="Normal 108 3 2 3 4" xfId="20899" xr:uid="{00000000-0005-0000-0000-00006F190000}"/>
    <cellStyle name="Normal 108 3 2 4" xfId="6972" xr:uid="{00000000-0005-0000-0000-000070190000}"/>
    <cellStyle name="Normal 108 3 2 4 2" xfId="16335" xr:uid="{00000000-0005-0000-0000-000071190000}"/>
    <cellStyle name="Normal 108 3 2 4 2 2" xfId="32909" xr:uid="{00000000-0005-0000-0000-000072190000}"/>
    <cellStyle name="Normal 108 3 2 4 3" xfId="24862" xr:uid="{00000000-0005-0000-0000-000073190000}"/>
    <cellStyle name="Normal 108 3 2 5" xfId="12415" xr:uid="{00000000-0005-0000-0000-000074190000}"/>
    <cellStyle name="Normal 108 3 2 5 2" xfId="28939" xr:uid="{00000000-0005-0000-0000-000075190000}"/>
    <cellStyle name="Normal 108 3 2 6" xfId="20896" xr:uid="{00000000-0005-0000-0000-000076190000}"/>
    <cellStyle name="Normal 108 3 3" xfId="2729" xr:uid="{00000000-0005-0000-0000-000077190000}"/>
    <cellStyle name="Normal 108 3 3 2" xfId="2730" xr:uid="{00000000-0005-0000-0000-000078190000}"/>
    <cellStyle name="Normal 108 3 3 2 2" xfId="6973" xr:uid="{00000000-0005-0000-0000-000079190000}"/>
    <cellStyle name="Normal 108 3 3 2 2 2" xfId="16336" xr:uid="{00000000-0005-0000-0000-00007A190000}"/>
    <cellStyle name="Normal 108 3 3 2 2 2 2" xfId="32910" xr:uid="{00000000-0005-0000-0000-00007B190000}"/>
    <cellStyle name="Normal 108 3 3 2 2 3" xfId="24863" xr:uid="{00000000-0005-0000-0000-00007C190000}"/>
    <cellStyle name="Normal 108 3 3 2 3" xfId="12420" xr:uid="{00000000-0005-0000-0000-00007D190000}"/>
    <cellStyle name="Normal 108 3 3 2 3 2" xfId="28944" xr:uid="{00000000-0005-0000-0000-00007E190000}"/>
    <cellStyle name="Normal 108 3 3 2 4" xfId="20901" xr:uid="{00000000-0005-0000-0000-00007F190000}"/>
    <cellStyle name="Normal 108 3 3 3" xfId="6974" xr:uid="{00000000-0005-0000-0000-000080190000}"/>
    <cellStyle name="Normal 108 3 3 3 2" xfId="16337" xr:uid="{00000000-0005-0000-0000-000081190000}"/>
    <cellStyle name="Normal 108 3 3 3 2 2" xfId="32911" xr:uid="{00000000-0005-0000-0000-000082190000}"/>
    <cellStyle name="Normal 108 3 3 3 3" xfId="24864" xr:uid="{00000000-0005-0000-0000-000083190000}"/>
    <cellStyle name="Normal 108 3 3 4" xfId="12419" xr:uid="{00000000-0005-0000-0000-000084190000}"/>
    <cellStyle name="Normal 108 3 3 4 2" xfId="28943" xr:uid="{00000000-0005-0000-0000-000085190000}"/>
    <cellStyle name="Normal 108 3 3 5" xfId="20900" xr:uid="{00000000-0005-0000-0000-000086190000}"/>
    <cellStyle name="Normal 108 3 4" xfId="2731" xr:uid="{00000000-0005-0000-0000-000087190000}"/>
    <cellStyle name="Normal 108 3 4 2" xfId="6975" xr:uid="{00000000-0005-0000-0000-000088190000}"/>
    <cellStyle name="Normal 108 3 4 2 2" xfId="16338" xr:uid="{00000000-0005-0000-0000-000089190000}"/>
    <cellStyle name="Normal 108 3 4 2 2 2" xfId="32912" xr:uid="{00000000-0005-0000-0000-00008A190000}"/>
    <cellStyle name="Normal 108 3 4 2 3" xfId="24865" xr:uid="{00000000-0005-0000-0000-00008B190000}"/>
    <cellStyle name="Normal 108 3 4 3" xfId="12421" xr:uid="{00000000-0005-0000-0000-00008C190000}"/>
    <cellStyle name="Normal 108 3 4 3 2" xfId="28945" xr:uid="{00000000-0005-0000-0000-00008D190000}"/>
    <cellStyle name="Normal 108 3 4 4" xfId="20902" xr:uid="{00000000-0005-0000-0000-00008E190000}"/>
    <cellStyle name="Normal 108 3 5" xfId="2732" xr:uid="{00000000-0005-0000-0000-00008F190000}"/>
    <cellStyle name="Normal 108 3 5 2" xfId="12422" xr:uid="{00000000-0005-0000-0000-000090190000}"/>
    <cellStyle name="Normal 108 3 5 2 2" xfId="28946" xr:uid="{00000000-0005-0000-0000-000091190000}"/>
    <cellStyle name="Normal 108 3 5 3" xfId="20903" xr:uid="{00000000-0005-0000-0000-000092190000}"/>
    <cellStyle name="Normal 108 4" xfId="2733" xr:uid="{00000000-0005-0000-0000-000093190000}"/>
    <cellStyle name="Normal 108 4 2" xfId="2734" xr:uid="{00000000-0005-0000-0000-000094190000}"/>
    <cellStyle name="Normal 108 4 2 2" xfId="2735" xr:uid="{00000000-0005-0000-0000-000095190000}"/>
    <cellStyle name="Normal 108 4 2 2 2" xfId="2736" xr:uid="{00000000-0005-0000-0000-000096190000}"/>
    <cellStyle name="Normal 108 4 2 2 2 2" xfId="6976" xr:uid="{00000000-0005-0000-0000-000097190000}"/>
    <cellStyle name="Normal 108 4 2 2 2 2 2" xfId="16339" xr:uid="{00000000-0005-0000-0000-000098190000}"/>
    <cellStyle name="Normal 108 4 2 2 2 2 2 2" xfId="32913" xr:uid="{00000000-0005-0000-0000-000099190000}"/>
    <cellStyle name="Normal 108 4 2 2 2 2 3" xfId="24866" xr:uid="{00000000-0005-0000-0000-00009A190000}"/>
    <cellStyle name="Normal 108 4 2 2 2 3" xfId="12426" xr:uid="{00000000-0005-0000-0000-00009B190000}"/>
    <cellStyle name="Normal 108 4 2 2 2 3 2" xfId="28950" xr:uid="{00000000-0005-0000-0000-00009C190000}"/>
    <cellStyle name="Normal 108 4 2 2 2 4" xfId="20907" xr:uid="{00000000-0005-0000-0000-00009D190000}"/>
    <cellStyle name="Normal 108 4 2 2 3" xfId="6977" xr:uid="{00000000-0005-0000-0000-00009E190000}"/>
    <cellStyle name="Normal 108 4 2 2 3 2" xfId="16340" xr:uid="{00000000-0005-0000-0000-00009F190000}"/>
    <cellStyle name="Normal 108 4 2 2 3 2 2" xfId="32914" xr:uid="{00000000-0005-0000-0000-0000A0190000}"/>
    <cellStyle name="Normal 108 4 2 2 3 3" xfId="24867" xr:uid="{00000000-0005-0000-0000-0000A1190000}"/>
    <cellStyle name="Normal 108 4 2 2 4" xfId="12425" xr:uid="{00000000-0005-0000-0000-0000A2190000}"/>
    <cellStyle name="Normal 108 4 2 2 4 2" xfId="28949" xr:uid="{00000000-0005-0000-0000-0000A3190000}"/>
    <cellStyle name="Normal 108 4 2 2 5" xfId="20906" xr:uid="{00000000-0005-0000-0000-0000A4190000}"/>
    <cellStyle name="Normal 108 4 2 3" xfId="2737" xr:uid="{00000000-0005-0000-0000-0000A5190000}"/>
    <cellStyle name="Normal 108 4 2 3 2" xfId="6978" xr:uid="{00000000-0005-0000-0000-0000A6190000}"/>
    <cellStyle name="Normal 108 4 2 3 2 2" xfId="16341" xr:uid="{00000000-0005-0000-0000-0000A7190000}"/>
    <cellStyle name="Normal 108 4 2 3 2 2 2" xfId="32915" xr:uid="{00000000-0005-0000-0000-0000A8190000}"/>
    <cellStyle name="Normal 108 4 2 3 2 3" xfId="24868" xr:uid="{00000000-0005-0000-0000-0000A9190000}"/>
    <cellStyle name="Normal 108 4 2 3 3" xfId="12427" xr:uid="{00000000-0005-0000-0000-0000AA190000}"/>
    <cellStyle name="Normal 108 4 2 3 3 2" xfId="28951" xr:uid="{00000000-0005-0000-0000-0000AB190000}"/>
    <cellStyle name="Normal 108 4 2 3 4" xfId="20908" xr:uid="{00000000-0005-0000-0000-0000AC190000}"/>
    <cellStyle name="Normal 108 4 2 4" xfId="6979" xr:uid="{00000000-0005-0000-0000-0000AD190000}"/>
    <cellStyle name="Normal 108 4 2 4 2" xfId="16342" xr:uid="{00000000-0005-0000-0000-0000AE190000}"/>
    <cellStyle name="Normal 108 4 2 4 2 2" xfId="32916" xr:uid="{00000000-0005-0000-0000-0000AF190000}"/>
    <cellStyle name="Normal 108 4 2 4 3" xfId="24869" xr:uid="{00000000-0005-0000-0000-0000B0190000}"/>
    <cellStyle name="Normal 108 4 2 5" xfId="12424" xr:uid="{00000000-0005-0000-0000-0000B1190000}"/>
    <cellStyle name="Normal 108 4 2 5 2" xfId="28948" xr:uid="{00000000-0005-0000-0000-0000B2190000}"/>
    <cellStyle name="Normal 108 4 2 6" xfId="20905" xr:uid="{00000000-0005-0000-0000-0000B3190000}"/>
    <cellStyle name="Normal 108 4 3" xfId="2738" xr:uid="{00000000-0005-0000-0000-0000B4190000}"/>
    <cellStyle name="Normal 108 4 3 2" xfId="2739" xr:uid="{00000000-0005-0000-0000-0000B5190000}"/>
    <cellStyle name="Normal 108 4 3 2 2" xfId="6980" xr:uid="{00000000-0005-0000-0000-0000B6190000}"/>
    <cellStyle name="Normal 108 4 3 2 2 2" xfId="16343" xr:uid="{00000000-0005-0000-0000-0000B7190000}"/>
    <cellStyle name="Normal 108 4 3 2 2 2 2" xfId="32917" xr:uid="{00000000-0005-0000-0000-0000B8190000}"/>
    <cellStyle name="Normal 108 4 3 2 2 3" xfId="24870" xr:uid="{00000000-0005-0000-0000-0000B9190000}"/>
    <cellStyle name="Normal 108 4 3 2 3" xfId="12429" xr:uid="{00000000-0005-0000-0000-0000BA190000}"/>
    <cellStyle name="Normal 108 4 3 2 3 2" xfId="28953" xr:uid="{00000000-0005-0000-0000-0000BB190000}"/>
    <cellStyle name="Normal 108 4 3 2 4" xfId="20910" xr:uid="{00000000-0005-0000-0000-0000BC190000}"/>
    <cellStyle name="Normal 108 4 3 3" xfId="6981" xr:uid="{00000000-0005-0000-0000-0000BD190000}"/>
    <cellStyle name="Normal 108 4 3 3 2" xfId="16344" xr:uid="{00000000-0005-0000-0000-0000BE190000}"/>
    <cellStyle name="Normal 108 4 3 3 2 2" xfId="32918" xr:uid="{00000000-0005-0000-0000-0000BF190000}"/>
    <cellStyle name="Normal 108 4 3 3 3" xfId="24871" xr:uid="{00000000-0005-0000-0000-0000C0190000}"/>
    <cellStyle name="Normal 108 4 3 4" xfId="12428" xr:uid="{00000000-0005-0000-0000-0000C1190000}"/>
    <cellStyle name="Normal 108 4 3 4 2" xfId="28952" xr:uid="{00000000-0005-0000-0000-0000C2190000}"/>
    <cellStyle name="Normal 108 4 3 5" xfId="20909" xr:uid="{00000000-0005-0000-0000-0000C3190000}"/>
    <cellStyle name="Normal 108 4 4" xfId="2740" xr:uid="{00000000-0005-0000-0000-0000C4190000}"/>
    <cellStyle name="Normal 108 4 4 2" xfId="6982" xr:uid="{00000000-0005-0000-0000-0000C5190000}"/>
    <cellStyle name="Normal 108 4 4 2 2" xfId="16345" xr:uid="{00000000-0005-0000-0000-0000C6190000}"/>
    <cellStyle name="Normal 108 4 4 2 2 2" xfId="32919" xr:uid="{00000000-0005-0000-0000-0000C7190000}"/>
    <cellStyle name="Normal 108 4 4 2 3" xfId="24872" xr:uid="{00000000-0005-0000-0000-0000C8190000}"/>
    <cellStyle name="Normal 108 4 4 3" xfId="12430" xr:uid="{00000000-0005-0000-0000-0000C9190000}"/>
    <cellStyle name="Normal 108 4 4 3 2" xfId="28954" xr:uid="{00000000-0005-0000-0000-0000CA190000}"/>
    <cellStyle name="Normal 108 4 4 4" xfId="20911" xr:uid="{00000000-0005-0000-0000-0000CB190000}"/>
    <cellStyle name="Normal 108 4 5" xfId="6983" xr:uid="{00000000-0005-0000-0000-0000CC190000}"/>
    <cellStyle name="Normal 108 4 5 2" xfId="16346" xr:uid="{00000000-0005-0000-0000-0000CD190000}"/>
    <cellStyle name="Normal 108 4 5 2 2" xfId="32920" xr:uid="{00000000-0005-0000-0000-0000CE190000}"/>
    <cellStyle name="Normal 108 4 5 3" xfId="24873" xr:uid="{00000000-0005-0000-0000-0000CF190000}"/>
    <cellStyle name="Normal 108 4 6" xfId="12423" xr:uid="{00000000-0005-0000-0000-0000D0190000}"/>
    <cellStyle name="Normal 108 4 6 2" xfId="28947" xr:uid="{00000000-0005-0000-0000-0000D1190000}"/>
    <cellStyle name="Normal 108 4 7" xfId="20904" xr:uid="{00000000-0005-0000-0000-0000D2190000}"/>
    <cellStyle name="Normal 108 5" xfId="2741" xr:uid="{00000000-0005-0000-0000-0000D3190000}"/>
    <cellStyle name="Normal 108 5 2" xfId="2742" xr:uid="{00000000-0005-0000-0000-0000D4190000}"/>
    <cellStyle name="Normal 108 5 2 2" xfId="2743" xr:uid="{00000000-0005-0000-0000-0000D5190000}"/>
    <cellStyle name="Normal 108 5 2 2 2" xfId="2744" xr:uid="{00000000-0005-0000-0000-0000D6190000}"/>
    <cellStyle name="Normal 108 5 2 2 2 2" xfId="6984" xr:uid="{00000000-0005-0000-0000-0000D7190000}"/>
    <cellStyle name="Normal 108 5 2 2 2 2 2" xfId="16347" xr:uid="{00000000-0005-0000-0000-0000D8190000}"/>
    <cellStyle name="Normal 108 5 2 2 2 2 2 2" xfId="32921" xr:uid="{00000000-0005-0000-0000-0000D9190000}"/>
    <cellStyle name="Normal 108 5 2 2 2 2 3" xfId="24874" xr:uid="{00000000-0005-0000-0000-0000DA190000}"/>
    <cellStyle name="Normal 108 5 2 2 2 3" xfId="12434" xr:uid="{00000000-0005-0000-0000-0000DB190000}"/>
    <cellStyle name="Normal 108 5 2 2 2 3 2" xfId="28958" xr:uid="{00000000-0005-0000-0000-0000DC190000}"/>
    <cellStyle name="Normal 108 5 2 2 2 4" xfId="20915" xr:uid="{00000000-0005-0000-0000-0000DD190000}"/>
    <cellStyle name="Normal 108 5 2 2 3" xfId="6985" xr:uid="{00000000-0005-0000-0000-0000DE190000}"/>
    <cellStyle name="Normal 108 5 2 2 3 2" xfId="16348" xr:uid="{00000000-0005-0000-0000-0000DF190000}"/>
    <cellStyle name="Normal 108 5 2 2 3 2 2" xfId="32922" xr:uid="{00000000-0005-0000-0000-0000E0190000}"/>
    <cellStyle name="Normal 108 5 2 2 3 3" xfId="24875" xr:uid="{00000000-0005-0000-0000-0000E1190000}"/>
    <cellStyle name="Normal 108 5 2 2 4" xfId="12433" xr:uid="{00000000-0005-0000-0000-0000E2190000}"/>
    <cellStyle name="Normal 108 5 2 2 4 2" xfId="28957" xr:uid="{00000000-0005-0000-0000-0000E3190000}"/>
    <cellStyle name="Normal 108 5 2 2 5" xfId="20914" xr:uid="{00000000-0005-0000-0000-0000E4190000}"/>
    <cellStyle name="Normal 108 5 2 3" xfId="2745" xr:uid="{00000000-0005-0000-0000-0000E5190000}"/>
    <cellStyle name="Normal 108 5 2 3 2" xfId="6986" xr:uid="{00000000-0005-0000-0000-0000E6190000}"/>
    <cellStyle name="Normal 108 5 2 3 2 2" xfId="16349" xr:uid="{00000000-0005-0000-0000-0000E7190000}"/>
    <cellStyle name="Normal 108 5 2 3 2 2 2" xfId="32923" xr:uid="{00000000-0005-0000-0000-0000E8190000}"/>
    <cellStyle name="Normal 108 5 2 3 2 3" xfId="24876" xr:uid="{00000000-0005-0000-0000-0000E9190000}"/>
    <cellStyle name="Normal 108 5 2 3 3" xfId="12435" xr:uid="{00000000-0005-0000-0000-0000EA190000}"/>
    <cellStyle name="Normal 108 5 2 3 3 2" xfId="28959" xr:uid="{00000000-0005-0000-0000-0000EB190000}"/>
    <cellStyle name="Normal 108 5 2 3 4" xfId="20916" xr:uid="{00000000-0005-0000-0000-0000EC190000}"/>
    <cellStyle name="Normal 108 5 2 4" xfId="6987" xr:uid="{00000000-0005-0000-0000-0000ED190000}"/>
    <cellStyle name="Normal 108 5 2 4 2" xfId="16350" xr:uid="{00000000-0005-0000-0000-0000EE190000}"/>
    <cellStyle name="Normal 108 5 2 4 2 2" xfId="32924" xr:uid="{00000000-0005-0000-0000-0000EF190000}"/>
    <cellStyle name="Normal 108 5 2 4 3" xfId="24877" xr:uid="{00000000-0005-0000-0000-0000F0190000}"/>
    <cellStyle name="Normal 108 5 2 5" xfId="12432" xr:uid="{00000000-0005-0000-0000-0000F1190000}"/>
    <cellStyle name="Normal 108 5 2 5 2" xfId="28956" xr:uid="{00000000-0005-0000-0000-0000F2190000}"/>
    <cellStyle name="Normal 108 5 2 6" xfId="20913" xr:uid="{00000000-0005-0000-0000-0000F3190000}"/>
    <cellStyle name="Normal 108 5 3" xfId="2746" xr:uid="{00000000-0005-0000-0000-0000F4190000}"/>
    <cellStyle name="Normal 108 5 3 2" xfId="2747" xr:uid="{00000000-0005-0000-0000-0000F5190000}"/>
    <cellStyle name="Normal 108 5 3 2 2" xfId="6988" xr:uid="{00000000-0005-0000-0000-0000F6190000}"/>
    <cellStyle name="Normal 108 5 3 2 2 2" xfId="16351" xr:uid="{00000000-0005-0000-0000-0000F7190000}"/>
    <cellStyle name="Normal 108 5 3 2 2 2 2" xfId="32925" xr:uid="{00000000-0005-0000-0000-0000F8190000}"/>
    <cellStyle name="Normal 108 5 3 2 2 3" xfId="24878" xr:uid="{00000000-0005-0000-0000-0000F9190000}"/>
    <cellStyle name="Normal 108 5 3 2 3" xfId="12437" xr:uid="{00000000-0005-0000-0000-0000FA190000}"/>
    <cellStyle name="Normal 108 5 3 2 3 2" xfId="28961" xr:uid="{00000000-0005-0000-0000-0000FB190000}"/>
    <cellStyle name="Normal 108 5 3 2 4" xfId="20918" xr:uid="{00000000-0005-0000-0000-0000FC190000}"/>
    <cellStyle name="Normal 108 5 3 3" xfId="6989" xr:uid="{00000000-0005-0000-0000-0000FD190000}"/>
    <cellStyle name="Normal 108 5 3 3 2" xfId="16352" xr:uid="{00000000-0005-0000-0000-0000FE190000}"/>
    <cellStyle name="Normal 108 5 3 3 2 2" xfId="32926" xr:uid="{00000000-0005-0000-0000-0000FF190000}"/>
    <cellStyle name="Normal 108 5 3 3 3" xfId="24879" xr:uid="{00000000-0005-0000-0000-0000001A0000}"/>
    <cellStyle name="Normal 108 5 3 4" xfId="12436" xr:uid="{00000000-0005-0000-0000-0000011A0000}"/>
    <cellStyle name="Normal 108 5 3 4 2" xfId="28960" xr:uid="{00000000-0005-0000-0000-0000021A0000}"/>
    <cellStyle name="Normal 108 5 3 5" xfId="20917" xr:uid="{00000000-0005-0000-0000-0000031A0000}"/>
    <cellStyle name="Normal 108 5 4" xfId="2748" xr:uid="{00000000-0005-0000-0000-0000041A0000}"/>
    <cellStyle name="Normal 108 5 4 2" xfId="6990" xr:uid="{00000000-0005-0000-0000-0000051A0000}"/>
    <cellStyle name="Normal 108 5 4 2 2" xfId="16353" xr:uid="{00000000-0005-0000-0000-0000061A0000}"/>
    <cellStyle name="Normal 108 5 4 2 2 2" xfId="32927" xr:uid="{00000000-0005-0000-0000-0000071A0000}"/>
    <cellStyle name="Normal 108 5 4 2 3" xfId="24880" xr:uid="{00000000-0005-0000-0000-0000081A0000}"/>
    <cellStyle name="Normal 108 5 4 3" xfId="12438" xr:uid="{00000000-0005-0000-0000-0000091A0000}"/>
    <cellStyle name="Normal 108 5 4 3 2" xfId="28962" xr:uid="{00000000-0005-0000-0000-00000A1A0000}"/>
    <cellStyle name="Normal 108 5 4 4" xfId="20919" xr:uid="{00000000-0005-0000-0000-00000B1A0000}"/>
    <cellStyle name="Normal 108 5 5" xfId="6991" xr:uid="{00000000-0005-0000-0000-00000C1A0000}"/>
    <cellStyle name="Normal 108 5 5 2" xfId="16354" xr:uid="{00000000-0005-0000-0000-00000D1A0000}"/>
    <cellStyle name="Normal 108 5 5 2 2" xfId="32928" xr:uid="{00000000-0005-0000-0000-00000E1A0000}"/>
    <cellStyle name="Normal 108 5 5 3" xfId="24881" xr:uid="{00000000-0005-0000-0000-00000F1A0000}"/>
    <cellStyle name="Normal 108 5 6" xfId="12431" xr:uid="{00000000-0005-0000-0000-0000101A0000}"/>
    <cellStyle name="Normal 108 5 6 2" xfId="28955" xr:uid="{00000000-0005-0000-0000-0000111A0000}"/>
    <cellStyle name="Normal 108 5 7" xfId="20912" xr:uid="{00000000-0005-0000-0000-0000121A0000}"/>
    <cellStyle name="Normal 108 6" xfId="2749" xr:uid="{00000000-0005-0000-0000-0000131A0000}"/>
    <cellStyle name="Normal 108 6 2" xfId="2750" xr:uid="{00000000-0005-0000-0000-0000141A0000}"/>
    <cellStyle name="Normal 108 6 2 2" xfId="2751" xr:uid="{00000000-0005-0000-0000-0000151A0000}"/>
    <cellStyle name="Normal 108 6 2 2 2" xfId="6992" xr:uid="{00000000-0005-0000-0000-0000161A0000}"/>
    <cellStyle name="Normal 108 6 2 2 2 2" xfId="16355" xr:uid="{00000000-0005-0000-0000-0000171A0000}"/>
    <cellStyle name="Normal 108 6 2 2 2 2 2" xfId="32929" xr:uid="{00000000-0005-0000-0000-0000181A0000}"/>
    <cellStyle name="Normal 108 6 2 2 2 3" xfId="24882" xr:uid="{00000000-0005-0000-0000-0000191A0000}"/>
    <cellStyle name="Normal 108 6 2 2 3" xfId="12441" xr:uid="{00000000-0005-0000-0000-00001A1A0000}"/>
    <cellStyle name="Normal 108 6 2 2 3 2" xfId="28965" xr:uid="{00000000-0005-0000-0000-00001B1A0000}"/>
    <cellStyle name="Normal 108 6 2 2 4" xfId="20922" xr:uid="{00000000-0005-0000-0000-00001C1A0000}"/>
    <cellStyle name="Normal 108 6 2 3" xfId="6993" xr:uid="{00000000-0005-0000-0000-00001D1A0000}"/>
    <cellStyle name="Normal 108 6 2 3 2" xfId="16356" xr:uid="{00000000-0005-0000-0000-00001E1A0000}"/>
    <cellStyle name="Normal 108 6 2 3 2 2" xfId="32930" xr:uid="{00000000-0005-0000-0000-00001F1A0000}"/>
    <cellStyle name="Normal 108 6 2 3 3" xfId="24883" xr:uid="{00000000-0005-0000-0000-0000201A0000}"/>
    <cellStyle name="Normal 108 6 2 4" xfId="12440" xr:uid="{00000000-0005-0000-0000-0000211A0000}"/>
    <cellStyle name="Normal 108 6 2 4 2" xfId="28964" xr:uid="{00000000-0005-0000-0000-0000221A0000}"/>
    <cellStyle name="Normal 108 6 2 5" xfId="20921" xr:uid="{00000000-0005-0000-0000-0000231A0000}"/>
    <cellStyle name="Normal 108 6 3" xfId="2752" xr:uid="{00000000-0005-0000-0000-0000241A0000}"/>
    <cellStyle name="Normal 108 6 3 2" xfId="6994" xr:uid="{00000000-0005-0000-0000-0000251A0000}"/>
    <cellStyle name="Normal 108 6 3 2 2" xfId="16357" xr:uid="{00000000-0005-0000-0000-0000261A0000}"/>
    <cellStyle name="Normal 108 6 3 2 2 2" xfId="32931" xr:uid="{00000000-0005-0000-0000-0000271A0000}"/>
    <cellStyle name="Normal 108 6 3 2 3" xfId="24884" xr:uid="{00000000-0005-0000-0000-0000281A0000}"/>
    <cellStyle name="Normal 108 6 3 3" xfId="12442" xr:uid="{00000000-0005-0000-0000-0000291A0000}"/>
    <cellStyle name="Normal 108 6 3 3 2" xfId="28966" xr:uid="{00000000-0005-0000-0000-00002A1A0000}"/>
    <cellStyle name="Normal 108 6 3 4" xfId="20923" xr:uid="{00000000-0005-0000-0000-00002B1A0000}"/>
    <cellStyle name="Normal 108 6 4" xfId="6995" xr:uid="{00000000-0005-0000-0000-00002C1A0000}"/>
    <cellStyle name="Normal 108 6 4 2" xfId="16358" xr:uid="{00000000-0005-0000-0000-00002D1A0000}"/>
    <cellStyle name="Normal 108 6 4 2 2" xfId="32932" xr:uid="{00000000-0005-0000-0000-00002E1A0000}"/>
    <cellStyle name="Normal 108 6 4 3" xfId="24885" xr:uid="{00000000-0005-0000-0000-00002F1A0000}"/>
    <cellStyle name="Normal 108 6 5" xfId="12439" xr:uid="{00000000-0005-0000-0000-0000301A0000}"/>
    <cellStyle name="Normal 108 6 5 2" xfId="28963" xr:uid="{00000000-0005-0000-0000-0000311A0000}"/>
    <cellStyle name="Normal 108 6 6" xfId="20920" xr:uid="{00000000-0005-0000-0000-0000321A0000}"/>
    <cellStyle name="Normal 108 7" xfId="2753" xr:uid="{00000000-0005-0000-0000-0000331A0000}"/>
    <cellStyle name="Normal 108 7 2" xfId="2754" xr:uid="{00000000-0005-0000-0000-0000341A0000}"/>
    <cellStyle name="Normal 108 7 2 2" xfId="6996" xr:uid="{00000000-0005-0000-0000-0000351A0000}"/>
    <cellStyle name="Normal 108 7 2 2 2" xfId="16359" xr:uid="{00000000-0005-0000-0000-0000361A0000}"/>
    <cellStyle name="Normal 108 7 2 2 2 2" xfId="32933" xr:uid="{00000000-0005-0000-0000-0000371A0000}"/>
    <cellStyle name="Normal 108 7 2 2 3" xfId="24886" xr:uid="{00000000-0005-0000-0000-0000381A0000}"/>
    <cellStyle name="Normal 108 7 2 3" xfId="12444" xr:uid="{00000000-0005-0000-0000-0000391A0000}"/>
    <cellStyle name="Normal 108 7 2 3 2" xfId="28968" xr:uid="{00000000-0005-0000-0000-00003A1A0000}"/>
    <cellStyle name="Normal 108 7 2 4" xfId="20925" xr:uid="{00000000-0005-0000-0000-00003B1A0000}"/>
    <cellStyle name="Normal 108 7 3" xfId="6997" xr:uid="{00000000-0005-0000-0000-00003C1A0000}"/>
    <cellStyle name="Normal 108 7 3 2" xfId="16360" xr:uid="{00000000-0005-0000-0000-00003D1A0000}"/>
    <cellStyle name="Normal 108 7 3 2 2" xfId="32934" xr:uid="{00000000-0005-0000-0000-00003E1A0000}"/>
    <cellStyle name="Normal 108 7 3 3" xfId="24887" xr:uid="{00000000-0005-0000-0000-00003F1A0000}"/>
    <cellStyle name="Normal 108 7 4" xfId="12443" xr:uid="{00000000-0005-0000-0000-0000401A0000}"/>
    <cellStyle name="Normal 108 7 4 2" xfId="28967" xr:uid="{00000000-0005-0000-0000-0000411A0000}"/>
    <cellStyle name="Normal 108 7 5" xfId="20924" xr:uid="{00000000-0005-0000-0000-0000421A0000}"/>
    <cellStyle name="Normal 108 8" xfId="2755" xr:uid="{00000000-0005-0000-0000-0000431A0000}"/>
    <cellStyle name="Normal 108 8 2" xfId="6998" xr:uid="{00000000-0005-0000-0000-0000441A0000}"/>
    <cellStyle name="Normal 108 8 2 2" xfId="16361" xr:uid="{00000000-0005-0000-0000-0000451A0000}"/>
    <cellStyle name="Normal 108 8 2 2 2" xfId="32935" xr:uid="{00000000-0005-0000-0000-0000461A0000}"/>
    <cellStyle name="Normal 108 8 2 3" xfId="24888" xr:uid="{00000000-0005-0000-0000-0000471A0000}"/>
    <cellStyle name="Normal 108 8 3" xfId="12445" xr:uid="{00000000-0005-0000-0000-0000481A0000}"/>
    <cellStyle name="Normal 108 8 3 2" xfId="28969" xr:uid="{00000000-0005-0000-0000-0000491A0000}"/>
    <cellStyle name="Normal 108 8 4" xfId="20926" xr:uid="{00000000-0005-0000-0000-00004A1A0000}"/>
    <cellStyle name="Normal 108 9" xfId="6999" xr:uid="{00000000-0005-0000-0000-00004B1A0000}"/>
    <cellStyle name="Normal 108 9 2" xfId="16362" xr:uid="{00000000-0005-0000-0000-00004C1A0000}"/>
    <cellStyle name="Normal 108 9 2 2" xfId="32936" xr:uid="{00000000-0005-0000-0000-00004D1A0000}"/>
    <cellStyle name="Normal 108 9 3" xfId="24889" xr:uid="{00000000-0005-0000-0000-00004E1A0000}"/>
    <cellStyle name="Normal 109" xfId="2756" xr:uid="{00000000-0005-0000-0000-00004F1A0000}"/>
    <cellStyle name="Normal 109 10" xfId="12446" xr:uid="{00000000-0005-0000-0000-0000501A0000}"/>
    <cellStyle name="Normal 109 10 2" xfId="28970" xr:uid="{00000000-0005-0000-0000-0000511A0000}"/>
    <cellStyle name="Normal 109 11" xfId="20927" xr:uid="{00000000-0005-0000-0000-0000521A0000}"/>
    <cellStyle name="Normal 109 2" xfId="2757" xr:uid="{00000000-0005-0000-0000-0000531A0000}"/>
    <cellStyle name="Normal 109 2 2" xfId="2758" xr:uid="{00000000-0005-0000-0000-0000541A0000}"/>
    <cellStyle name="Normal 109 2 3" xfId="12447" xr:uid="{00000000-0005-0000-0000-0000551A0000}"/>
    <cellStyle name="Normal 109 2 3 2" xfId="28971" xr:uid="{00000000-0005-0000-0000-0000561A0000}"/>
    <cellStyle name="Normal 109 2 4" xfId="20928" xr:uid="{00000000-0005-0000-0000-0000571A0000}"/>
    <cellStyle name="Normal 109 3" xfId="2759" xr:uid="{00000000-0005-0000-0000-0000581A0000}"/>
    <cellStyle name="Normal 109 3 2" xfId="2760" xr:uid="{00000000-0005-0000-0000-0000591A0000}"/>
    <cellStyle name="Normal 109 3 2 2" xfId="2761" xr:uid="{00000000-0005-0000-0000-00005A1A0000}"/>
    <cellStyle name="Normal 109 3 2 2 2" xfId="2762" xr:uid="{00000000-0005-0000-0000-00005B1A0000}"/>
    <cellStyle name="Normal 109 3 2 2 2 2" xfId="7000" xr:uid="{00000000-0005-0000-0000-00005C1A0000}"/>
    <cellStyle name="Normal 109 3 2 2 2 2 2" xfId="16363" xr:uid="{00000000-0005-0000-0000-00005D1A0000}"/>
    <cellStyle name="Normal 109 3 2 2 2 2 2 2" xfId="32937" xr:uid="{00000000-0005-0000-0000-00005E1A0000}"/>
    <cellStyle name="Normal 109 3 2 2 2 2 3" xfId="24890" xr:uid="{00000000-0005-0000-0000-00005F1A0000}"/>
    <cellStyle name="Normal 109 3 2 2 2 3" xfId="12450" xr:uid="{00000000-0005-0000-0000-0000601A0000}"/>
    <cellStyle name="Normal 109 3 2 2 2 3 2" xfId="28974" xr:uid="{00000000-0005-0000-0000-0000611A0000}"/>
    <cellStyle name="Normal 109 3 2 2 2 4" xfId="20931" xr:uid="{00000000-0005-0000-0000-0000621A0000}"/>
    <cellStyle name="Normal 109 3 2 2 3" xfId="7001" xr:uid="{00000000-0005-0000-0000-0000631A0000}"/>
    <cellStyle name="Normal 109 3 2 2 3 2" xfId="16364" xr:uid="{00000000-0005-0000-0000-0000641A0000}"/>
    <cellStyle name="Normal 109 3 2 2 3 2 2" xfId="32938" xr:uid="{00000000-0005-0000-0000-0000651A0000}"/>
    <cellStyle name="Normal 109 3 2 2 3 3" xfId="24891" xr:uid="{00000000-0005-0000-0000-0000661A0000}"/>
    <cellStyle name="Normal 109 3 2 2 4" xfId="12449" xr:uid="{00000000-0005-0000-0000-0000671A0000}"/>
    <cellStyle name="Normal 109 3 2 2 4 2" xfId="28973" xr:uid="{00000000-0005-0000-0000-0000681A0000}"/>
    <cellStyle name="Normal 109 3 2 2 5" xfId="20930" xr:uid="{00000000-0005-0000-0000-0000691A0000}"/>
    <cellStyle name="Normal 109 3 2 3" xfId="2763" xr:uid="{00000000-0005-0000-0000-00006A1A0000}"/>
    <cellStyle name="Normal 109 3 2 3 2" xfId="7002" xr:uid="{00000000-0005-0000-0000-00006B1A0000}"/>
    <cellStyle name="Normal 109 3 2 3 2 2" xfId="16365" xr:uid="{00000000-0005-0000-0000-00006C1A0000}"/>
    <cellStyle name="Normal 109 3 2 3 2 2 2" xfId="32939" xr:uid="{00000000-0005-0000-0000-00006D1A0000}"/>
    <cellStyle name="Normal 109 3 2 3 2 3" xfId="24892" xr:uid="{00000000-0005-0000-0000-00006E1A0000}"/>
    <cellStyle name="Normal 109 3 2 3 3" xfId="12451" xr:uid="{00000000-0005-0000-0000-00006F1A0000}"/>
    <cellStyle name="Normal 109 3 2 3 3 2" xfId="28975" xr:uid="{00000000-0005-0000-0000-0000701A0000}"/>
    <cellStyle name="Normal 109 3 2 3 4" xfId="20932" xr:uid="{00000000-0005-0000-0000-0000711A0000}"/>
    <cellStyle name="Normal 109 3 2 4" xfId="7003" xr:uid="{00000000-0005-0000-0000-0000721A0000}"/>
    <cellStyle name="Normal 109 3 2 4 2" xfId="16366" xr:uid="{00000000-0005-0000-0000-0000731A0000}"/>
    <cellStyle name="Normal 109 3 2 4 2 2" xfId="32940" xr:uid="{00000000-0005-0000-0000-0000741A0000}"/>
    <cellStyle name="Normal 109 3 2 4 3" xfId="24893" xr:uid="{00000000-0005-0000-0000-0000751A0000}"/>
    <cellStyle name="Normal 109 3 2 5" xfId="12448" xr:uid="{00000000-0005-0000-0000-0000761A0000}"/>
    <cellStyle name="Normal 109 3 2 5 2" xfId="28972" xr:uid="{00000000-0005-0000-0000-0000771A0000}"/>
    <cellStyle name="Normal 109 3 2 6" xfId="20929" xr:uid="{00000000-0005-0000-0000-0000781A0000}"/>
    <cellStyle name="Normal 109 3 3" xfId="2764" xr:uid="{00000000-0005-0000-0000-0000791A0000}"/>
    <cellStyle name="Normal 109 3 3 2" xfId="2765" xr:uid="{00000000-0005-0000-0000-00007A1A0000}"/>
    <cellStyle name="Normal 109 3 3 2 2" xfId="7004" xr:uid="{00000000-0005-0000-0000-00007B1A0000}"/>
    <cellStyle name="Normal 109 3 3 2 2 2" xfId="16367" xr:uid="{00000000-0005-0000-0000-00007C1A0000}"/>
    <cellStyle name="Normal 109 3 3 2 2 2 2" xfId="32941" xr:uid="{00000000-0005-0000-0000-00007D1A0000}"/>
    <cellStyle name="Normal 109 3 3 2 2 3" xfId="24894" xr:uid="{00000000-0005-0000-0000-00007E1A0000}"/>
    <cellStyle name="Normal 109 3 3 2 3" xfId="12453" xr:uid="{00000000-0005-0000-0000-00007F1A0000}"/>
    <cellStyle name="Normal 109 3 3 2 3 2" xfId="28977" xr:uid="{00000000-0005-0000-0000-0000801A0000}"/>
    <cellStyle name="Normal 109 3 3 2 4" xfId="20934" xr:uid="{00000000-0005-0000-0000-0000811A0000}"/>
    <cellStyle name="Normal 109 3 3 3" xfId="7005" xr:uid="{00000000-0005-0000-0000-0000821A0000}"/>
    <cellStyle name="Normal 109 3 3 3 2" xfId="16368" xr:uid="{00000000-0005-0000-0000-0000831A0000}"/>
    <cellStyle name="Normal 109 3 3 3 2 2" xfId="32942" xr:uid="{00000000-0005-0000-0000-0000841A0000}"/>
    <cellStyle name="Normal 109 3 3 3 3" xfId="24895" xr:uid="{00000000-0005-0000-0000-0000851A0000}"/>
    <cellStyle name="Normal 109 3 3 4" xfId="12452" xr:uid="{00000000-0005-0000-0000-0000861A0000}"/>
    <cellStyle name="Normal 109 3 3 4 2" xfId="28976" xr:uid="{00000000-0005-0000-0000-0000871A0000}"/>
    <cellStyle name="Normal 109 3 3 5" xfId="20933" xr:uid="{00000000-0005-0000-0000-0000881A0000}"/>
    <cellStyle name="Normal 109 3 4" xfId="2766" xr:uid="{00000000-0005-0000-0000-0000891A0000}"/>
    <cellStyle name="Normal 109 3 4 2" xfId="7006" xr:uid="{00000000-0005-0000-0000-00008A1A0000}"/>
    <cellStyle name="Normal 109 3 4 2 2" xfId="16369" xr:uid="{00000000-0005-0000-0000-00008B1A0000}"/>
    <cellStyle name="Normal 109 3 4 2 2 2" xfId="32943" xr:uid="{00000000-0005-0000-0000-00008C1A0000}"/>
    <cellStyle name="Normal 109 3 4 2 3" xfId="24896" xr:uid="{00000000-0005-0000-0000-00008D1A0000}"/>
    <cellStyle name="Normal 109 3 4 3" xfId="12454" xr:uid="{00000000-0005-0000-0000-00008E1A0000}"/>
    <cellStyle name="Normal 109 3 4 3 2" xfId="28978" xr:uid="{00000000-0005-0000-0000-00008F1A0000}"/>
    <cellStyle name="Normal 109 3 4 4" xfId="20935" xr:uid="{00000000-0005-0000-0000-0000901A0000}"/>
    <cellStyle name="Normal 109 3 5" xfId="2767" xr:uid="{00000000-0005-0000-0000-0000911A0000}"/>
    <cellStyle name="Normal 109 3 5 2" xfId="12455" xr:uid="{00000000-0005-0000-0000-0000921A0000}"/>
    <cellStyle name="Normal 109 3 5 2 2" xfId="28979" xr:uid="{00000000-0005-0000-0000-0000931A0000}"/>
    <cellStyle name="Normal 109 3 5 3" xfId="20936" xr:uid="{00000000-0005-0000-0000-0000941A0000}"/>
    <cellStyle name="Normal 109 4" xfId="2768" xr:uid="{00000000-0005-0000-0000-0000951A0000}"/>
    <cellStyle name="Normal 109 4 2" xfId="2769" xr:uid="{00000000-0005-0000-0000-0000961A0000}"/>
    <cellStyle name="Normal 109 4 2 2" xfId="2770" xr:uid="{00000000-0005-0000-0000-0000971A0000}"/>
    <cellStyle name="Normal 109 4 2 2 2" xfId="2771" xr:uid="{00000000-0005-0000-0000-0000981A0000}"/>
    <cellStyle name="Normal 109 4 2 2 2 2" xfId="7007" xr:uid="{00000000-0005-0000-0000-0000991A0000}"/>
    <cellStyle name="Normal 109 4 2 2 2 2 2" xfId="16370" xr:uid="{00000000-0005-0000-0000-00009A1A0000}"/>
    <cellStyle name="Normal 109 4 2 2 2 2 2 2" xfId="32944" xr:uid="{00000000-0005-0000-0000-00009B1A0000}"/>
    <cellStyle name="Normal 109 4 2 2 2 2 3" xfId="24897" xr:uid="{00000000-0005-0000-0000-00009C1A0000}"/>
    <cellStyle name="Normal 109 4 2 2 2 3" xfId="12459" xr:uid="{00000000-0005-0000-0000-00009D1A0000}"/>
    <cellStyle name="Normal 109 4 2 2 2 3 2" xfId="28983" xr:uid="{00000000-0005-0000-0000-00009E1A0000}"/>
    <cellStyle name="Normal 109 4 2 2 2 4" xfId="20940" xr:uid="{00000000-0005-0000-0000-00009F1A0000}"/>
    <cellStyle name="Normal 109 4 2 2 3" xfId="7008" xr:uid="{00000000-0005-0000-0000-0000A01A0000}"/>
    <cellStyle name="Normal 109 4 2 2 3 2" xfId="16371" xr:uid="{00000000-0005-0000-0000-0000A11A0000}"/>
    <cellStyle name="Normal 109 4 2 2 3 2 2" xfId="32945" xr:uid="{00000000-0005-0000-0000-0000A21A0000}"/>
    <cellStyle name="Normal 109 4 2 2 3 3" xfId="24898" xr:uid="{00000000-0005-0000-0000-0000A31A0000}"/>
    <cellStyle name="Normal 109 4 2 2 4" xfId="12458" xr:uid="{00000000-0005-0000-0000-0000A41A0000}"/>
    <cellStyle name="Normal 109 4 2 2 4 2" xfId="28982" xr:uid="{00000000-0005-0000-0000-0000A51A0000}"/>
    <cellStyle name="Normal 109 4 2 2 5" xfId="20939" xr:uid="{00000000-0005-0000-0000-0000A61A0000}"/>
    <cellStyle name="Normal 109 4 2 3" xfId="2772" xr:uid="{00000000-0005-0000-0000-0000A71A0000}"/>
    <cellStyle name="Normal 109 4 2 3 2" xfId="7009" xr:uid="{00000000-0005-0000-0000-0000A81A0000}"/>
    <cellStyle name="Normal 109 4 2 3 2 2" xfId="16372" xr:uid="{00000000-0005-0000-0000-0000A91A0000}"/>
    <cellStyle name="Normal 109 4 2 3 2 2 2" xfId="32946" xr:uid="{00000000-0005-0000-0000-0000AA1A0000}"/>
    <cellStyle name="Normal 109 4 2 3 2 3" xfId="24899" xr:uid="{00000000-0005-0000-0000-0000AB1A0000}"/>
    <cellStyle name="Normal 109 4 2 3 3" xfId="12460" xr:uid="{00000000-0005-0000-0000-0000AC1A0000}"/>
    <cellStyle name="Normal 109 4 2 3 3 2" xfId="28984" xr:uid="{00000000-0005-0000-0000-0000AD1A0000}"/>
    <cellStyle name="Normal 109 4 2 3 4" xfId="20941" xr:uid="{00000000-0005-0000-0000-0000AE1A0000}"/>
    <cellStyle name="Normal 109 4 2 4" xfId="7010" xr:uid="{00000000-0005-0000-0000-0000AF1A0000}"/>
    <cellStyle name="Normal 109 4 2 4 2" xfId="16373" xr:uid="{00000000-0005-0000-0000-0000B01A0000}"/>
    <cellStyle name="Normal 109 4 2 4 2 2" xfId="32947" xr:uid="{00000000-0005-0000-0000-0000B11A0000}"/>
    <cellStyle name="Normal 109 4 2 4 3" xfId="24900" xr:uid="{00000000-0005-0000-0000-0000B21A0000}"/>
    <cellStyle name="Normal 109 4 2 5" xfId="12457" xr:uid="{00000000-0005-0000-0000-0000B31A0000}"/>
    <cellStyle name="Normal 109 4 2 5 2" xfId="28981" xr:uid="{00000000-0005-0000-0000-0000B41A0000}"/>
    <cellStyle name="Normal 109 4 2 6" xfId="20938" xr:uid="{00000000-0005-0000-0000-0000B51A0000}"/>
    <cellStyle name="Normal 109 4 3" xfId="2773" xr:uid="{00000000-0005-0000-0000-0000B61A0000}"/>
    <cellStyle name="Normal 109 4 3 2" xfId="2774" xr:uid="{00000000-0005-0000-0000-0000B71A0000}"/>
    <cellStyle name="Normal 109 4 3 2 2" xfId="7011" xr:uid="{00000000-0005-0000-0000-0000B81A0000}"/>
    <cellStyle name="Normal 109 4 3 2 2 2" xfId="16374" xr:uid="{00000000-0005-0000-0000-0000B91A0000}"/>
    <cellStyle name="Normal 109 4 3 2 2 2 2" xfId="32948" xr:uid="{00000000-0005-0000-0000-0000BA1A0000}"/>
    <cellStyle name="Normal 109 4 3 2 2 3" xfId="24901" xr:uid="{00000000-0005-0000-0000-0000BB1A0000}"/>
    <cellStyle name="Normal 109 4 3 2 3" xfId="12462" xr:uid="{00000000-0005-0000-0000-0000BC1A0000}"/>
    <cellStyle name="Normal 109 4 3 2 3 2" xfId="28986" xr:uid="{00000000-0005-0000-0000-0000BD1A0000}"/>
    <cellStyle name="Normal 109 4 3 2 4" xfId="20943" xr:uid="{00000000-0005-0000-0000-0000BE1A0000}"/>
    <cellStyle name="Normal 109 4 3 3" xfId="7012" xr:uid="{00000000-0005-0000-0000-0000BF1A0000}"/>
    <cellStyle name="Normal 109 4 3 3 2" xfId="16375" xr:uid="{00000000-0005-0000-0000-0000C01A0000}"/>
    <cellStyle name="Normal 109 4 3 3 2 2" xfId="32949" xr:uid="{00000000-0005-0000-0000-0000C11A0000}"/>
    <cellStyle name="Normal 109 4 3 3 3" xfId="24902" xr:uid="{00000000-0005-0000-0000-0000C21A0000}"/>
    <cellStyle name="Normal 109 4 3 4" xfId="12461" xr:uid="{00000000-0005-0000-0000-0000C31A0000}"/>
    <cellStyle name="Normal 109 4 3 4 2" xfId="28985" xr:uid="{00000000-0005-0000-0000-0000C41A0000}"/>
    <cellStyle name="Normal 109 4 3 5" xfId="20942" xr:uid="{00000000-0005-0000-0000-0000C51A0000}"/>
    <cellStyle name="Normal 109 4 4" xfId="2775" xr:uid="{00000000-0005-0000-0000-0000C61A0000}"/>
    <cellStyle name="Normal 109 4 4 2" xfId="7013" xr:uid="{00000000-0005-0000-0000-0000C71A0000}"/>
    <cellStyle name="Normal 109 4 4 2 2" xfId="16376" xr:uid="{00000000-0005-0000-0000-0000C81A0000}"/>
    <cellStyle name="Normal 109 4 4 2 2 2" xfId="32950" xr:uid="{00000000-0005-0000-0000-0000C91A0000}"/>
    <cellStyle name="Normal 109 4 4 2 3" xfId="24903" xr:uid="{00000000-0005-0000-0000-0000CA1A0000}"/>
    <cellStyle name="Normal 109 4 4 3" xfId="12463" xr:uid="{00000000-0005-0000-0000-0000CB1A0000}"/>
    <cellStyle name="Normal 109 4 4 3 2" xfId="28987" xr:uid="{00000000-0005-0000-0000-0000CC1A0000}"/>
    <cellStyle name="Normal 109 4 4 4" xfId="20944" xr:uid="{00000000-0005-0000-0000-0000CD1A0000}"/>
    <cellStyle name="Normal 109 4 5" xfId="7014" xr:uid="{00000000-0005-0000-0000-0000CE1A0000}"/>
    <cellStyle name="Normal 109 4 5 2" xfId="16377" xr:uid="{00000000-0005-0000-0000-0000CF1A0000}"/>
    <cellStyle name="Normal 109 4 5 2 2" xfId="32951" xr:uid="{00000000-0005-0000-0000-0000D01A0000}"/>
    <cellStyle name="Normal 109 4 5 3" xfId="24904" xr:uid="{00000000-0005-0000-0000-0000D11A0000}"/>
    <cellStyle name="Normal 109 4 6" xfId="12456" xr:uid="{00000000-0005-0000-0000-0000D21A0000}"/>
    <cellStyle name="Normal 109 4 6 2" xfId="28980" xr:uid="{00000000-0005-0000-0000-0000D31A0000}"/>
    <cellStyle name="Normal 109 4 7" xfId="20937" xr:uid="{00000000-0005-0000-0000-0000D41A0000}"/>
    <cellStyle name="Normal 109 5" xfId="2776" xr:uid="{00000000-0005-0000-0000-0000D51A0000}"/>
    <cellStyle name="Normal 109 5 2" xfId="2777" xr:uid="{00000000-0005-0000-0000-0000D61A0000}"/>
    <cellStyle name="Normal 109 5 2 2" xfId="2778" xr:uid="{00000000-0005-0000-0000-0000D71A0000}"/>
    <cellStyle name="Normal 109 5 2 2 2" xfId="2779" xr:uid="{00000000-0005-0000-0000-0000D81A0000}"/>
    <cellStyle name="Normal 109 5 2 2 2 2" xfId="7015" xr:uid="{00000000-0005-0000-0000-0000D91A0000}"/>
    <cellStyle name="Normal 109 5 2 2 2 2 2" xfId="16378" xr:uid="{00000000-0005-0000-0000-0000DA1A0000}"/>
    <cellStyle name="Normal 109 5 2 2 2 2 2 2" xfId="32952" xr:uid="{00000000-0005-0000-0000-0000DB1A0000}"/>
    <cellStyle name="Normal 109 5 2 2 2 2 3" xfId="24905" xr:uid="{00000000-0005-0000-0000-0000DC1A0000}"/>
    <cellStyle name="Normal 109 5 2 2 2 3" xfId="12467" xr:uid="{00000000-0005-0000-0000-0000DD1A0000}"/>
    <cellStyle name="Normal 109 5 2 2 2 3 2" xfId="28991" xr:uid="{00000000-0005-0000-0000-0000DE1A0000}"/>
    <cellStyle name="Normal 109 5 2 2 2 4" xfId="20948" xr:uid="{00000000-0005-0000-0000-0000DF1A0000}"/>
    <cellStyle name="Normal 109 5 2 2 3" xfId="7016" xr:uid="{00000000-0005-0000-0000-0000E01A0000}"/>
    <cellStyle name="Normal 109 5 2 2 3 2" xfId="16379" xr:uid="{00000000-0005-0000-0000-0000E11A0000}"/>
    <cellStyle name="Normal 109 5 2 2 3 2 2" xfId="32953" xr:uid="{00000000-0005-0000-0000-0000E21A0000}"/>
    <cellStyle name="Normal 109 5 2 2 3 3" xfId="24906" xr:uid="{00000000-0005-0000-0000-0000E31A0000}"/>
    <cellStyle name="Normal 109 5 2 2 4" xfId="12466" xr:uid="{00000000-0005-0000-0000-0000E41A0000}"/>
    <cellStyle name="Normal 109 5 2 2 4 2" xfId="28990" xr:uid="{00000000-0005-0000-0000-0000E51A0000}"/>
    <cellStyle name="Normal 109 5 2 2 5" xfId="20947" xr:uid="{00000000-0005-0000-0000-0000E61A0000}"/>
    <cellStyle name="Normal 109 5 2 3" xfId="2780" xr:uid="{00000000-0005-0000-0000-0000E71A0000}"/>
    <cellStyle name="Normal 109 5 2 3 2" xfId="7017" xr:uid="{00000000-0005-0000-0000-0000E81A0000}"/>
    <cellStyle name="Normal 109 5 2 3 2 2" xfId="16380" xr:uid="{00000000-0005-0000-0000-0000E91A0000}"/>
    <cellStyle name="Normal 109 5 2 3 2 2 2" xfId="32954" xr:uid="{00000000-0005-0000-0000-0000EA1A0000}"/>
    <cellStyle name="Normal 109 5 2 3 2 3" xfId="24907" xr:uid="{00000000-0005-0000-0000-0000EB1A0000}"/>
    <cellStyle name="Normal 109 5 2 3 3" xfId="12468" xr:uid="{00000000-0005-0000-0000-0000EC1A0000}"/>
    <cellStyle name="Normal 109 5 2 3 3 2" xfId="28992" xr:uid="{00000000-0005-0000-0000-0000ED1A0000}"/>
    <cellStyle name="Normal 109 5 2 3 4" xfId="20949" xr:uid="{00000000-0005-0000-0000-0000EE1A0000}"/>
    <cellStyle name="Normal 109 5 2 4" xfId="7018" xr:uid="{00000000-0005-0000-0000-0000EF1A0000}"/>
    <cellStyle name="Normal 109 5 2 4 2" xfId="16381" xr:uid="{00000000-0005-0000-0000-0000F01A0000}"/>
    <cellStyle name="Normal 109 5 2 4 2 2" xfId="32955" xr:uid="{00000000-0005-0000-0000-0000F11A0000}"/>
    <cellStyle name="Normal 109 5 2 4 3" xfId="24908" xr:uid="{00000000-0005-0000-0000-0000F21A0000}"/>
    <cellStyle name="Normal 109 5 2 5" xfId="12465" xr:uid="{00000000-0005-0000-0000-0000F31A0000}"/>
    <cellStyle name="Normal 109 5 2 5 2" xfId="28989" xr:uid="{00000000-0005-0000-0000-0000F41A0000}"/>
    <cellStyle name="Normal 109 5 2 6" xfId="20946" xr:uid="{00000000-0005-0000-0000-0000F51A0000}"/>
    <cellStyle name="Normal 109 5 3" xfId="2781" xr:uid="{00000000-0005-0000-0000-0000F61A0000}"/>
    <cellStyle name="Normal 109 5 3 2" xfId="2782" xr:uid="{00000000-0005-0000-0000-0000F71A0000}"/>
    <cellStyle name="Normal 109 5 3 2 2" xfId="7019" xr:uid="{00000000-0005-0000-0000-0000F81A0000}"/>
    <cellStyle name="Normal 109 5 3 2 2 2" xfId="16382" xr:uid="{00000000-0005-0000-0000-0000F91A0000}"/>
    <cellStyle name="Normal 109 5 3 2 2 2 2" xfId="32956" xr:uid="{00000000-0005-0000-0000-0000FA1A0000}"/>
    <cellStyle name="Normal 109 5 3 2 2 3" xfId="24909" xr:uid="{00000000-0005-0000-0000-0000FB1A0000}"/>
    <cellStyle name="Normal 109 5 3 2 3" xfId="12470" xr:uid="{00000000-0005-0000-0000-0000FC1A0000}"/>
    <cellStyle name="Normal 109 5 3 2 3 2" xfId="28994" xr:uid="{00000000-0005-0000-0000-0000FD1A0000}"/>
    <cellStyle name="Normal 109 5 3 2 4" xfId="20951" xr:uid="{00000000-0005-0000-0000-0000FE1A0000}"/>
    <cellStyle name="Normal 109 5 3 3" xfId="7020" xr:uid="{00000000-0005-0000-0000-0000FF1A0000}"/>
    <cellStyle name="Normal 109 5 3 3 2" xfId="16383" xr:uid="{00000000-0005-0000-0000-0000001B0000}"/>
    <cellStyle name="Normal 109 5 3 3 2 2" xfId="32957" xr:uid="{00000000-0005-0000-0000-0000011B0000}"/>
    <cellStyle name="Normal 109 5 3 3 3" xfId="24910" xr:uid="{00000000-0005-0000-0000-0000021B0000}"/>
    <cellStyle name="Normal 109 5 3 4" xfId="12469" xr:uid="{00000000-0005-0000-0000-0000031B0000}"/>
    <cellStyle name="Normal 109 5 3 4 2" xfId="28993" xr:uid="{00000000-0005-0000-0000-0000041B0000}"/>
    <cellStyle name="Normal 109 5 3 5" xfId="20950" xr:uid="{00000000-0005-0000-0000-0000051B0000}"/>
    <cellStyle name="Normal 109 5 4" xfId="2783" xr:uid="{00000000-0005-0000-0000-0000061B0000}"/>
    <cellStyle name="Normal 109 5 4 2" xfId="7021" xr:uid="{00000000-0005-0000-0000-0000071B0000}"/>
    <cellStyle name="Normal 109 5 4 2 2" xfId="16384" xr:uid="{00000000-0005-0000-0000-0000081B0000}"/>
    <cellStyle name="Normal 109 5 4 2 2 2" xfId="32958" xr:uid="{00000000-0005-0000-0000-0000091B0000}"/>
    <cellStyle name="Normal 109 5 4 2 3" xfId="24911" xr:uid="{00000000-0005-0000-0000-00000A1B0000}"/>
    <cellStyle name="Normal 109 5 4 3" xfId="12471" xr:uid="{00000000-0005-0000-0000-00000B1B0000}"/>
    <cellStyle name="Normal 109 5 4 3 2" xfId="28995" xr:uid="{00000000-0005-0000-0000-00000C1B0000}"/>
    <cellStyle name="Normal 109 5 4 4" xfId="20952" xr:uid="{00000000-0005-0000-0000-00000D1B0000}"/>
    <cellStyle name="Normal 109 5 5" xfId="7022" xr:uid="{00000000-0005-0000-0000-00000E1B0000}"/>
    <cellStyle name="Normal 109 5 5 2" xfId="16385" xr:uid="{00000000-0005-0000-0000-00000F1B0000}"/>
    <cellStyle name="Normal 109 5 5 2 2" xfId="32959" xr:uid="{00000000-0005-0000-0000-0000101B0000}"/>
    <cellStyle name="Normal 109 5 5 3" xfId="24912" xr:uid="{00000000-0005-0000-0000-0000111B0000}"/>
    <cellStyle name="Normal 109 5 6" xfId="12464" xr:uid="{00000000-0005-0000-0000-0000121B0000}"/>
    <cellStyle name="Normal 109 5 6 2" xfId="28988" xr:uid="{00000000-0005-0000-0000-0000131B0000}"/>
    <cellStyle name="Normal 109 5 7" xfId="20945" xr:uid="{00000000-0005-0000-0000-0000141B0000}"/>
    <cellStyle name="Normal 109 6" xfId="2784" xr:uid="{00000000-0005-0000-0000-0000151B0000}"/>
    <cellStyle name="Normal 109 6 2" xfId="2785" xr:uid="{00000000-0005-0000-0000-0000161B0000}"/>
    <cellStyle name="Normal 109 6 2 2" xfId="2786" xr:uid="{00000000-0005-0000-0000-0000171B0000}"/>
    <cellStyle name="Normal 109 6 2 2 2" xfId="7023" xr:uid="{00000000-0005-0000-0000-0000181B0000}"/>
    <cellStyle name="Normal 109 6 2 2 2 2" xfId="16386" xr:uid="{00000000-0005-0000-0000-0000191B0000}"/>
    <cellStyle name="Normal 109 6 2 2 2 2 2" xfId="32960" xr:uid="{00000000-0005-0000-0000-00001A1B0000}"/>
    <cellStyle name="Normal 109 6 2 2 2 3" xfId="24913" xr:uid="{00000000-0005-0000-0000-00001B1B0000}"/>
    <cellStyle name="Normal 109 6 2 2 3" xfId="12474" xr:uid="{00000000-0005-0000-0000-00001C1B0000}"/>
    <cellStyle name="Normal 109 6 2 2 3 2" xfId="28998" xr:uid="{00000000-0005-0000-0000-00001D1B0000}"/>
    <cellStyle name="Normal 109 6 2 2 4" xfId="20955" xr:uid="{00000000-0005-0000-0000-00001E1B0000}"/>
    <cellStyle name="Normal 109 6 2 3" xfId="7024" xr:uid="{00000000-0005-0000-0000-00001F1B0000}"/>
    <cellStyle name="Normal 109 6 2 3 2" xfId="16387" xr:uid="{00000000-0005-0000-0000-0000201B0000}"/>
    <cellStyle name="Normal 109 6 2 3 2 2" xfId="32961" xr:uid="{00000000-0005-0000-0000-0000211B0000}"/>
    <cellStyle name="Normal 109 6 2 3 3" xfId="24914" xr:uid="{00000000-0005-0000-0000-0000221B0000}"/>
    <cellStyle name="Normal 109 6 2 4" xfId="12473" xr:uid="{00000000-0005-0000-0000-0000231B0000}"/>
    <cellStyle name="Normal 109 6 2 4 2" xfId="28997" xr:uid="{00000000-0005-0000-0000-0000241B0000}"/>
    <cellStyle name="Normal 109 6 2 5" xfId="20954" xr:uid="{00000000-0005-0000-0000-0000251B0000}"/>
    <cellStyle name="Normal 109 6 3" xfId="2787" xr:uid="{00000000-0005-0000-0000-0000261B0000}"/>
    <cellStyle name="Normal 109 6 3 2" xfId="7025" xr:uid="{00000000-0005-0000-0000-0000271B0000}"/>
    <cellStyle name="Normal 109 6 3 2 2" xfId="16388" xr:uid="{00000000-0005-0000-0000-0000281B0000}"/>
    <cellStyle name="Normal 109 6 3 2 2 2" xfId="32962" xr:uid="{00000000-0005-0000-0000-0000291B0000}"/>
    <cellStyle name="Normal 109 6 3 2 3" xfId="24915" xr:uid="{00000000-0005-0000-0000-00002A1B0000}"/>
    <cellStyle name="Normal 109 6 3 3" xfId="12475" xr:uid="{00000000-0005-0000-0000-00002B1B0000}"/>
    <cellStyle name="Normal 109 6 3 3 2" xfId="28999" xr:uid="{00000000-0005-0000-0000-00002C1B0000}"/>
    <cellStyle name="Normal 109 6 3 4" xfId="20956" xr:uid="{00000000-0005-0000-0000-00002D1B0000}"/>
    <cellStyle name="Normal 109 6 4" xfId="7026" xr:uid="{00000000-0005-0000-0000-00002E1B0000}"/>
    <cellStyle name="Normal 109 6 4 2" xfId="16389" xr:uid="{00000000-0005-0000-0000-00002F1B0000}"/>
    <cellStyle name="Normal 109 6 4 2 2" xfId="32963" xr:uid="{00000000-0005-0000-0000-0000301B0000}"/>
    <cellStyle name="Normal 109 6 4 3" xfId="24916" xr:uid="{00000000-0005-0000-0000-0000311B0000}"/>
    <cellStyle name="Normal 109 6 5" xfId="12472" xr:uid="{00000000-0005-0000-0000-0000321B0000}"/>
    <cellStyle name="Normal 109 6 5 2" xfId="28996" xr:uid="{00000000-0005-0000-0000-0000331B0000}"/>
    <cellStyle name="Normal 109 6 6" xfId="20953" xr:uid="{00000000-0005-0000-0000-0000341B0000}"/>
    <cellStyle name="Normal 109 7" xfId="2788" xr:uid="{00000000-0005-0000-0000-0000351B0000}"/>
    <cellStyle name="Normal 109 7 2" xfId="2789" xr:uid="{00000000-0005-0000-0000-0000361B0000}"/>
    <cellStyle name="Normal 109 7 2 2" xfId="7027" xr:uid="{00000000-0005-0000-0000-0000371B0000}"/>
    <cellStyle name="Normal 109 7 2 2 2" xfId="16390" xr:uid="{00000000-0005-0000-0000-0000381B0000}"/>
    <cellStyle name="Normal 109 7 2 2 2 2" xfId="32964" xr:uid="{00000000-0005-0000-0000-0000391B0000}"/>
    <cellStyle name="Normal 109 7 2 2 3" xfId="24917" xr:uid="{00000000-0005-0000-0000-00003A1B0000}"/>
    <cellStyle name="Normal 109 7 2 3" xfId="12477" xr:uid="{00000000-0005-0000-0000-00003B1B0000}"/>
    <cellStyle name="Normal 109 7 2 3 2" xfId="29001" xr:uid="{00000000-0005-0000-0000-00003C1B0000}"/>
    <cellStyle name="Normal 109 7 2 4" xfId="20958" xr:uid="{00000000-0005-0000-0000-00003D1B0000}"/>
    <cellStyle name="Normal 109 7 3" xfId="7028" xr:uid="{00000000-0005-0000-0000-00003E1B0000}"/>
    <cellStyle name="Normal 109 7 3 2" xfId="16391" xr:uid="{00000000-0005-0000-0000-00003F1B0000}"/>
    <cellStyle name="Normal 109 7 3 2 2" xfId="32965" xr:uid="{00000000-0005-0000-0000-0000401B0000}"/>
    <cellStyle name="Normal 109 7 3 3" xfId="24918" xr:uid="{00000000-0005-0000-0000-0000411B0000}"/>
    <cellStyle name="Normal 109 7 4" xfId="12476" xr:uid="{00000000-0005-0000-0000-0000421B0000}"/>
    <cellStyle name="Normal 109 7 4 2" xfId="29000" xr:uid="{00000000-0005-0000-0000-0000431B0000}"/>
    <cellStyle name="Normal 109 7 5" xfId="20957" xr:uid="{00000000-0005-0000-0000-0000441B0000}"/>
    <cellStyle name="Normal 109 8" xfId="2790" xr:uid="{00000000-0005-0000-0000-0000451B0000}"/>
    <cellStyle name="Normal 109 8 2" xfId="7029" xr:uid="{00000000-0005-0000-0000-0000461B0000}"/>
    <cellStyle name="Normal 109 8 2 2" xfId="16392" xr:uid="{00000000-0005-0000-0000-0000471B0000}"/>
    <cellStyle name="Normal 109 8 2 2 2" xfId="32966" xr:uid="{00000000-0005-0000-0000-0000481B0000}"/>
    <cellStyle name="Normal 109 8 2 3" xfId="24919" xr:uid="{00000000-0005-0000-0000-0000491B0000}"/>
    <cellStyle name="Normal 109 8 3" xfId="12478" xr:uid="{00000000-0005-0000-0000-00004A1B0000}"/>
    <cellStyle name="Normal 109 8 3 2" xfId="29002" xr:uid="{00000000-0005-0000-0000-00004B1B0000}"/>
    <cellStyle name="Normal 109 8 4" xfId="20959" xr:uid="{00000000-0005-0000-0000-00004C1B0000}"/>
    <cellStyle name="Normal 109 9" xfId="7030" xr:uid="{00000000-0005-0000-0000-00004D1B0000}"/>
    <cellStyle name="Normal 109 9 2" xfId="16393" xr:uid="{00000000-0005-0000-0000-00004E1B0000}"/>
    <cellStyle name="Normal 109 9 2 2" xfId="32967" xr:uid="{00000000-0005-0000-0000-00004F1B0000}"/>
    <cellStyle name="Normal 109 9 3" xfId="24920" xr:uid="{00000000-0005-0000-0000-0000501B0000}"/>
    <cellStyle name="Normal 11" xfId="17" xr:uid="{00000000-0005-0000-0000-0000511B0000}"/>
    <cellStyle name="Normal 11 10" xfId="11303" xr:uid="{00000000-0005-0000-0000-0000521B0000}"/>
    <cellStyle name="Normal 11 11" xfId="12479" xr:uid="{00000000-0005-0000-0000-0000531B0000}"/>
    <cellStyle name="Normal 11 11 2" xfId="29003" xr:uid="{00000000-0005-0000-0000-0000541B0000}"/>
    <cellStyle name="Normal 11 12" xfId="20960" xr:uid="{00000000-0005-0000-0000-0000551B0000}"/>
    <cellStyle name="Normal 11 13" xfId="36949" xr:uid="{00000000-0005-0000-0000-0000561B0000}"/>
    <cellStyle name="Normal 11 2" xfId="373" xr:uid="{00000000-0005-0000-0000-0000571B0000}"/>
    <cellStyle name="Normal 11 2 2" xfId="2792" xr:uid="{00000000-0005-0000-0000-0000581B0000}"/>
    <cellStyle name="Normal 11 2 3" xfId="2791" xr:uid="{00000000-0005-0000-0000-0000591B0000}"/>
    <cellStyle name="Normal 11 2 3 2" xfId="29004" xr:uid="{00000000-0005-0000-0000-00005A1B0000}"/>
    <cellStyle name="Normal 11 2 4" xfId="20961" xr:uid="{00000000-0005-0000-0000-00005B1B0000}"/>
    <cellStyle name="Normal 11 2 5" xfId="11123" xr:uid="{00000000-0005-0000-0000-00005C1B0000}"/>
    <cellStyle name="Normal 11 3" xfId="374" xr:uid="{00000000-0005-0000-0000-00005D1B0000}"/>
    <cellStyle name="Normal 11 3 2" xfId="2794" xr:uid="{00000000-0005-0000-0000-00005E1B0000}"/>
    <cellStyle name="Normal 11 3 2 2" xfId="2795" xr:uid="{00000000-0005-0000-0000-00005F1B0000}"/>
    <cellStyle name="Normal 11 3 2 2 2" xfId="2796" xr:uid="{00000000-0005-0000-0000-0000601B0000}"/>
    <cellStyle name="Normal 11 3 2 2 2 2" xfId="7031" xr:uid="{00000000-0005-0000-0000-0000611B0000}"/>
    <cellStyle name="Normal 11 3 2 2 2 2 2" xfId="16394" xr:uid="{00000000-0005-0000-0000-0000621B0000}"/>
    <cellStyle name="Normal 11 3 2 2 2 2 2 2" xfId="32968" xr:uid="{00000000-0005-0000-0000-0000631B0000}"/>
    <cellStyle name="Normal 11 3 2 2 2 2 3" xfId="24921" xr:uid="{00000000-0005-0000-0000-0000641B0000}"/>
    <cellStyle name="Normal 11 3 2 2 2 3" xfId="12482" xr:uid="{00000000-0005-0000-0000-0000651B0000}"/>
    <cellStyle name="Normal 11 3 2 2 2 3 2" xfId="29007" xr:uid="{00000000-0005-0000-0000-0000661B0000}"/>
    <cellStyle name="Normal 11 3 2 2 2 4" xfId="20964" xr:uid="{00000000-0005-0000-0000-0000671B0000}"/>
    <cellStyle name="Normal 11 3 2 2 3" xfId="7032" xr:uid="{00000000-0005-0000-0000-0000681B0000}"/>
    <cellStyle name="Normal 11 3 2 2 3 2" xfId="16395" xr:uid="{00000000-0005-0000-0000-0000691B0000}"/>
    <cellStyle name="Normal 11 3 2 2 3 2 2" xfId="32969" xr:uid="{00000000-0005-0000-0000-00006A1B0000}"/>
    <cellStyle name="Normal 11 3 2 2 3 3" xfId="24922" xr:uid="{00000000-0005-0000-0000-00006B1B0000}"/>
    <cellStyle name="Normal 11 3 2 2 4" xfId="12481" xr:uid="{00000000-0005-0000-0000-00006C1B0000}"/>
    <cellStyle name="Normal 11 3 2 2 4 2" xfId="29006" xr:uid="{00000000-0005-0000-0000-00006D1B0000}"/>
    <cellStyle name="Normal 11 3 2 2 5" xfId="20963" xr:uid="{00000000-0005-0000-0000-00006E1B0000}"/>
    <cellStyle name="Normal 11 3 2 3" xfId="2797" xr:uid="{00000000-0005-0000-0000-00006F1B0000}"/>
    <cellStyle name="Normal 11 3 2 3 2" xfId="7033" xr:uid="{00000000-0005-0000-0000-0000701B0000}"/>
    <cellStyle name="Normal 11 3 2 3 2 2" xfId="16396" xr:uid="{00000000-0005-0000-0000-0000711B0000}"/>
    <cellStyle name="Normal 11 3 2 3 2 2 2" xfId="32970" xr:uid="{00000000-0005-0000-0000-0000721B0000}"/>
    <cellStyle name="Normal 11 3 2 3 2 3" xfId="24923" xr:uid="{00000000-0005-0000-0000-0000731B0000}"/>
    <cellStyle name="Normal 11 3 2 3 3" xfId="12483" xr:uid="{00000000-0005-0000-0000-0000741B0000}"/>
    <cellStyle name="Normal 11 3 2 3 3 2" xfId="29008" xr:uid="{00000000-0005-0000-0000-0000751B0000}"/>
    <cellStyle name="Normal 11 3 2 3 4" xfId="20965" xr:uid="{00000000-0005-0000-0000-0000761B0000}"/>
    <cellStyle name="Normal 11 3 2 4" xfId="7034" xr:uid="{00000000-0005-0000-0000-0000771B0000}"/>
    <cellStyle name="Normal 11 3 2 4 2" xfId="16397" xr:uid="{00000000-0005-0000-0000-0000781B0000}"/>
    <cellStyle name="Normal 11 3 2 4 2 2" xfId="32971" xr:uid="{00000000-0005-0000-0000-0000791B0000}"/>
    <cellStyle name="Normal 11 3 2 4 3" xfId="24924" xr:uid="{00000000-0005-0000-0000-00007A1B0000}"/>
    <cellStyle name="Normal 11 3 2 5" xfId="12480" xr:uid="{00000000-0005-0000-0000-00007B1B0000}"/>
    <cellStyle name="Normal 11 3 2 5 2" xfId="29005" xr:uid="{00000000-0005-0000-0000-00007C1B0000}"/>
    <cellStyle name="Normal 11 3 2 6" xfId="20962" xr:uid="{00000000-0005-0000-0000-00007D1B0000}"/>
    <cellStyle name="Normal 11 3 3" xfId="2798" xr:uid="{00000000-0005-0000-0000-00007E1B0000}"/>
    <cellStyle name="Normal 11 3 3 2" xfId="2799" xr:uid="{00000000-0005-0000-0000-00007F1B0000}"/>
    <cellStyle name="Normal 11 3 3 2 2" xfId="7035" xr:uid="{00000000-0005-0000-0000-0000801B0000}"/>
    <cellStyle name="Normal 11 3 3 2 2 2" xfId="16398" xr:uid="{00000000-0005-0000-0000-0000811B0000}"/>
    <cellStyle name="Normal 11 3 3 2 2 2 2" xfId="32972" xr:uid="{00000000-0005-0000-0000-0000821B0000}"/>
    <cellStyle name="Normal 11 3 3 2 2 3" xfId="24925" xr:uid="{00000000-0005-0000-0000-0000831B0000}"/>
    <cellStyle name="Normal 11 3 3 2 3" xfId="12485" xr:uid="{00000000-0005-0000-0000-0000841B0000}"/>
    <cellStyle name="Normal 11 3 3 2 3 2" xfId="29010" xr:uid="{00000000-0005-0000-0000-0000851B0000}"/>
    <cellStyle name="Normal 11 3 3 2 4" xfId="20967" xr:uid="{00000000-0005-0000-0000-0000861B0000}"/>
    <cellStyle name="Normal 11 3 3 3" xfId="7036" xr:uid="{00000000-0005-0000-0000-0000871B0000}"/>
    <cellStyle name="Normal 11 3 3 3 2" xfId="16399" xr:uid="{00000000-0005-0000-0000-0000881B0000}"/>
    <cellStyle name="Normal 11 3 3 3 2 2" xfId="32973" xr:uid="{00000000-0005-0000-0000-0000891B0000}"/>
    <cellStyle name="Normal 11 3 3 3 3" xfId="24926" xr:uid="{00000000-0005-0000-0000-00008A1B0000}"/>
    <cellStyle name="Normal 11 3 3 4" xfId="12484" xr:uid="{00000000-0005-0000-0000-00008B1B0000}"/>
    <cellStyle name="Normal 11 3 3 4 2" xfId="29009" xr:uid="{00000000-0005-0000-0000-00008C1B0000}"/>
    <cellStyle name="Normal 11 3 3 5" xfId="20966" xr:uid="{00000000-0005-0000-0000-00008D1B0000}"/>
    <cellStyle name="Normal 11 3 4" xfId="2800" xr:uid="{00000000-0005-0000-0000-00008E1B0000}"/>
    <cellStyle name="Normal 11 3 4 2" xfId="7037" xr:uid="{00000000-0005-0000-0000-00008F1B0000}"/>
    <cellStyle name="Normal 11 3 4 2 2" xfId="16400" xr:uid="{00000000-0005-0000-0000-0000901B0000}"/>
    <cellStyle name="Normal 11 3 4 2 2 2" xfId="32974" xr:uid="{00000000-0005-0000-0000-0000911B0000}"/>
    <cellStyle name="Normal 11 3 4 2 3" xfId="24927" xr:uid="{00000000-0005-0000-0000-0000921B0000}"/>
    <cellStyle name="Normal 11 3 4 3" xfId="12486" xr:uid="{00000000-0005-0000-0000-0000931B0000}"/>
    <cellStyle name="Normal 11 3 4 3 2" xfId="29011" xr:uid="{00000000-0005-0000-0000-0000941B0000}"/>
    <cellStyle name="Normal 11 3 4 4" xfId="20968" xr:uid="{00000000-0005-0000-0000-0000951B0000}"/>
    <cellStyle name="Normal 11 3 5" xfId="2801" xr:uid="{00000000-0005-0000-0000-0000961B0000}"/>
    <cellStyle name="Normal 11 3 5 2" xfId="12487" xr:uid="{00000000-0005-0000-0000-0000971B0000}"/>
    <cellStyle name="Normal 11 3 5 2 2" xfId="29012" xr:uid="{00000000-0005-0000-0000-0000981B0000}"/>
    <cellStyle name="Normal 11 3 5 3" xfId="20969" xr:uid="{00000000-0005-0000-0000-0000991B0000}"/>
    <cellStyle name="Normal 11 3 6" xfId="2793" xr:uid="{00000000-0005-0000-0000-00009A1B0000}"/>
    <cellStyle name="Normal 11 4" xfId="1687" xr:uid="{00000000-0005-0000-0000-00009B1B0000}"/>
    <cellStyle name="Normal 11 4 2" xfId="2802" xr:uid="{00000000-0005-0000-0000-00009C1B0000}"/>
    <cellStyle name="Normal 11 4 2 2" xfId="2803" xr:uid="{00000000-0005-0000-0000-00009D1B0000}"/>
    <cellStyle name="Normal 11 4 2 2 2" xfId="2804" xr:uid="{00000000-0005-0000-0000-00009E1B0000}"/>
    <cellStyle name="Normal 11 4 2 2 2 2" xfId="7038" xr:uid="{00000000-0005-0000-0000-00009F1B0000}"/>
    <cellStyle name="Normal 11 4 2 2 2 2 2" xfId="16401" xr:uid="{00000000-0005-0000-0000-0000A01B0000}"/>
    <cellStyle name="Normal 11 4 2 2 2 2 2 2" xfId="32975" xr:uid="{00000000-0005-0000-0000-0000A11B0000}"/>
    <cellStyle name="Normal 11 4 2 2 2 2 3" xfId="24928" xr:uid="{00000000-0005-0000-0000-0000A21B0000}"/>
    <cellStyle name="Normal 11 4 2 2 2 3" xfId="12491" xr:uid="{00000000-0005-0000-0000-0000A31B0000}"/>
    <cellStyle name="Normal 11 4 2 2 2 3 2" xfId="29016" xr:uid="{00000000-0005-0000-0000-0000A41B0000}"/>
    <cellStyle name="Normal 11 4 2 2 2 4" xfId="20973" xr:uid="{00000000-0005-0000-0000-0000A51B0000}"/>
    <cellStyle name="Normal 11 4 2 2 3" xfId="7039" xr:uid="{00000000-0005-0000-0000-0000A61B0000}"/>
    <cellStyle name="Normal 11 4 2 2 3 2" xfId="16402" xr:uid="{00000000-0005-0000-0000-0000A71B0000}"/>
    <cellStyle name="Normal 11 4 2 2 3 2 2" xfId="32976" xr:uid="{00000000-0005-0000-0000-0000A81B0000}"/>
    <cellStyle name="Normal 11 4 2 2 3 3" xfId="24929" xr:uid="{00000000-0005-0000-0000-0000A91B0000}"/>
    <cellStyle name="Normal 11 4 2 2 4" xfId="12490" xr:uid="{00000000-0005-0000-0000-0000AA1B0000}"/>
    <cellStyle name="Normal 11 4 2 2 4 2" xfId="29015" xr:uid="{00000000-0005-0000-0000-0000AB1B0000}"/>
    <cellStyle name="Normal 11 4 2 2 5" xfId="20972" xr:uid="{00000000-0005-0000-0000-0000AC1B0000}"/>
    <cellStyle name="Normal 11 4 2 3" xfId="2805" xr:uid="{00000000-0005-0000-0000-0000AD1B0000}"/>
    <cellStyle name="Normal 11 4 2 3 2" xfId="7040" xr:uid="{00000000-0005-0000-0000-0000AE1B0000}"/>
    <cellStyle name="Normal 11 4 2 3 2 2" xfId="16403" xr:uid="{00000000-0005-0000-0000-0000AF1B0000}"/>
    <cellStyle name="Normal 11 4 2 3 2 2 2" xfId="32977" xr:uid="{00000000-0005-0000-0000-0000B01B0000}"/>
    <cellStyle name="Normal 11 4 2 3 2 3" xfId="24930" xr:uid="{00000000-0005-0000-0000-0000B11B0000}"/>
    <cellStyle name="Normal 11 4 2 3 3" xfId="12492" xr:uid="{00000000-0005-0000-0000-0000B21B0000}"/>
    <cellStyle name="Normal 11 4 2 3 3 2" xfId="29017" xr:uid="{00000000-0005-0000-0000-0000B31B0000}"/>
    <cellStyle name="Normal 11 4 2 3 4" xfId="20974" xr:uid="{00000000-0005-0000-0000-0000B41B0000}"/>
    <cellStyle name="Normal 11 4 2 4" xfId="7041" xr:uid="{00000000-0005-0000-0000-0000B51B0000}"/>
    <cellStyle name="Normal 11 4 2 4 2" xfId="16404" xr:uid="{00000000-0005-0000-0000-0000B61B0000}"/>
    <cellStyle name="Normal 11 4 2 4 2 2" xfId="32978" xr:uid="{00000000-0005-0000-0000-0000B71B0000}"/>
    <cellStyle name="Normal 11 4 2 4 3" xfId="24931" xr:uid="{00000000-0005-0000-0000-0000B81B0000}"/>
    <cellStyle name="Normal 11 4 2 5" xfId="12489" xr:uid="{00000000-0005-0000-0000-0000B91B0000}"/>
    <cellStyle name="Normal 11 4 2 5 2" xfId="29014" xr:uid="{00000000-0005-0000-0000-0000BA1B0000}"/>
    <cellStyle name="Normal 11 4 2 6" xfId="20971" xr:uid="{00000000-0005-0000-0000-0000BB1B0000}"/>
    <cellStyle name="Normal 11 4 2 7" xfId="36888" xr:uid="{00000000-0005-0000-0000-0000BC1B0000}"/>
    <cellStyle name="Normal 11 4 3" xfId="2806" xr:uid="{00000000-0005-0000-0000-0000BD1B0000}"/>
    <cellStyle name="Normal 11 4 3 2" xfId="2807" xr:uid="{00000000-0005-0000-0000-0000BE1B0000}"/>
    <cellStyle name="Normal 11 4 3 2 2" xfId="7042" xr:uid="{00000000-0005-0000-0000-0000BF1B0000}"/>
    <cellStyle name="Normal 11 4 3 2 2 2" xfId="16405" xr:uid="{00000000-0005-0000-0000-0000C01B0000}"/>
    <cellStyle name="Normal 11 4 3 2 2 2 2" xfId="32979" xr:uid="{00000000-0005-0000-0000-0000C11B0000}"/>
    <cellStyle name="Normal 11 4 3 2 2 3" xfId="24932" xr:uid="{00000000-0005-0000-0000-0000C21B0000}"/>
    <cellStyle name="Normal 11 4 3 2 3" xfId="12494" xr:uid="{00000000-0005-0000-0000-0000C31B0000}"/>
    <cellStyle name="Normal 11 4 3 2 3 2" xfId="29019" xr:uid="{00000000-0005-0000-0000-0000C41B0000}"/>
    <cellStyle name="Normal 11 4 3 2 4" xfId="20976" xr:uid="{00000000-0005-0000-0000-0000C51B0000}"/>
    <cellStyle name="Normal 11 4 3 3" xfId="7043" xr:uid="{00000000-0005-0000-0000-0000C61B0000}"/>
    <cellStyle name="Normal 11 4 3 3 2" xfId="16406" xr:uid="{00000000-0005-0000-0000-0000C71B0000}"/>
    <cellStyle name="Normal 11 4 3 3 2 2" xfId="32980" xr:uid="{00000000-0005-0000-0000-0000C81B0000}"/>
    <cellStyle name="Normal 11 4 3 3 3" xfId="24933" xr:uid="{00000000-0005-0000-0000-0000C91B0000}"/>
    <cellStyle name="Normal 11 4 3 4" xfId="12493" xr:uid="{00000000-0005-0000-0000-0000CA1B0000}"/>
    <cellStyle name="Normal 11 4 3 4 2" xfId="29018" xr:uid="{00000000-0005-0000-0000-0000CB1B0000}"/>
    <cellStyle name="Normal 11 4 3 5" xfId="20975" xr:uid="{00000000-0005-0000-0000-0000CC1B0000}"/>
    <cellStyle name="Normal 11 4 4" xfId="2808" xr:uid="{00000000-0005-0000-0000-0000CD1B0000}"/>
    <cellStyle name="Normal 11 4 4 2" xfId="7044" xr:uid="{00000000-0005-0000-0000-0000CE1B0000}"/>
    <cellStyle name="Normal 11 4 4 2 2" xfId="16407" xr:uid="{00000000-0005-0000-0000-0000CF1B0000}"/>
    <cellStyle name="Normal 11 4 4 2 2 2" xfId="32981" xr:uid="{00000000-0005-0000-0000-0000D01B0000}"/>
    <cellStyle name="Normal 11 4 4 2 3" xfId="24934" xr:uid="{00000000-0005-0000-0000-0000D11B0000}"/>
    <cellStyle name="Normal 11 4 4 3" xfId="12495" xr:uid="{00000000-0005-0000-0000-0000D21B0000}"/>
    <cellStyle name="Normal 11 4 4 3 2" xfId="29020" xr:uid="{00000000-0005-0000-0000-0000D31B0000}"/>
    <cellStyle name="Normal 11 4 4 4" xfId="20977" xr:uid="{00000000-0005-0000-0000-0000D41B0000}"/>
    <cellStyle name="Normal 11 4 5" xfId="7045" xr:uid="{00000000-0005-0000-0000-0000D51B0000}"/>
    <cellStyle name="Normal 11 4 5 2" xfId="16408" xr:uid="{00000000-0005-0000-0000-0000D61B0000}"/>
    <cellStyle name="Normal 11 4 5 2 2" xfId="32982" xr:uid="{00000000-0005-0000-0000-0000D71B0000}"/>
    <cellStyle name="Normal 11 4 5 3" xfId="24935" xr:uid="{00000000-0005-0000-0000-0000D81B0000}"/>
    <cellStyle name="Normal 11 4 6" xfId="12488" xr:uid="{00000000-0005-0000-0000-0000D91B0000}"/>
    <cellStyle name="Normal 11 4 6 2" xfId="29013" xr:uid="{00000000-0005-0000-0000-0000DA1B0000}"/>
    <cellStyle name="Normal 11 4 7" xfId="20970" xr:uid="{00000000-0005-0000-0000-0000DB1B0000}"/>
    <cellStyle name="Normal 11 5" xfId="2809" xr:uid="{00000000-0005-0000-0000-0000DC1B0000}"/>
    <cellStyle name="Normal 11 5 2" xfId="2810" xr:uid="{00000000-0005-0000-0000-0000DD1B0000}"/>
    <cellStyle name="Normal 11 5 2 2" xfId="2811" xr:uid="{00000000-0005-0000-0000-0000DE1B0000}"/>
    <cellStyle name="Normal 11 5 2 2 2" xfId="2812" xr:uid="{00000000-0005-0000-0000-0000DF1B0000}"/>
    <cellStyle name="Normal 11 5 2 2 2 2" xfId="7046" xr:uid="{00000000-0005-0000-0000-0000E01B0000}"/>
    <cellStyle name="Normal 11 5 2 2 2 2 2" xfId="16409" xr:uid="{00000000-0005-0000-0000-0000E11B0000}"/>
    <cellStyle name="Normal 11 5 2 2 2 2 2 2" xfId="32983" xr:uid="{00000000-0005-0000-0000-0000E21B0000}"/>
    <cellStyle name="Normal 11 5 2 2 2 2 3" xfId="24936" xr:uid="{00000000-0005-0000-0000-0000E31B0000}"/>
    <cellStyle name="Normal 11 5 2 2 2 3" xfId="12499" xr:uid="{00000000-0005-0000-0000-0000E41B0000}"/>
    <cellStyle name="Normal 11 5 2 2 2 3 2" xfId="29024" xr:uid="{00000000-0005-0000-0000-0000E51B0000}"/>
    <cellStyle name="Normal 11 5 2 2 2 4" xfId="20981" xr:uid="{00000000-0005-0000-0000-0000E61B0000}"/>
    <cellStyle name="Normal 11 5 2 2 3" xfId="7047" xr:uid="{00000000-0005-0000-0000-0000E71B0000}"/>
    <cellStyle name="Normal 11 5 2 2 3 2" xfId="16410" xr:uid="{00000000-0005-0000-0000-0000E81B0000}"/>
    <cellStyle name="Normal 11 5 2 2 3 2 2" xfId="32984" xr:uid="{00000000-0005-0000-0000-0000E91B0000}"/>
    <cellStyle name="Normal 11 5 2 2 3 3" xfId="24937" xr:uid="{00000000-0005-0000-0000-0000EA1B0000}"/>
    <cellStyle name="Normal 11 5 2 2 4" xfId="12498" xr:uid="{00000000-0005-0000-0000-0000EB1B0000}"/>
    <cellStyle name="Normal 11 5 2 2 4 2" xfId="29023" xr:uid="{00000000-0005-0000-0000-0000EC1B0000}"/>
    <cellStyle name="Normal 11 5 2 2 5" xfId="20980" xr:uid="{00000000-0005-0000-0000-0000ED1B0000}"/>
    <cellStyle name="Normal 11 5 2 3" xfId="2813" xr:uid="{00000000-0005-0000-0000-0000EE1B0000}"/>
    <cellStyle name="Normal 11 5 2 3 2" xfId="7048" xr:uid="{00000000-0005-0000-0000-0000EF1B0000}"/>
    <cellStyle name="Normal 11 5 2 3 2 2" xfId="16411" xr:uid="{00000000-0005-0000-0000-0000F01B0000}"/>
    <cellStyle name="Normal 11 5 2 3 2 2 2" xfId="32985" xr:uid="{00000000-0005-0000-0000-0000F11B0000}"/>
    <cellStyle name="Normal 11 5 2 3 2 3" xfId="24938" xr:uid="{00000000-0005-0000-0000-0000F21B0000}"/>
    <cellStyle name="Normal 11 5 2 3 3" xfId="12500" xr:uid="{00000000-0005-0000-0000-0000F31B0000}"/>
    <cellStyle name="Normal 11 5 2 3 3 2" xfId="29025" xr:uid="{00000000-0005-0000-0000-0000F41B0000}"/>
    <cellStyle name="Normal 11 5 2 3 4" xfId="20982" xr:uid="{00000000-0005-0000-0000-0000F51B0000}"/>
    <cellStyle name="Normal 11 5 2 4" xfId="7049" xr:uid="{00000000-0005-0000-0000-0000F61B0000}"/>
    <cellStyle name="Normal 11 5 2 4 2" xfId="16412" xr:uid="{00000000-0005-0000-0000-0000F71B0000}"/>
    <cellStyle name="Normal 11 5 2 4 2 2" xfId="32986" xr:uid="{00000000-0005-0000-0000-0000F81B0000}"/>
    <cellStyle name="Normal 11 5 2 4 3" xfId="24939" xr:uid="{00000000-0005-0000-0000-0000F91B0000}"/>
    <cellStyle name="Normal 11 5 2 5" xfId="12497" xr:uid="{00000000-0005-0000-0000-0000FA1B0000}"/>
    <cellStyle name="Normal 11 5 2 5 2" xfId="29022" xr:uid="{00000000-0005-0000-0000-0000FB1B0000}"/>
    <cellStyle name="Normal 11 5 2 6" xfId="20979" xr:uid="{00000000-0005-0000-0000-0000FC1B0000}"/>
    <cellStyle name="Normal 11 5 3" xfId="2814" xr:uid="{00000000-0005-0000-0000-0000FD1B0000}"/>
    <cellStyle name="Normal 11 5 3 2" xfId="2815" xr:uid="{00000000-0005-0000-0000-0000FE1B0000}"/>
    <cellStyle name="Normal 11 5 3 2 2" xfId="7050" xr:uid="{00000000-0005-0000-0000-0000FF1B0000}"/>
    <cellStyle name="Normal 11 5 3 2 2 2" xfId="16413" xr:uid="{00000000-0005-0000-0000-0000001C0000}"/>
    <cellStyle name="Normal 11 5 3 2 2 2 2" xfId="32987" xr:uid="{00000000-0005-0000-0000-0000011C0000}"/>
    <cellStyle name="Normal 11 5 3 2 2 3" xfId="24940" xr:uid="{00000000-0005-0000-0000-0000021C0000}"/>
    <cellStyle name="Normal 11 5 3 2 3" xfId="12502" xr:uid="{00000000-0005-0000-0000-0000031C0000}"/>
    <cellStyle name="Normal 11 5 3 2 3 2" xfId="29027" xr:uid="{00000000-0005-0000-0000-0000041C0000}"/>
    <cellStyle name="Normal 11 5 3 2 4" xfId="20984" xr:uid="{00000000-0005-0000-0000-0000051C0000}"/>
    <cellStyle name="Normal 11 5 3 3" xfId="7051" xr:uid="{00000000-0005-0000-0000-0000061C0000}"/>
    <cellStyle name="Normal 11 5 3 3 2" xfId="16414" xr:uid="{00000000-0005-0000-0000-0000071C0000}"/>
    <cellStyle name="Normal 11 5 3 3 2 2" xfId="32988" xr:uid="{00000000-0005-0000-0000-0000081C0000}"/>
    <cellStyle name="Normal 11 5 3 3 3" xfId="24941" xr:uid="{00000000-0005-0000-0000-0000091C0000}"/>
    <cellStyle name="Normal 11 5 3 4" xfId="12501" xr:uid="{00000000-0005-0000-0000-00000A1C0000}"/>
    <cellStyle name="Normal 11 5 3 4 2" xfId="29026" xr:uid="{00000000-0005-0000-0000-00000B1C0000}"/>
    <cellStyle name="Normal 11 5 3 5" xfId="20983" xr:uid="{00000000-0005-0000-0000-00000C1C0000}"/>
    <cellStyle name="Normal 11 5 4" xfId="2816" xr:uid="{00000000-0005-0000-0000-00000D1C0000}"/>
    <cellStyle name="Normal 11 5 4 2" xfId="7052" xr:uid="{00000000-0005-0000-0000-00000E1C0000}"/>
    <cellStyle name="Normal 11 5 4 2 2" xfId="16415" xr:uid="{00000000-0005-0000-0000-00000F1C0000}"/>
    <cellStyle name="Normal 11 5 4 2 2 2" xfId="32989" xr:uid="{00000000-0005-0000-0000-0000101C0000}"/>
    <cellStyle name="Normal 11 5 4 2 3" xfId="24942" xr:uid="{00000000-0005-0000-0000-0000111C0000}"/>
    <cellStyle name="Normal 11 5 4 3" xfId="12503" xr:uid="{00000000-0005-0000-0000-0000121C0000}"/>
    <cellStyle name="Normal 11 5 4 3 2" xfId="29028" xr:uid="{00000000-0005-0000-0000-0000131C0000}"/>
    <cellStyle name="Normal 11 5 4 4" xfId="20985" xr:uid="{00000000-0005-0000-0000-0000141C0000}"/>
    <cellStyle name="Normal 11 5 5" xfId="7053" xr:uid="{00000000-0005-0000-0000-0000151C0000}"/>
    <cellStyle name="Normal 11 5 5 2" xfId="16416" xr:uid="{00000000-0005-0000-0000-0000161C0000}"/>
    <cellStyle name="Normal 11 5 5 2 2" xfId="32990" xr:uid="{00000000-0005-0000-0000-0000171C0000}"/>
    <cellStyle name="Normal 11 5 5 3" xfId="24943" xr:uid="{00000000-0005-0000-0000-0000181C0000}"/>
    <cellStyle name="Normal 11 5 6" xfId="12496" xr:uid="{00000000-0005-0000-0000-0000191C0000}"/>
    <cellStyle name="Normal 11 5 6 2" xfId="29021" xr:uid="{00000000-0005-0000-0000-00001A1C0000}"/>
    <cellStyle name="Normal 11 5 7" xfId="20978" xr:uid="{00000000-0005-0000-0000-00001B1C0000}"/>
    <cellStyle name="Normal 11 6" xfId="2817" xr:uid="{00000000-0005-0000-0000-00001C1C0000}"/>
    <cellStyle name="Normal 11 6 2" xfId="2818" xr:uid="{00000000-0005-0000-0000-00001D1C0000}"/>
    <cellStyle name="Normal 11 6 2 2" xfId="2819" xr:uid="{00000000-0005-0000-0000-00001E1C0000}"/>
    <cellStyle name="Normal 11 6 2 2 2" xfId="7054" xr:uid="{00000000-0005-0000-0000-00001F1C0000}"/>
    <cellStyle name="Normal 11 6 2 2 2 2" xfId="16417" xr:uid="{00000000-0005-0000-0000-0000201C0000}"/>
    <cellStyle name="Normal 11 6 2 2 2 2 2" xfId="32991" xr:uid="{00000000-0005-0000-0000-0000211C0000}"/>
    <cellStyle name="Normal 11 6 2 2 2 3" xfId="24944" xr:uid="{00000000-0005-0000-0000-0000221C0000}"/>
    <cellStyle name="Normal 11 6 2 2 3" xfId="12506" xr:uid="{00000000-0005-0000-0000-0000231C0000}"/>
    <cellStyle name="Normal 11 6 2 2 3 2" xfId="29031" xr:uid="{00000000-0005-0000-0000-0000241C0000}"/>
    <cellStyle name="Normal 11 6 2 2 4" xfId="20988" xr:uid="{00000000-0005-0000-0000-0000251C0000}"/>
    <cellStyle name="Normal 11 6 2 3" xfId="7055" xr:uid="{00000000-0005-0000-0000-0000261C0000}"/>
    <cellStyle name="Normal 11 6 2 3 2" xfId="16418" xr:uid="{00000000-0005-0000-0000-0000271C0000}"/>
    <cellStyle name="Normal 11 6 2 3 2 2" xfId="32992" xr:uid="{00000000-0005-0000-0000-0000281C0000}"/>
    <cellStyle name="Normal 11 6 2 3 3" xfId="24945" xr:uid="{00000000-0005-0000-0000-0000291C0000}"/>
    <cellStyle name="Normal 11 6 2 4" xfId="12505" xr:uid="{00000000-0005-0000-0000-00002A1C0000}"/>
    <cellStyle name="Normal 11 6 2 4 2" xfId="29030" xr:uid="{00000000-0005-0000-0000-00002B1C0000}"/>
    <cellStyle name="Normal 11 6 2 5" xfId="20987" xr:uid="{00000000-0005-0000-0000-00002C1C0000}"/>
    <cellStyle name="Normal 11 6 3" xfId="2820" xr:uid="{00000000-0005-0000-0000-00002D1C0000}"/>
    <cellStyle name="Normal 11 6 3 2" xfId="7056" xr:uid="{00000000-0005-0000-0000-00002E1C0000}"/>
    <cellStyle name="Normal 11 6 3 2 2" xfId="16419" xr:uid="{00000000-0005-0000-0000-00002F1C0000}"/>
    <cellStyle name="Normal 11 6 3 2 2 2" xfId="32993" xr:uid="{00000000-0005-0000-0000-0000301C0000}"/>
    <cellStyle name="Normal 11 6 3 2 3" xfId="24946" xr:uid="{00000000-0005-0000-0000-0000311C0000}"/>
    <cellStyle name="Normal 11 6 3 3" xfId="12507" xr:uid="{00000000-0005-0000-0000-0000321C0000}"/>
    <cellStyle name="Normal 11 6 3 3 2" xfId="29032" xr:uid="{00000000-0005-0000-0000-0000331C0000}"/>
    <cellStyle name="Normal 11 6 3 4" xfId="20989" xr:uid="{00000000-0005-0000-0000-0000341C0000}"/>
    <cellStyle name="Normal 11 6 4" xfId="7057" xr:uid="{00000000-0005-0000-0000-0000351C0000}"/>
    <cellStyle name="Normal 11 6 4 2" xfId="16420" xr:uid="{00000000-0005-0000-0000-0000361C0000}"/>
    <cellStyle name="Normal 11 6 4 2 2" xfId="32994" xr:uid="{00000000-0005-0000-0000-0000371C0000}"/>
    <cellStyle name="Normal 11 6 4 3" xfId="24947" xr:uid="{00000000-0005-0000-0000-0000381C0000}"/>
    <cellStyle name="Normal 11 6 5" xfId="12504" xr:uid="{00000000-0005-0000-0000-0000391C0000}"/>
    <cellStyle name="Normal 11 6 5 2" xfId="29029" xr:uid="{00000000-0005-0000-0000-00003A1C0000}"/>
    <cellStyle name="Normal 11 6 6" xfId="20986" xr:uid="{00000000-0005-0000-0000-00003B1C0000}"/>
    <cellStyle name="Normal 11 7" xfId="2821" xr:uid="{00000000-0005-0000-0000-00003C1C0000}"/>
    <cellStyle name="Normal 11 7 2" xfId="2822" xr:uid="{00000000-0005-0000-0000-00003D1C0000}"/>
    <cellStyle name="Normal 11 7 2 2" xfId="7058" xr:uid="{00000000-0005-0000-0000-00003E1C0000}"/>
    <cellStyle name="Normal 11 7 2 2 2" xfId="16421" xr:uid="{00000000-0005-0000-0000-00003F1C0000}"/>
    <cellStyle name="Normal 11 7 2 2 2 2" xfId="32995" xr:uid="{00000000-0005-0000-0000-0000401C0000}"/>
    <cellStyle name="Normal 11 7 2 2 3" xfId="24948" xr:uid="{00000000-0005-0000-0000-0000411C0000}"/>
    <cellStyle name="Normal 11 7 2 3" xfId="12509" xr:uid="{00000000-0005-0000-0000-0000421C0000}"/>
    <cellStyle name="Normal 11 7 2 3 2" xfId="29034" xr:uid="{00000000-0005-0000-0000-0000431C0000}"/>
    <cellStyle name="Normal 11 7 2 4" xfId="20991" xr:uid="{00000000-0005-0000-0000-0000441C0000}"/>
    <cellStyle name="Normal 11 7 3" xfId="7059" xr:uid="{00000000-0005-0000-0000-0000451C0000}"/>
    <cellStyle name="Normal 11 7 3 2" xfId="16422" xr:uid="{00000000-0005-0000-0000-0000461C0000}"/>
    <cellStyle name="Normal 11 7 3 2 2" xfId="32996" xr:uid="{00000000-0005-0000-0000-0000471C0000}"/>
    <cellStyle name="Normal 11 7 3 3" xfId="24949" xr:uid="{00000000-0005-0000-0000-0000481C0000}"/>
    <cellStyle name="Normal 11 7 4" xfId="12508" xr:uid="{00000000-0005-0000-0000-0000491C0000}"/>
    <cellStyle name="Normal 11 7 4 2" xfId="29033" xr:uid="{00000000-0005-0000-0000-00004A1C0000}"/>
    <cellStyle name="Normal 11 7 5" xfId="20990" xr:uid="{00000000-0005-0000-0000-00004B1C0000}"/>
    <cellStyle name="Normal 11 8" xfId="2823" xr:uid="{00000000-0005-0000-0000-00004C1C0000}"/>
    <cellStyle name="Normal 11 8 2" xfId="7060" xr:uid="{00000000-0005-0000-0000-00004D1C0000}"/>
    <cellStyle name="Normal 11 8 2 2" xfId="16423" xr:uid="{00000000-0005-0000-0000-00004E1C0000}"/>
    <cellStyle name="Normal 11 8 2 2 2" xfId="32997" xr:uid="{00000000-0005-0000-0000-00004F1C0000}"/>
    <cellStyle name="Normal 11 8 2 3" xfId="24950" xr:uid="{00000000-0005-0000-0000-0000501C0000}"/>
    <cellStyle name="Normal 11 8 3" xfId="12510" xr:uid="{00000000-0005-0000-0000-0000511C0000}"/>
    <cellStyle name="Normal 11 8 3 2" xfId="29035" xr:uid="{00000000-0005-0000-0000-0000521C0000}"/>
    <cellStyle name="Normal 11 8 4" xfId="20992" xr:uid="{00000000-0005-0000-0000-0000531C0000}"/>
    <cellStyle name="Normal 11 9" xfId="7061" xr:uid="{00000000-0005-0000-0000-0000541C0000}"/>
    <cellStyle name="Normal 11 9 2" xfId="16424" xr:uid="{00000000-0005-0000-0000-0000551C0000}"/>
    <cellStyle name="Normal 11 9 2 2" xfId="32998" xr:uid="{00000000-0005-0000-0000-0000561C0000}"/>
    <cellStyle name="Normal 11 9 3" xfId="24951" xr:uid="{00000000-0005-0000-0000-0000571C0000}"/>
    <cellStyle name="Normal 110" xfId="2824" xr:uid="{00000000-0005-0000-0000-0000581C0000}"/>
    <cellStyle name="Normal 110 10" xfId="12511" xr:uid="{00000000-0005-0000-0000-0000591C0000}"/>
    <cellStyle name="Normal 110 10 2" xfId="29036" xr:uid="{00000000-0005-0000-0000-00005A1C0000}"/>
    <cellStyle name="Normal 110 11" xfId="20993" xr:uid="{00000000-0005-0000-0000-00005B1C0000}"/>
    <cellStyle name="Normal 110 2" xfId="2825" xr:uid="{00000000-0005-0000-0000-00005C1C0000}"/>
    <cellStyle name="Normal 110 2 2" xfId="2826" xr:uid="{00000000-0005-0000-0000-00005D1C0000}"/>
    <cellStyle name="Normal 110 2 3" xfId="12512" xr:uid="{00000000-0005-0000-0000-00005E1C0000}"/>
    <cellStyle name="Normal 110 2 3 2" xfId="29037" xr:uid="{00000000-0005-0000-0000-00005F1C0000}"/>
    <cellStyle name="Normal 110 2 4" xfId="20994" xr:uid="{00000000-0005-0000-0000-0000601C0000}"/>
    <cellStyle name="Normal 110 3" xfId="2827" xr:uid="{00000000-0005-0000-0000-0000611C0000}"/>
    <cellStyle name="Normal 110 3 2" xfId="2828" xr:uid="{00000000-0005-0000-0000-0000621C0000}"/>
    <cellStyle name="Normal 110 3 2 2" xfId="2829" xr:uid="{00000000-0005-0000-0000-0000631C0000}"/>
    <cellStyle name="Normal 110 3 2 2 2" xfId="2830" xr:uid="{00000000-0005-0000-0000-0000641C0000}"/>
    <cellStyle name="Normal 110 3 2 2 2 2" xfId="7062" xr:uid="{00000000-0005-0000-0000-0000651C0000}"/>
    <cellStyle name="Normal 110 3 2 2 2 2 2" xfId="16425" xr:uid="{00000000-0005-0000-0000-0000661C0000}"/>
    <cellStyle name="Normal 110 3 2 2 2 2 2 2" xfId="32999" xr:uid="{00000000-0005-0000-0000-0000671C0000}"/>
    <cellStyle name="Normal 110 3 2 2 2 2 3" xfId="24952" xr:uid="{00000000-0005-0000-0000-0000681C0000}"/>
    <cellStyle name="Normal 110 3 2 2 2 3" xfId="12515" xr:uid="{00000000-0005-0000-0000-0000691C0000}"/>
    <cellStyle name="Normal 110 3 2 2 2 3 2" xfId="29040" xr:uid="{00000000-0005-0000-0000-00006A1C0000}"/>
    <cellStyle name="Normal 110 3 2 2 2 4" xfId="20997" xr:uid="{00000000-0005-0000-0000-00006B1C0000}"/>
    <cellStyle name="Normal 110 3 2 2 3" xfId="7063" xr:uid="{00000000-0005-0000-0000-00006C1C0000}"/>
    <cellStyle name="Normal 110 3 2 2 3 2" xfId="16426" xr:uid="{00000000-0005-0000-0000-00006D1C0000}"/>
    <cellStyle name="Normal 110 3 2 2 3 2 2" xfId="33000" xr:uid="{00000000-0005-0000-0000-00006E1C0000}"/>
    <cellStyle name="Normal 110 3 2 2 3 3" xfId="24953" xr:uid="{00000000-0005-0000-0000-00006F1C0000}"/>
    <cellStyle name="Normal 110 3 2 2 4" xfId="12514" xr:uid="{00000000-0005-0000-0000-0000701C0000}"/>
    <cellStyle name="Normal 110 3 2 2 4 2" xfId="29039" xr:uid="{00000000-0005-0000-0000-0000711C0000}"/>
    <cellStyle name="Normal 110 3 2 2 5" xfId="20996" xr:uid="{00000000-0005-0000-0000-0000721C0000}"/>
    <cellStyle name="Normal 110 3 2 3" xfId="2831" xr:uid="{00000000-0005-0000-0000-0000731C0000}"/>
    <cellStyle name="Normal 110 3 2 3 2" xfId="7064" xr:uid="{00000000-0005-0000-0000-0000741C0000}"/>
    <cellStyle name="Normal 110 3 2 3 2 2" xfId="16427" xr:uid="{00000000-0005-0000-0000-0000751C0000}"/>
    <cellStyle name="Normal 110 3 2 3 2 2 2" xfId="33001" xr:uid="{00000000-0005-0000-0000-0000761C0000}"/>
    <cellStyle name="Normal 110 3 2 3 2 3" xfId="24954" xr:uid="{00000000-0005-0000-0000-0000771C0000}"/>
    <cellStyle name="Normal 110 3 2 3 3" xfId="12516" xr:uid="{00000000-0005-0000-0000-0000781C0000}"/>
    <cellStyle name="Normal 110 3 2 3 3 2" xfId="29041" xr:uid="{00000000-0005-0000-0000-0000791C0000}"/>
    <cellStyle name="Normal 110 3 2 3 4" xfId="20998" xr:uid="{00000000-0005-0000-0000-00007A1C0000}"/>
    <cellStyle name="Normal 110 3 2 4" xfId="7065" xr:uid="{00000000-0005-0000-0000-00007B1C0000}"/>
    <cellStyle name="Normal 110 3 2 4 2" xfId="16428" xr:uid="{00000000-0005-0000-0000-00007C1C0000}"/>
    <cellStyle name="Normal 110 3 2 4 2 2" xfId="33002" xr:uid="{00000000-0005-0000-0000-00007D1C0000}"/>
    <cellStyle name="Normal 110 3 2 4 3" xfId="24955" xr:uid="{00000000-0005-0000-0000-00007E1C0000}"/>
    <cellStyle name="Normal 110 3 2 5" xfId="12513" xr:uid="{00000000-0005-0000-0000-00007F1C0000}"/>
    <cellStyle name="Normal 110 3 2 5 2" xfId="29038" xr:uid="{00000000-0005-0000-0000-0000801C0000}"/>
    <cellStyle name="Normal 110 3 2 6" xfId="20995" xr:uid="{00000000-0005-0000-0000-0000811C0000}"/>
    <cellStyle name="Normal 110 3 3" xfId="2832" xr:uid="{00000000-0005-0000-0000-0000821C0000}"/>
    <cellStyle name="Normal 110 3 3 2" xfId="2833" xr:uid="{00000000-0005-0000-0000-0000831C0000}"/>
    <cellStyle name="Normal 110 3 3 2 2" xfId="7066" xr:uid="{00000000-0005-0000-0000-0000841C0000}"/>
    <cellStyle name="Normal 110 3 3 2 2 2" xfId="16429" xr:uid="{00000000-0005-0000-0000-0000851C0000}"/>
    <cellStyle name="Normal 110 3 3 2 2 2 2" xfId="33003" xr:uid="{00000000-0005-0000-0000-0000861C0000}"/>
    <cellStyle name="Normal 110 3 3 2 2 3" xfId="24956" xr:uid="{00000000-0005-0000-0000-0000871C0000}"/>
    <cellStyle name="Normal 110 3 3 2 3" xfId="12518" xr:uid="{00000000-0005-0000-0000-0000881C0000}"/>
    <cellStyle name="Normal 110 3 3 2 3 2" xfId="29043" xr:uid="{00000000-0005-0000-0000-0000891C0000}"/>
    <cellStyle name="Normal 110 3 3 2 4" xfId="21000" xr:uid="{00000000-0005-0000-0000-00008A1C0000}"/>
    <cellStyle name="Normal 110 3 3 3" xfId="7067" xr:uid="{00000000-0005-0000-0000-00008B1C0000}"/>
    <cellStyle name="Normal 110 3 3 3 2" xfId="16430" xr:uid="{00000000-0005-0000-0000-00008C1C0000}"/>
    <cellStyle name="Normal 110 3 3 3 2 2" xfId="33004" xr:uid="{00000000-0005-0000-0000-00008D1C0000}"/>
    <cellStyle name="Normal 110 3 3 3 3" xfId="24957" xr:uid="{00000000-0005-0000-0000-00008E1C0000}"/>
    <cellStyle name="Normal 110 3 3 4" xfId="12517" xr:uid="{00000000-0005-0000-0000-00008F1C0000}"/>
    <cellStyle name="Normal 110 3 3 4 2" xfId="29042" xr:uid="{00000000-0005-0000-0000-0000901C0000}"/>
    <cellStyle name="Normal 110 3 3 5" xfId="20999" xr:uid="{00000000-0005-0000-0000-0000911C0000}"/>
    <cellStyle name="Normal 110 3 4" xfId="2834" xr:uid="{00000000-0005-0000-0000-0000921C0000}"/>
    <cellStyle name="Normal 110 3 4 2" xfId="7068" xr:uid="{00000000-0005-0000-0000-0000931C0000}"/>
    <cellStyle name="Normal 110 3 4 2 2" xfId="16431" xr:uid="{00000000-0005-0000-0000-0000941C0000}"/>
    <cellStyle name="Normal 110 3 4 2 2 2" xfId="33005" xr:uid="{00000000-0005-0000-0000-0000951C0000}"/>
    <cellStyle name="Normal 110 3 4 2 3" xfId="24958" xr:uid="{00000000-0005-0000-0000-0000961C0000}"/>
    <cellStyle name="Normal 110 3 4 3" xfId="12519" xr:uid="{00000000-0005-0000-0000-0000971C0000}"/>
    <cellStyle name="Normal 110 3 4 3 2" xfId="29044" xr:uid="{00000000-0005-0000-0000-0000981C0000}"/>
    <cellStyle name="Normal 110 3 4 4" xfId="21001" xr:uid="{00000000-0005-0000-0000-0000991C0000}"/>
    <cellStyle name="Normal 110 3 5" xfId="2835" xr:uid="{00000000-0005-0000-0000-00009A1C0000}"/>
    <cellStyle name="Normal 110 3 5 2" xfId="12520" xr:uid="{00000000-0005-0000-0000-00009B1C0000}"/>
    <cellStyle name="Normal 110 3 5 2 2" xfId="29045" xr:uid="{00000000-0005-0000-0000-00009C1C0000}"/>
    <cellStyle name="Normal 110 3 5 3" xfId="21002" xr:uid="{00000000-0005-0000-0000-00009D1C0000}"/>
    <cellStyle name="Normal 110 4" xfId="2836" xr:uid="{00000000-0005-0000-0000-00009E1C0000}"/>
    <cellStyle name="Normal 110 4 2" xfId="2837" xr:uid="{00000000-0005-0000-0000-00009F1C0000}"/>
    <cellStyle name="Normal 110 4 2 2" xfId="2838" xr:uid="{00000000-0005-0000-0000-0000A01C0000}"/>
    <cellStyle name="Normal 110 4 2 2 2" xfId="2839" xr:uid="{00000000-0005-0000-0000-0000A11C0000}"/>
    <cellStyle name="Normal 110 4 2 2 2 2" xfId="7069" xr:uid="{00000000-0005-0000-0000-0000A21C0000}"/>
    <cellStyle name="Normal 110 4 2 2 2 2 2" xfId="16432" xr:uid="{00000000-0005-0000-0000-0000A31C0000}"/>
    <cellStyle name="Normal 110 4 2 2 2 2 2 2" xfId="33006" xr:uid="{00000000-0005-0000-0000-0000A41C0000}"/>
    <cellStyle name="Normal 110 4 2 2 2 2 3" xfId="24959" xr:uid="{00000000-0005-0000-0000-0000A51C0000}"/>
    <cellStyle name="Normal 110 4 2 2 2 3" xfId="12524" xr:uid="{00000000-0005-0000-0000-0000A61C0000}"/>
    <cellStyle name="Normal 110 4 2 2 2 3 2" xfId="29049" xr:uid="{00000000-0005-0000-0000-0000A71C0000}"/>
    <cellStyle name="Normal 110 4 2 2 2 4" xfId="21006" xr:uid="{00000000-0005-0000-0000-0000A81C0000}"/>
    <cellStyle name="Normal 110 4 2 2 3" xfId="7070" xr:uid="{00000000-0005-0000-0000-0000A91C0000}"/>
    <cellStyle name="Normal 110 4 2 2 3 2" xfId="16433" xr:uid="{00000000-0005-0000-0000-0000AA1C0000}"/>
    <cellStyle name="Normal 110 4 2 2 3 2 2" xfId="33007" xr:uid="{00000000-0005-0000-0000-0000AB1C0000}"/>
    <cellStyle name="Normal 110 4 2 2 3 3" xfId="24960" xr:uid="{00000000-0005-0000-0000-0000AC1C0000}"/>
    <cellStyle name="Normal 110 4 2 2 4" xfId="12523" xr:uid="{00000000-0005-0000-0000-0000AD1C0000}"/>
    <cellStyle name="Normal 110 4 2 2 4 2" xfId="29048" xr:uid="{00000000-0005-0000-0000-0000AE1C0000}"/>
    <cellStyle name="Normal 110 4 2 2 5" xfId="21005" xr:uid="{00000000-0005-0000-0000-0000AF1C0000}"/>
    <cellStyle name="Normal 110 4 2 3" xfId="2840" xr:uid="{00000000-0005-0000-0000-0000B01C0000}"/>
    <cellStyle name="Normal 110 4 2 3 2" xfId="7071" xr:uid="{00000000-0005-0000-0000-0000B11C0000}"/>
    <cellStyle name="Normal 110 4 2 3 2 2" xfId="16434" xr:uid="{00000000-0005-0000-0000-0000B21C0000}"/>
    <cellStyle name="Normal 110 4 2 3 2 2 2" xfId="33008" xr:uid="{00000000-0005-0000-0000-0000B31C0000}"/>
    <cellStyle name="Normal 110 4 2 3 2 3" xfId="24961" xr:uid="{00000000-0005-0000-0000-0000B41C0000}"/>
    <cellStyle name="Normal 110 4 2 3 3" xfId="12525" xr:uid="{00000000-0005-0000-0000-0000B51C0000}"/>
    <cellStyle name="Normal 110 4 2 3 3 2" xfId="29050" xr:uid="{00000000-0005-0000-0000-0000B61C0000}"/>
    <cellStyle name="Normal 110 4 2 3 4" xfId="21007" xr:uid="{00000000-0005-0000-0000-0000B71C0000}"/>
    <cellStyle name="Normal 110 4 2 4" xfId="7072" xr:uid="{00000000-0005-0000-0000-0000B81C0000}"/>
    <cellStyle name="Normal 110 4 2 4 2" xfId="16435" xr:uid="{00000000-0005-0000-0000-0000B91C0000}"/>
    <cellStyle name="Normal 110 4 2 4 2 2" xfId="33009" xr:uid="{00000000-0005-0000-0000-0000BA1C0000}"/>
    <cellStyle name="Normal 110 4 2 4 3" xfId="24962" xr:uid="{00000000-0005-0000-0000-0000BB1C0000}"/>
    <cellStyle name="Normal 110 4 2 5" xfId="12522" xr:uid="{00000000-0005-0000-0000-0000BC1C0000}"/>
    <cellStyle name="Normal 110 4 2 5 2" xfId="29047" xr:uid="{00000000-0005-0000-0000-0000BD1C0000}"/>
    <cellStyle name="Normal 110 4 2 6" xfId="21004" xr:uid="{00000000-0005-0000-0000-0000BE1C0000}"/>
    <cellStyle name="Normal 110 4 3" xfId="2841" xr:uid="{00000000-0005-0000-0000-0000BF1C0000}"/>
    <cellStyle name="Normal 110 4 3 2" xfId="2842" xr:uid="{00000000-0005-0000-0000-0000C01C0000}"/>
    <cellStyle name="Normal 110 4 3 2 2" xfId="7073" xr:uid="{00000000-0005-0000-0000-0000C11C0000}"/>
    <cellStyle name="Normal 110 4 3 2 2 2" xfId="16436" xr:uid="{00000000-0005-0000-0000-0000C21C0000}"/>
    <cellStyle name="Normal 110 4 3 2 2 2 2" xfId="33010" xr:uid="{00000000-0005-0000-0000-0000C31C0000}"/>
    <cellStyle name="Normal 110 4 3 2 2 3" xfId="24963" xr:uid="{00000000-0005-0000-0000-0000C41C0000}"/>
    <cellStyle name="Normal 110 4 3 2 3" xfId="12527" xr:uid="{00000000-0005-0000-0000-0000C51C0000}"/>
    <cellStyle name="Normal 110 4 3 2 3 2" xfId="29052" xr:uid="{00000000-0005-0000-0000-0000C61C0000}"/>
    <cellStyle name="Normal 110 4 3 2 4" xfId="21009" xr:uid="{00000000-0005-0000-0000-0000C71C0000}"/>
    <cellStyle name="Normal 110 4 3 3" xfId="7074" xr:uid="{00000000-0005-0000-0000-0000C81C0000}"/>
    <cellStyle name="Normal 110 4 3 3 2" xfId="16437" xr:uid="{00000000-0005-0000-0000-0000C91C0000}"/>
    <cellStyle name="Normal 110 4 3 3 2 2" xfId="33011" xr:uid="{00000000-0005-0000-0000-0000CA1C0000}"/>
    <cellStyle name="Normal 110 4 3 3 3" xfId="24964" xr:uid="{00000000-0005-0000-0000-0000CB1C0000}"/>
    <cellStyle name="Normal 110 4 3 4" xfId="12526" xr:uid="{00000000-0005-0000-0000-0000CC1C0000}"/>
    <cellStyle name="Normal 110 4 3 4 2" xfId="29051" xr:uid="{00000000-0005-0000-0000-0000CD1C0000}"/>
    <cellStyle name="Normal 110 4 3 5" xfId="21008" xr:uid="{00000000-0005-0000-0000-0000CE1C0000}"/>
    <cellStyle name="Normal 110 4 4" xfId="2843" xr:uid="{00000000-0005-0000-0000-0000CF1C0000}"/>
    <cellStyle name="Normal 110 4 4 2" xfId="7075" xr:uid="{00000000-0005-0000-0000-0000D01C0000}"/>
    <cellStyle name="Normal 110 4 4 2 2" xfId="16438" xr:uid="{00000000-0005-0000-0000-0000D11C0000}"/>
    <cellStyle name="Normal 110 4 4 2 2 2" xfId="33012" xr:uid="{00000000-0005-0000-0000-0000D21C0000}"/>
    <cellStyle name="Normal 110 4 4 2 3" xfId="24965" xr:uid="{00000000-0005-0000-0000-0000D31C0000}"/>
    <cellStyle name="Normal 110 4 4 3" xfId="12528" xr:uid="{00000000-0005-0000-0000-0000D41C0000}"/>
    <cellStyle name="Normal 110 4 4 3 2" xfId="29053" xr:uid="{00000000-0005-0000-0000-0000D51C0000}"/>
    <cellStyle name="Normal 110 4 4 4" xfId="21010" xr:uid="{00000000-0005-0000-0000-0000D61C0000}"/>
    <cellStyle name="Normal 110 4 5" xfId="7076" xr:uid="{00000000-0005-0000-0000-0000D71C0000}"/>
    <cellStyle name="Normal 110 4 5 2" xfId="16439" xr:uid="{00000000-0005-0000-0000-0000D81C0000}"/>
    <cellStyle name="Normal 110 4 5 2 2" xfId="33013" xr:uid="{00000000-0005-0000-0000-0000D91C0000}"/>
    <cellStyle name="Normal 110 4 5 3" xfId="24966" xr:uid="{00000000-0005-0000-0000-0000DA1C0000}"/>
    <cellStyle name="Normal 110 4 6" xfId="12521" xr:uid="{00000000-0005-0000-0000-0000DB1C0000}"/>
    <cellStyle name="Normal 110 4 6 2" xfId="29046" xr:uid="{00000000-0005-0000-0000-0000DC1C0000}"/>
    <cellStyle name="Normal 110 4 7" xfId="21003" xr:uid="{00000000-0005-0000-0000-0000DD1C0000}"/>
    <cellStyle name="Normal 110 5" xfId="2844" xr:uid="{00000000-0005-0000-0000-0000DE1C0000}"/>
    <cellStyle name="Normal 110 5 2" xfId="2845" xr:uid="{00000000-0005-0000-0000-0000DF1C0000}"/>
    <cellStyle name="Normal 110 5 2 2" xfId="2846" xr:uid="{00000000-0005-0000-0000-0000E01C0000}"/>
    <cellStyle name="Normal 110 5 2 2 2" xfId="2847" xr:uid="{00000000-0005-0000-0000-0000E11C0000}"/>
    <cellStyle name="Normal 110 5 2 2 2 2" xfId="7077" xr:uid="{00000000-0005-0000-0000-0000E21C0000}"/>
    <cellStyle name="Normal 110 5 2 2 2 2 2" xfId="16440" xr:uid="{00000000-0005-0000-0000-0000E31C0000}"/>
    <cellStyle name="Normal 110 5 2 2 2 2 2 2" xfId="33014" xr:uid="{00000000-0005-0000-0000-0000E41C0000}"/>
    <cellStyle name="Normal 110 5 2 2 2 2 3" xfId="24967" xr:uid="{00000000-0005-0000-0000-0000E51C0000}"/>
    <cellStyle name="Normal 110 5 2 2 2 3" xfId="12532" xr:uid="{00000000-0005-0000-0000-0000E61C0000}"/>
    <cellStyle name="Normal 110 5 2 2 2 3 2" xfId="29057" xr:uid="{00000000-0005-0000-0000-0000E71C0000}"/>
    <cellStyle name="Normal 110 5 2 2 2 4" xfId="21014" xr:uid="{00000000-0005-0000-0000-0000E81C0000}"/>
    <cellStyle name="Normal 110 5 2 2 3" xfId="7078" xr:uid="{00000000-0005-0000-0000-0000E91C0000}"/>
    <cellStyle name="Normal 110 5 2 2 3 2" xfId="16441" xr:uid="{00000000-0005-0000-0000-0000EA1C0000}"/>
    <cellStyle name="Normal 110 5 2 2 3 2 2" xfId="33015" xr:uid="{00000000-0005-0000-0000-0000EB1C0000}"/>
    <cellStyle name="Normal 110 5 2 2 3 3" xfId="24968" xr:uid="{00000000-0005-0000-0000-0000EC1C0000}"/>
    <cellStyle name="Normal 110 5 2 2 4" xfId="12531" xr:uid="{00000000-0005-0000-0000-0000ED1C0000}"/>
    <cellStyle name="Normal 110 5 2 2 4 2" xfId="29056" xr:uid="{00000000-0005-0000-0000-0000EE1C0000}"/>
    <cellStyle name="Normal 110 5 2 2 5" xfId="21013" xr:uid="{00000000-0005-0000-0000-0000EF1C0000}"/>
    <cellStyle name="Normal 110 5 2 3" xfId="2848" xr:uid="{00000000-0005-0000-0000-0000F01C0000}"/>
    <cellStyle name="Normal 110 5 2 3 2" xfId="7079" xr:uid="{00000000-0005-0000-0000-0000F11C0000}"/>
    <cellStyle name="Normal 110 5 2 3 2 2" xfId="16442" xr:uid="{00000000-0005-0000-0000-0000F21C0000}"/>
    <cellStyle name="Normal 110 5 2 3 2 2 2" xfId="33016" xr:uid="{00000000-0005-0000-0000-0000F31C0000}"/>
    <cellStyle name="Normal 110 5 2 3 2 3" xfId="24969" xr:uid="{00000000-0005-0000-0000-0000F41C0000}"/>
    <cellStyle name="Normal 110 5 2 3 3" xfId="12533" xr:uid="{00000000-0005-0000-0000-0000F51C0000}"/>
    <cellStyle name="Normal 110 5 2 3 3 2" xfId="29058" xr:uid="{00000000-0005-0000-0000-0000F61C0000}"/>
    <cellStyle name="Normal 110 5 2 3 4" xfId="21015" xr:uid="{00000000-0005-0000-0000-0000F71C0000}"/>
    <cellStyle name="Normal 110 5 2 4" xfId="7080" xr:uid="{00000000-0005-0000-0000-0000F81C0000}"/>
    <cellStyle name="Normal 110 5 2 4 2" xfId="16443" xr:uid="{00000000-0005-0000-0000-0000F91C0000}"/>
    <cellStyle name="Normal 110 5 2 4 2 2" xfId="33017" xr:uid="{00000000-0005-0000-0000-0000FA1C0000}"/>
    <cellStyle name="Normal 110 5 2 4 3" xfId="24970" xr:uid="{00000000-0005-0000-0000-0000FB1C0000}"/>
    <cellStyle name="Normal 110 5 2 5" xfId="12530" xr:uid="{00000000-0005-0000-0000-0000FC1C0000}"/>
    <cellStyle name="Normal 110 5 2 5 2" xfId="29055" xr:uid="{00000000-0005-0000-0000-0000FD1C0000}"/>
    <cellStyle name="Normal 110 5 2 6" xfId="21012" xr:uid="{00000000-0005-0000-0000-0000FE1C0000}"/>
    <cellStyle name="Normal 110 5 3" xfId="2849" xr:uid="{00000000-0005-0000-0000-0000FF1C0000}"/>
    <cellStyle name="Normal 110 5 3 2" xfId="2850" xr:uid="{00000000-0005-0000-0000-0000001D0000}"/>
    <cellStyle name="Normal 110 5 3 2 2" xfId="7081" xr:uid="{00000000-0005-0000-0000-0000011D0000}"/>
    <cellStyle name="Normal 110 5 3 2 2 2" xfId="16444" xr:uid="{00000000-0005-0000-0000-0000021D0000}"/>
    <cellStyle name="Normal 110 5 3 2 2 2 2" xfId="33018" xr:uid="{00000000-0005-0000-0000-0000031D0000}"/>
    <cellStyle name="Normal 110 5 3 2 2 3" xfId="24971" xr:uid="{00000000-0005-0000-0000-0000041D0000}"/>
    <cellStyle name="Normal 110 5 3 2 3" xfId="12535" xr:uid="{00000000-0005-0000-0000-0000051D0000}"/>
    <cellStyle name="Normal 110 5 3 2 3 2" xfId="29060" xr:uid="{00000000-0005-0000-0000-0000061D0000}"/>
    <cellStyle name="Normal 110 5 3 2 4" xfId="21017" xr:uid="{00000000-0005-0000-0000-0000071D0000}"/>
    <cellStyle name="Normal 110 5 3 3" xfId="7082" xr:uid="{00000000-0005-0000-0000-0000081D0000}"/>
    <cellStyle name="Normal 110 5 3 3 2" xfId="16445" xr:uid="{00000000-0005-0000-0000-0000091D0000}"/>
    <cellStyle name="Normal 110 5 3 3 2 2" xfId="33019" xr:uid="{00000000-0005-0000-0000-00000A1D0000}"/>
    <cellStyle name="Normal 110 5 3 3 3" xfId="24972" xr:uid="{00000000-0005-0000-0000-00000B1D0000}"/>
    <cellStyle name="Normal 110 5 3 4" xfId="12534" xr:uid="{00000000-0005-0000-0000-00000C1D0000}"/>
    <cellStyle name="Normal 110 5 3 4 2" xfId="29059" xr:uid="{00000000-0005-0000-0000-00000D1D0000}"/>
    <cellStyle name="Normal 110 5 3 5" xfId="21016" xr:uid="{00000000-0005-0000-0000-00000E1D0000}"/>
    <cellStyle name="Normal 110 5 4" xfId="2851" xr:uid="{00000000-0005-0000-0000-00000F1D0000}"/>
    <cellStyle name="Normal 110 5 4 2" xfId="7083" xr:uid="{00000000-0005-0000-0000-0000101D0000}"/>
    <cellStyle name="Normal 110 5 4 2 2" xfId="16446" xr:uid="{00000000-0005-0000-0000-0000111D0000}"/>
    <cellStyle name="Normal 110 5 4 2 2 2" xfId="33020" xr:uid="{00000000-0005-0000-0000-0000121D0000}"/>
    <cellStyle name="Normal 110 5 4 2 3" xfId="24973" xr:uid="{00000000-0005-0000-0000-0000131D0000}"/>
    <cellStyle name="Normal 110 5 4 3" xfId="12536" xr:uid="{00000000-0005-0000-0000-0000141D0000}"/>
    <cellStyle name="Normal 110 5 4 3 2" xfId="29061" xr:uid="{00000000-0005-0000-0000-0000151D0000}"/>
    <cellStyle name="Normal 110 5 4 4" xfId="21018" xr:uid="{00000000-0005-0000-0000-0000161D0000}"/>
    <cellStyle name="Normal 110 5 5" xfId="7084" xr:uid="{00000000-0005-0000-0000-0000171D0000}"/>
    <cellStyle name="Normal 110 5 5 2" xfId="16447" xr:uid="{00000000-0005-0000-0000-0000181D0000}"/>
    <cellStyle name="Normal 110 5 5 2 2" xfId="33021" xr:uid="{00000000-0005-0000-0000-0000191D0000}"/>
    <cellStyle name="Normal 110 5 5 3" xfId="24974" xr:uid="{00000000-0005-0000-0000-00001A1D0000}"/>
    <cellStyle name="Normal 110 5 6" xfId="12529" xr:uid="{00000000-0005-0000-0000-00001B1D0000}"/>
    <cellStyle name="Normal 110 5 6 2" xfId="29054" xr:uid="{00000000-0005-0000-0000-00001C1D0000}"/>
    <cellStyle name="Normal 110 5 7" xfId="21011" xr:uid="{00000000-0005-0000-0000-00001D1D0000}"/>
    <cellStyle name="Normal 110 6" xfId="2852" xr:uid="{00000000-0005-0000-0000-00001E1D0000}"/>
    <cellStyle name="Normal 110 6 2" xfId="2853" xr:uid="{00000000-0005-0000-0000-00001F1D0000}"/>
    <cellStyle name="Normal 110 6 2 2" xfId="2854" xr:uid="{00000000-0005-0000-0000-0000201D0000}"/>
    <cellStyle name="Normal 110 6 2 2 2" xfId="7085" xr:uid="{00000000-0005-0000-0000-0000211D0000}"/>
    <cellStyle name="Normal 110 6 2 2 2 2" xfId="16448" xr:uid="{00000000-0005-0000-0000-0000221D0000}"/>
    <cellStyle name="Normal 110 6 2 2 2 2 2" xfId="33022" xr:uid="{00000000-0005-0000-0000-0000231D0000}"/>
    <cellStyle name="Normal 110 6 2 2 2 3" xfId="24975" xr:uid="{00000000-0005-0000-0000-0000241D0000}"/>
    <cellStyle name="Normal 110 6 2 2 3" xfId="12539" xr:uid="{00000000-0005-0000-0000-0000251D0000}"/>
    <cellStyle name="Normal 110 6 2 2 3 2" xfId="29064" xr:uid="{00000000-0005-0000-0000-0000261D0000}"/>
    <cellStyle name="Normal 110 6 2 2 4" xfId="21021" xr:uid="{00000000-0005-0000-0000-0000271D0000}"/>
    <cellStyle name="Normal 110 6 2 3" xfId="7086" xr:uid="{00000000-0005-0000-0000-0000281D0000}"/>
    <cellStyle name="Normal 110 6 2 3 2" xfId="16449" xr:uid="{00000000-0005-0000-0000-0000291D0000}"/>
    <cellStyle name="Normal 110 6 2 3 2 2" xfId="33023" xr:uid="{00000000-0005-0000-0000-00002A1D0000}"/>
    <cellStyle name="Normal 110 6 2 3 3" xfId="24976" xr:uid="{00000000-0005-0000-0000-00002B1D0000}"/>
    <cellStyle name="Normal 110 6 2 4" xfId="12538" xr:uid="{00000000-0005-0000-0000-00002C1D0000}"/>
    <cellStyle name="Normal 110 6 2 4 2" xfId="29063" xr:uid="{00000000-0005-0000-0000-00002D1D0000}"/>
    <cellStyle name="Normal 110 6 2 5" xfId="21020" xr:uid="{00000000-0005-0000-0000-00002E1D0000}"/>
    <cellStyle name="Normal 110 6 3" xfId="2855" xr:uid="{00000000-0005-0000-0000-00002F1D0000}"/>
    <cellStyle name="Normal 110 6 3 2" xfId="7087" xr:uid="{00000000-0005-0000-0000-0000301D0000}"/>
    <cellStyle name="Normal 110 6 3 2 2" xfId="16450" xr:uid="{00000000-0005-0000-0000-0000311D0000}"/>
    <cellStyle name="Normal 110 6 3 2 2 2" xfId="33024" xr:uid="{00000000-0005-0000-0000-0000321D0000}"/>
    <cellStyle name="Normal 110 6 3 2 3" xfId="24977" xr:uid="{00000000-0005-0000-0000-0000331D0000}"/>
    <cellStyle name="Normal 110 6 3 3" xfId="12540" xr:uid="{00000000-0005-0000-0000-0000341D0000}"/>
    <cellStyle name="Normal 110 6 3 3 2" xfId="29065" xr:uid="{00000000-0005-0000-0000-0000351D0000}"/>
    <cellStyle name="Normal 110 6 3 4" xfId="21022" xr:uid="{00000000-0005-0000-0000-0000361D0000}"/>
    <cellStyle name="Normal 110 6 4" xfId="7088" xr:uid="{00000000-0005-0000-0000-0000371D0000}"/>
    <cellStyle name="Normal 110 6 4 2" xfId="16451" xr:uid="{00000000-0005-0000-0000-0000381D0000}"/>
    <cellStyle name="Normal 110 6 4 2 2" xfId="33025" xr:uid="{00000000-0005-0000-0000-0000391D0000}"/>
    <cellStyle name="Normal 110 6 4 3" xfId="24978" xr:uid="{00000000-0005-0000-0000-00003A1D0000}"/>
    <cellStyle name="Normal 110 6 5" xfId="12537" xr:uid="{00000000-0005-0000-0000-00003B1D0000}"/>
    <cellStyle name="Normal 110 6 5 2" xfId="29062" xr:uid="{00000000-0005-0000-0000-00003C1D0000}"/>
    <cellStyle name="Normal 110 6 6" xfId="21019" xr:uid="{00000000-0005-0000-0000-00003D1D0000}"/>
    <cellStyle name="Normal 110 7" xfId="2856" xr:uid="{00000000-0005-0000-0000-00003E1D0000}"/>
    <cellStyle name="Normal 110 7 2" xfId="2857" xr:uid="{00000000-0005-0000-0000-00003F1D0000}"/>
    <cellStyle name="Normal 110 7 2 2" xfId="7089" xr:uid="{00000000-0005-0000-0000-0000401D0000}"/>
    <cellStyle name="Normal 110 7 2 2 2" xfId="16452" xr:uid="{00000000-0005-0000-0000-0000411D0000}"/>
    <cellStyle name="Normal 110 7 2 2 2 2" xfId="33026" xr:uid="{00000000-0005-0000-0000-0000421D0000}"/>
    <cellStyle name="Normal 110 7 2 2 3" xfId="24979" xr:uid="{00000000-0005-0000-0000-0000431D0000}"/>
    <cellStyle name="Normal 110 7 2 3" xfId="12542" xr:uid="{00000000-0005-0000-0000-0000441D0000}"/>
    <cellStyle name="Normal 110 7 2 3 2" xfId="29067" xr:uid="{00000000-0005-0000-0000-0000451D0000}"/>
    <cellStyle name="Normal 110 7 2 4" xfId="21024" xr:uid="{00000000-0005-0000-0000-0000461D0000}"/>
    <cellStyle name="Normal 110 7 3" xfId="7090" xr:uid="{00000000-0005-0000-0000-0000471D0000}"/>
    <cellStyle name="Normal 110 7 3 2" xfId="16453" xr:uid="{00000000-0005-0000-0000-0000481D0000}"/>
    <cellStyle name="Normal 110 7 3 2 2" xfId="33027" xr:uid="{00000000-0005-0000-0000-0000491D0000}"/>
    <cellStyle name="Normal 110 7 3 3" xfId="24980" xr:uid="{00000000-0005-0000-0000-00004A1D0000}"/>
    <cellStyle name="Normal 110 7 4" xfId="12541" xr:uid="{00000000-0005-0000-0000-00004B1D0000}"/>
    <cellStyle name="Normal 110 7 4 2" xfId="29066" xr:uid="{00000000-0005-0000-0000-00004C1D0000}"/>
    <cellStyle name="Normal 110 7 5" xfId="21023" xr:uid="{00000000-0005-0000-0000-00004D1D0000}"/>
    <cellStyle name="Normal 110 8" xfId="2858" xr:uid="{00000000-0005-0000-0000-00004E1D0000}"/>
    <cellStyle name="Normal 110 8 2" xfId="7091" xr:uid="{00000000-0005-0000-0000-00004F1D0000}"/>
    <cellStyle name="Normal 110 8 2 2" xfId="16454" xr:uid="{00000000-0005-0000-0000-0000501D0000}"/>
    <cellStyle name="Normal 110 8 2 2 2" xfId="33028" xr:uid="{00000000-0005-0000-0000-0000511D0000}"/>
    <cellStyle name="Normal 110 8 2 3" xfId="24981" xr:uid="{00000000-0005-0000-0000-0000521D0000}"/>
    <cellStyle name="Normal 110 8 3" xfId="12543" xr:uid="{00000000-0005-0000-0000-0000531D0000}"/>
    <cellStyle name="Normal 110 8 3 2" xfId="29068" xr:uid="{00000000-0005-0000-0000-0000541D0000}"/>
    <cellStyle name="Normal 110 8 4" xfId="21025" xr:uid="{00000000-0005-0000-0000-0000551D0000}"/>
    <cellStyle name="Normal 110 9" xfId="7092" xr:uid="{00000000-0005-0000-0000-0000561D0000}"/>
    <cellStyle name="Normal 110 9 2" xfId="16455" xr:uid="{00000000-0005-0000-0000-0000571D0000}"/>
    <cellStyle name="Normal 110 9 2 2" xfId="33029" xr:uid="{00000000-0005-0000-0000-0000581D0000}"/>
    <cellStyle name="Normal 110 9 3" xfId="24982" xr:uid="{00000000-0005-0000-0000-0000591D0000}"/>
    <cellStyle name="Normal 111" xfId="2859" xr:uid="{00000000-0005-0000-0000-00005A1D0000}"/>
    <cellStyle name="Normal 111 10" xfId="12544" xr:uid="{00000000-0005-0000-0000-00005B1D0000}"/>
    <cellStyle name="Normal 111 10 2" xfId="29069" xr:uid="{00000000-0005-0000-0000-00005C1D0000}"/>
    <cellStyle name="Normal 111 11" xfId="21026" xr:uid="{00000000-0005-0000-0000-00005D1D0000}"/>
    <cellStyle name="Normal 111 2" xfId="2860" xr:uid="{00000000-0005-0000-0000-00005E1D0000}"/>
    <cellStyle name="Normal 111 2 2" xfId="2861" xr:uid="{00000000-0005-0000-0000-00005F1D0000}"/>
    <cellStyle name="Normal 111 2 3" xfId="12545" xr:uid="{00000000-0005-0000-0000-0000601D0000}"/>
    <cellStyle name="Normal 111 2 3 2" xfId="29070" xr:uid="{00000000-0005-0000-0000-0000611D0000}"/>
    <cellStyle name="Normal 111 2 4" xfId="21027" xr:uid="{00000000-0005-0000-0000-0000621D0000}"/>
    <cellStyle name="Normal 111 3" xfId="2862" xr:uid="{00000000-0005-0000-0000-0000631D0000}"/>
    <cellStyle name="Normal 111 3 2" xfId="2863" xr:uid="{00000000-0005-0000-0000-0000641D0000}"/>
    <cellStyle name="Normal 111 3 2 2" xfId="2864" xr:uid="{00000000-0005-0000-0000-0000651D0000}"/>
    <cellStyle name="Normal 111 3 2 2 2" xfId="2865" xr:uid="{00000000-0005-0000-0000-0000661D0000}"/>
    <cellStyle name="Normal 111 3 2 2 2 2" xfId="7093" xr:uid="{00000000-0005-0000-0000-0000671D0000}"/>
    <cellStyle name="Normal 111 3 2 2 2 2 2" xfId="16456" xr:uid="{00000000-0005-0000-0000-0000681D0000}"/>
    <cellStyle name="Normal 111 3 2 2 2 2 2 2" xfId="33030" xr:uid="{00000000-0005-0000-0000-0000691D0000}"/>
    <cellStyle name="Normal 111 3 2 2 2 2 3" xfId="24983" xr:uid="{00000000-0005-0000-0000-00006A1D0000}"/>
    <cellStyle name="Normal 111 3 2 2 2 3" xfId="12548" xr:uid="{00000000-0005-0000-0000-00006B1D0000}"/>
    <cellStyle name="Normal 111 3 2 2 2 3 2" xfId="29073" xr:uid="{00000000-0005-0000-0000-00006C1D0000}"/>
    <cellStyle name="Normal 111 3 2 2 2 4" xfId="21030" xr:uid="{00000000-0005-0000-0000-00006D1D0000}"/>
    <cellStyle name="Normal 111 3 2 2 3" xfId="7094" xr:uid="{00000000-0005-0000-0000-00006E1D0000}"/>
    <cellStyle name="Normal 111 3 2 2 3 2" xfId="16457" xr:uid="{00000000-0005-0000-0000-00006F1D0000}"/>
    <cellStyle name="Normal 111 3 2 2 3 2 2" xfId="33031" xr:uid="{00000000-0005-0000-0000-0000701D0000}"/>
    <cellStyle name="Normal 111 3 2 2 3 3" xfId="24984" xr:uid="{00000000-0005-0000-0000-0000711D0000}"/>
    <cellStyle name="Normal 111 3 2 2 4" xfId="12547" xr:uid="{00000000-0005-0000-0000-0000721D0000}"/>
    <cellStyle name="Normal 111 3 2 2 4 2" xfId="29072" xr:uid="{00000000-0005-0000-0000-0000731D0000}"/>
    <cellStyle name="Normal 111 3 2 2 5" xfId="21029" xr:uid="{00000000-0005-0000-0000-0000741D0000}"/>
    <cellStyle name="Normal 111 3 2 3" xfId="2866" xr:uid="{00000000-0005-0000-0000-0000751D0000}"/>
    <cellStyle name="Normal 111 3 2 3 2" xfId="7095" xr:uid="{00000000-0005-0000-0000-0000761D0000}"/>
    <cellStyle name="Normal 111 3 2 3 2 2" xfId="16458" xr:uid="{00000000-0005-0000-0000-0000771D0000}"/>
    <cellStyle name="Normal 111 3 2 3 2 2 2" xfId="33032" xr:uid="{00000000-0005-0000-0000-0000781D0000}"/>
    <cellStyle name="Normal 111 3 2 3 2 3" xfId="24985" xr:uid="{00000000-0005-0000-0000-0000791D0000}"/>
    <cellStyle name="Normal 111 3 2 3 3" xfId="12549" xr:uid="{00000000-0005-0000-0000-00007A1D0000}"/>
    <cellStyle name="Normal 111 3 2 3 3 2" xfId="29074" xr:uid="{00000000-0005-0000-0000-00007B1D0000}"/>
    <cellStyle name="Normal 111 3 2 3 4" xfId="21031" xr:uid="{00000000-0005-0000-0000-00007C1D0000}"/>
    <cellStyle name="Normal 111 3 2 4" xfId="7096" xr:uid="{00000000-0005-0000-0000-00007D1D0000}"/>
    <cellStyle name="Normal 111 3 2 4 2" xfId="16459" xr:uid="{00000000-0005-0000-0000-00007E1D0000}"/>
    <cellStyle name="Normal 111 3 2 4 2 2" xfId="33033" xr:uid="{00000000-0005-0000-0000-00007F1D0000}"/>
    <cellStyle name="Normal 111 3 2 4 3" xfId="24986" xr:uid="{00000000-0005-0000-0000-0000801D0000}"/>
    <cellStyle name="Normal 111 3 2 5" xfId="12546" xr:uid="{00000000-0005-0000-0000-0000811D0000}"/>
    <cellStyle name="Normal 111 3 2 5 2" xfId="29071" xr:uid="{00000000-0005-0000-0000-0000821D0000}"/>
    <cellStyle name="Normal 111 3 2 6" xfId="21028" xr:uid="{00000000-0005-0000-0000-0000831D0000}"/>
    <cellStyle name="Normal 111 3 3" xfId="2867" xr:uid="{00000000-0005-0000-0000-0000841D0000}"/>
    <cellStyle name="Normal 111 3 3 2" xfId="2868" xr:uid="{00000000-0005-0000-0000-0000851D0000}"/>
    <cellStyle name="Normal 111 3 3 2 2" xfId="7097" xr:uid="{00000000-0005-0000-0000-0000861D0000}"/>
    <cellStyle name="Normal 111 3 3 2 2 2" xfId="16460" xr:uid="{00000000-0005-0000-0000-0000871D0000}"/>
    <cellStyle name="Normal 111 3 3 2 2 2 2" xfId="33034" xr:uid="{00000000-0005-0000-0000-0000881D0000}"/>
    <cellStyle name="Normal 111 3 3 2 2 3" xfId="24987" xr:uid="{00000000-0005-0000-0000-0000891D0000}"/>
    <cellStyle name="Normal 111 3 3 2 3" xfId="12551" xr:uid="{00000000-0005-0000-0000-00008A1D0000}"/>
    <cellStyle name="Normal 111 3 3 2 3 2" xfId="29076" xr:uid="{00000000-0005-0000-0000-00008B1D0000}"/>
    <cellStyle name="Normal 111 3 3 2 4" xfId="21033" xr:uid="{00000000-0005-0000-0000-00008C1D0000}"/>
    <cellStyle name="Normal 111 3 3 3" xfId="7098" xr:uid="{00000000-0005-0000-0000-00008D1D0000}"/>
    <cellStyle name="Normal 111 3 3 3 2" xfId="16461" xr:uid="{00000000-0005-0000-0000-00008E1D0000}"/>
    <cellStyle name="Normal 111 3 3 3 2 2" xfId="33035" xr:uid="{00000000-0005-0000-0000-00008F1D0000}"/>
    <cellStyle name="Normal 111 3 3 3 3" xfId="24988" xr:uid="{00000000-0005-0000-0000-0000901D0000}"/>
    <cellStyle name="Normal 111 3 3 4" xfId="12550" xr:uid="{00000000-0005-0000-0000-0000911D0000}"/>
    <cellStyle name="Normal 111 3 3 4 2" xfId="29075" xr:uid="{00000000-0005-0000-0000-0000921D0000}"/>
    <cellStyle name="Normal 111 3 3 5" xfId="21032" xr:uid="{00000000-0005-0000-0000-0000931D0000}"/>
    <cellStyle name="Normal 111 3 4" xfId="2869" xr:uid="{00000000-0005-0000-0000-0000941D0000}"/>
    <cellStyle name="Normal 111 3 4 2" xfId="7099" xr:uid="{00000000-0005-0000-0000-0000951D0000}"/>
    <cellStyle name="Normal 111 3 4 2 2" xfId="16462" xr:uid="{00000000-0005-0000-0000-0000961D0000}"/>
    <cellStyle name="Normal 111 3 4 2 2 2" xfId="33036" xr:uid="{00000000-0005-0000-0000-0000971D0000}"/>
    <cellStyle name="Normal 111 3 4 2 3" xfId="24989" xr:uid="{00000000-0005-0000-0000-0000981D0000}"/>
    <cellStyle name="Normal 111 3 4 3" xfId="12552" xr:uid="{00000000-0005-0000-0000-0000991D0000}"/>
    <cellStyle name="Normal 111 3 4 3 2" xfId="29077" xr:uid="{00000000-0005-0000-0000-00009A1D0000}"/>
    <cellStyle name="Normal 111 3 4 4" xfId="21034" xr:uid="{00000000-0005-0000-0000-00009B1D0000}"/>
    <cellStyle name="Normal 111 3 5" xfId="2870" xr:uid="{00000000-0005-0000-0000-00009C1D0000}"/>
    <cellStyle name="Normal 111 3 5 2" xfId="12553" xr:uid="{00000000-0005-0000-0000-00009D1D0000}"/>
    <cellStyle name="Normal 111 3 5 2 2" xfId="29078" xr:uid="{00000000-0005-0000-0000-00009E1D0000}"/>
    <cellStyle name="Normal 111 3 5 3" xfId="21035" xr:uid="{00000000-0005-0000-0000-00009F1D0000}"/>
    <cellStyle name="Normal 111 4" xfId="2871" xr:uid="{00000000-0005-0000-0000-0000A01D0000}"/>
    <cellStyle name="Normal 111 4 2" xfId="2872" xr:uid="{00000000-0005-0000-0000-0000A11D0000}"/>
    <cellStyle name="Normal 111 4 2 2" xfId="2873" xr:uid="{00000000-0005-0000-0000-0000A21D0000}"/>
    <cellStyle name="Normal 111 4 2 2 2" xfId="2874" xr:uid="{00000000-0005-0000-0000-0000A31D0000}"/>
    <cellStyle name="Normal 111 4 2 2 2 2" xfId="7100" xr:uid="{00000000-0005-0000-0000-0000A41D0000}"/>
    <cellStyle name="Normal 111 4 2 2 2 2 2" xfId="16463" xr:uid="{00000000-0005-0000-0000-0000A51D0000}"/>
    <cellStyle name="Normal 111 4 2 2 2 2 2 2" xfId="33037" xr:uid="{00000000-0005-0000-0000-0000A61D0000}"/>
    <cellStyle name="Normal 111 4 2 2 2 2 3" xfId="24990" xr:uid="{00000000-0005-0000-0000-0000A71D0000}"/>
    <cellStyle name="Normal 111 4 2 2 2 3" xfId="12557" xr:uid="{00000000-0005-0000-0000-0000A81D0000}"/>
    <cellStyle name="Normal 111 4 2 2 2 3 2" xfId="29082" xr:uid="{00000000-0005-0000-0000-0000A91D0000}"/>
    <cellStyle name="Normal 111 4 2 2 2 4" xfId="21039" xr:uid="{00000000-0005-0000-0000-0000AA1D0000}"/>
    <cellStyle name="Normal 111 4 2 2 3" xfId="7101" xr:uid="{00000000-0005-0000-0000-0000AB1D0000}"/>
    <cellStyle name="Normal 111 4 2 2 3 2" xfId="16464" xr:uid="{00000000-0005-0000-0000-0000AC1D0000}"/>
    <cellStyle name="Normal 111 4 2 2 3 2 2" xfId="33038" xr:uid="{00000000-0005-0000-0000-0000AD1D0000}"/>
    <cellStyle name="Normal 111 4 2 2 3 3" xfId="24991" xr:uid="{00000000-0005-0000-0000-0000AE1D0000}"/>
    <cellStyle name="Normal 111 4 2 2 4" xfId="12556" xr:uid="{00000000-0005-0000-0000-0000AF1D0000}"/>
    <cellStyle name="Normal 111 4 2 2 4 2" xfId="29081" xr:uid="{00000000-0005-0000-0000-0000B01D0000}"/>
    <cellStyle name="Normal 111 4 2 2 5" xfId="21038" xr:uid="{00000000-0005-0000-0000-0000B11D0000}"/>
    <cellStyle name="Normal 111 4 2 3" xfId="2875" xr:uid="{00000000-0005-0000-0000-0000B21D0000}"/>
    <cellStyle name="Normal 111 4 2 3 2" xfId="7102" xr:uid="{00000000-0005-0000-0000-0000B31D0000}"/>
    <cellStyle name="Normal 111 4 2 3 2 2" xfId="16465" xr:uid="{00000000-0005-0000-0000-0000B41D0000}"/>
    <cellStyle name="Normal 111 4 2 3 2 2 2" xfId="33039" xr:uid="{00000000-0005-0000-0000-0000B51D0000}"/>
    <cellStyle name="Normal 111 4 2 3 2 3" xfId="24992" xr:uid="{00000000-0005-0000-0000-0000B61D0000}"/>
    <cellStyle name="Normal 111 4 2 3 3" xfId="12558" xr:uid="{00000000-0005-0000-0000-0000B71D0000}"/>
    <cellStyle name="Normal 111 4 2 3 3 2" xfId="29083" xr:uid="{00000000-0005-0000-0000-0000B81D0000}"/>
    <cellStyle name="Normal 111 4 2 3 4" xfId="21040" xr:uid="{00000000-0005-0000-0000-0000B91D0000}"/>
    <cellStyle name="Normal 111 4 2 4" xfId="7103" xr:uid="{00000000-0005-0000-0000-0000BA1D0000}"/>
    <cellStyle name="Normal 111 4 2 4 2" xfId="16466" xr:uid="{00000000-0005-0000-0000-0000BB1D0000}"/>
    <cellStyle name="Normal 111 4 2 4 2 2" xfId="33040" xr:uid="{00000000-0005-0000-0000-0000BC1D0000}"/>
    <cellStyle name="Normal 111 4 2 4 3" xfId="24993" xr:uid="{00000000-0005-0000-0000-0000BD1D0000}"/>
    <cellStyle name="Normal 111 4 2 5" xfId="12555" xr:uid="{00000000-0005-0000-0000-0000BE1D0000}"/>
    <cellStyle name="Normal 111 4 2 5 2" xfId="29080" xr:uid="{00000000-0005-0000-0000-0000BF1D0000}"/>
    <cellStyle name="Normal 111 4 2 6" xfId="21037" xr:uid="{00000000-0005-0000-0000-0000C01D0000}"/>
    <cellStyle name="Normal 111 4 3" xfId="2876" xr:uid="{00000000-0005-0000-0000-0000C11D0000}"/>
    <cellStyle name="Normal 111 4 3 2" xfId="2877" xr:uid="{00000000-0005-0000-0000-0000C21D0000}"/>
    <cellStyle name="Normal 111 4 3 2 2" xfId="7104" xr:uid="{00000000-0005-0000-0000-0000C31D0000}"/>
    <cellStyle name="Normal 111 4 3 2 2 2" xfId="16467" xr:uid="{00000000-0005-0000-0000-0000C41D0000}"/>
    <cellStyle name="Normal 111 4 3 2 2 2 2" xfId="33041" xr:uid="{00000000-0005-0000-0000-0000C51D0000}"/>
    <cellStyle name="Normal 111 4 3 2 2 3" xfId="24994" xr:uid="{00000000-0005-0000-0000-0000C61D0000}"/>
    <cellStyle name="Normal 111 4 3 2 3" xfId="12560" xr:uid="{00000000-0005-0000-0000-0000C71D0000}"/>
    <cellStyle name="Normal 111 4 3 2 3 2" xfId="29085" xr:uid="{00000000-0005-0000-0000-0000C81D0000}"/>
    <cellStyle name="Normal 111 4 3 2 4" xfId="21042" xr:uid="{00000000-0005-0000-0000-0000C91D0000}"/>
    <cellStyle name="Normal 111 4 3 3" xfId="7105" xr:uid="{00000000-0005-0000-0000-0000CA1D0000}"/>
    <cellStyle name="Normal 111 4 3 3 2" xfId="16468" xr:uid="{00000000-0005-0000-0000-0000CB1D0000}"/>
    <cellStyle name="Normal 111 4 3 3 2 2" xfId="33042" xr:uid="{00000000-0005-0000-0000-0000CC1D0000}"/>
    <cellStyle name="Normal 111 4 3 3 3" xfId="24995" xr:uid="{00000000-0005-0000-0000-0000CD1D0000}"/>
    <cellStyle name="Normal 111 4 3 4" xfId="12559" xr:uid="{00000000-0005-0000-0000-0000CE1D0000}"/>
    <cellStyle name="Normal 111 4 3 4 2" xfId="29084" xr:uid="{00000000-0005-0000-0000-0000CF1D0000}"/>
    <cellStyle name="Normal 111 4 3 5" xfId="21041" xr:uid="{00000000-0005-0000-0000-0000D01D0000}"/>
    <cellStyle name="Normal 111 4 4" xfId="2878" xr:uid="{00000000-0005-0000-0000-0000D11D0000}"/>
    <cellStyle name="Normal 111 4 4 2" xfId="7106" xr:uid="{00000000-0005-0000-0000-0000D21D0000}"/>
    <cellStyle name="Normal 111 4 4 2 2" xfId="16469" xr:uid="{00000000-0005-0000-0000-0000D31D0000}"/>
    <cellStyle name="Normal 111 4 4 2 2 2" xfId="33043" xr:uid="{00000000-0005-0000-0000-0000D41D0000}"/>
    <cellStyle name="Normal 111 4 4 2 3" xfId="24996" xr:uid="{00000000-0005-0000-0000-0000D51D0000}"/>
    <cellStyle name="Normal 111 4 4 3" xfId="12561" xr:uid="{00000000-0005-0000-0000-0000D61D0000}"/>
    <cellStyle name="Normal 111 4 4 3 2" xfId="29086" xr:uid="{00000000-0005-0000-0000-0000D71D0000}"/>
    <cellStyle name="Normal 111 4 4 4" xfId="21043" xr:uid="{00000000-0005-0000-0000-0000D81D0000}"/>
    <cellStyle name="Normal 111 4 5" xfId="7107" xr:uid="{00000000-0005-0000-0000-0000D91D0000}"/>
    <cellStyle name="Normal 111 4 5 2" xfId="16470" xr:uid="{00000000-0005-0000-0000-0000DA1D0000}"/>
    <cellStyle name="Normal 111 4 5 2 2" xfId="33044" xr:uid="{00000000-0005-0000-0000-0000DB1D0000}"/>
    <cellStyle name="Normal 111 4 5 3" xfId="24997" xr:uid="{00000000-0005-0000-0000-0000DC1D0000}"/>
    <cellStyle name="Normal 111 4 6" xfId="12554" xr:uid="{00000000-0005-0000-0000-0000DD1D0000}"/>
    <cellStyle name="Normal 111 4 6 2" xfId="29079" xr:uid="{00000000-0005-0000-0000-0000DE1D0000}"/>
    <cellStyle name="Normal 111 4 7" xfId="21036" xr:uid="{00000000-0005-0000-0000-0000DF1D0000}"/>
    <cellStyle name="Normal 111 5" xfId="2879" xr:uid="{00000000-0005-0000-0000-0000E01D0000}"/>
    <cellStyle name="Normal 111 5 2" xfId="2880" xr:uid="{00000000-0005-0000-0000-0000E11D0000}"/>
    <cellStyle name="Normal 111 5 2 2" xfId="2881" xr:uid="{00000000-0005-0000-0000-0000E21D0000}"/>
    <cellStyle name="Normal 111 5 2 2 2" xfId="2882" xr:uid="{00000000-0005-0000-0000-0000E31D0000}"/>
    <cellStyle name="Normal 111 5 2 2 2 2" xfId="7108" xr:uid="{00000000-0005-0000-0000-0000E41D0000}"/>
    <cellStyle name="Normal 111 5 2 2 2 2 2" xfId="16471" xr:uid="{00000000-0005-0000-0000-0000E51D0000}"/>
    <cellStyle name="Normal 111 5 2 2 2 2 2 2" xfId="33045" xr:uid="{00000000-0005-0000-0000-0000E61D0000}"/>
    <cellStyle name="Normal 111 5 2 2 2 2 3" xfId="24998" xr:uid="{00000000-0005-0000-0000-0000E71D0000}"/>
    <cellStyle name="Normal 111 5 2 2 2 3" xfId="12565" xr:uid="{00000000-0005-0000-0000-0000E81D0000}"/>
    <cellStyle name="Normal 111 5 2 2 2 3 2" xfId="29090" xr:uid="{00000000-0005-0000-0000-0000E91D0000}"/>
    <cellStyle name="Normal 111 5 2 2 2 4" xfId="21047" xr:uid="{00000000-0005-0000-0000-0000EA1D0000}"/>
    <cellStyle name="Normal 111 5 2 2 3" xfId="7109" xr:uid="{00000000-0005-0000-0000-0000EB1D0000}"/>
    <cellStyle name="Normal 111 5 2 2 3 2" xfId="16472" xr:uid="{00000000-0005-0000-0000-0000EC1D0000}"/>
    <cellStyle name="Normal 111 5 2 2 3 2 2" xfId="33046" xr:uid="{00000000-0005-0000-0000-0000ED1D0000}"/>
    <cellStyle name="Normal 111 5 2 2 3 3" xfId="24999" xr:uid="{00000000-0005-0000-0000-0000EE1D0000}"/>
    <cellStyle name="Normal 111 5 2 2 4" xfId="12564" xr:uid="{00000000-0005-0000-0000-0000EF1D0000}"/>
    <cellStyle name="Normal 111 5 2 2 4 2" xfId="29089" xr:uid="{00000000-0005-0000-0000-0000F01D0000}"/>
    <cellStyle name="Normal 111 5 2 2 5" xfId="21046" xr:uid="{00000000-0005-0000-0000-0000F11D0000}"/>
    <cellStyle name="Normal 111 5 2 3" xfId="2883" xr:uid="{00000000-0005-0000-0000-0000F21D0000}"/>
    <cellStyle name="Normal 111 5 2 3 2" xfId="7110" xr:uid="{00000000-0005-0000-0000-0000F31D0000}"/>
    <cellStyle name="Normal 111 5 2 3 2 2" xfId="16473" xr:uid="{00000000-0005-0000-0000-0000F41D0000}"/>
    <cellStyle name="Normal 111 5 2 3 2 2 2" xfId="33047" xr:uid="{00000000-0005-0000-0000-0000F51D0000}"/>
    <cellStyle name="Normal 111 5 2 3 2 3" xfId="25000" xr:uid="{00000000-0005-0000-0000-0000F61D0000}"/>
    <cellStyle name="Normal 111 5 2 3 3" xfId="12566" xr:uid="{00000000-0005-0000-0000-0000F71D0000}"/>
    <cellStyle name="Normal 111 5 2 3 3 2" xfId="29091" xr:uid="{00000000-0005-0000-0000-0000F81D0000}"/>
    <cellStyle name="Normal 111 5 2 3 4" xfId="21048" xr:uid="{00000000-0005-0000-0000-0000F91D0000}"/>
    <cellStyle name="Normal 111 5 2 4" xfId="7111" xr:uid="{00000000-0005-0000-0000-0000FA1D0000}"/>
    <cellStyle name="Normal 111 5 2 4 2" xfId="16474" xr:uid="{00000000-0005-0000-0000-0000FB1D0000}"/>
    <cellStyle name="Normal 111 5 2 4 2 2" xfId="33048" xr:uid="{00000000-0005-0000-0000-0000FC1D0000}"/>
    <cellStyle name="Normal 111 5 2 4 3" xfId="25001" xr:uid="{00000000-0005-0000-0000-0000FD1D0000}"/>
    <cellStyle name="Normal 111 5 2 5" xfId="12563" xr:uid="{00000000-0005-0000-0000-0000FE1D0000}"/>
    <cellStyle name="Normal 111 5 2 5 2" xfId="29088" xr:uid="{00000000-0005-0000-0000-0000FF1D0000}"/>
    <cellStyle name="Normal 111 5 2 6" xfId="21045" xr:uid="{00000000-0005-0000-0000-0000001E0000}"/>
    <cellStyle name="Normal 111 5 3" xfId="2884" xr:uid="{00000000-0005-0000-0000-0000011E0000}"/>
    <cellStyle name="Normal 111 5 3 2" xfId="2885" xr:uid="{00000000-0005-0000-0000-0000021E0000}"/>
    <cellStyle name="Normal 111 5 3 2 2" xfId="7112" xr:uid="{00000000-0005-0000-0000-0000031E0000}"/>
    <cellStyle name="Normal 111 5 3 2 2 2" xfId="16475" xr:uid="{00000000-0005-0000-0000-0000041E0000}"/>
    <cellStyle name="Normal 111 5 3 2 2 2 2" xfId="33049" xr:uid="{00000000-0005-0000-0000-0000051E0000}"/>
    <cellStyle name="Normal 111 5 3 2 2 3" xfId="25002" xr:uid="{00000000-0005-0000-0000-0000061E0000}"/>
    <cellStyle name="Normal 111 5 3 2 3" xfId="12568" xr:uid="{00000000-0005-0000-0000-0000071E0000}"/>
    <cellStyle name="Normal 111 5 3 2 3 2" xfId="29093" xr:uid="{00000000-0005-0000-0000-0000081E0000}"/>
    <cellStyle name="Normal 111 5 3 2 4" xfId="21050" xr:uid="{00000000-0005-0000-0000-0000091E0000}"/>
    <cellStyle name="Normal 111 5 3 3" xfId="7113" xr:uid="{00000000-0005-0000-0000-00000A1E0000}"/>
    <cellStyle name="Normal 111 5 3 3 2" xfId="16476" xr:uid="{00000000-0005-0000-0000-00000B1E0000}"/>
    <cellStyle name="Normal 111 5 3 3 2 2" xfId="33050" xr:uid="{00000000-0005-0000-0000-00000C1E0000}"/>
    <cellStyle name="Normal 111 5 3 3 3" xfId="25003" xr:uid="{00000000-0005-0000-0000-00000D1E0000}"/>
    <cellStyle name="Normal 111 5 3 4" xfId="12567" xr:uid="{00000000-0005-0000-0000-00000E1E0000}"/>
    <cellStyle name="Normal 111 5 3 4 2" xfId="29092" xr:uid="{00000000-0005-0000-0000-00000F1E0000}"/>
    <cellStyle name="Normal 111 5 3 5" xfId="21049" xr:uid="{00000000-0005-0000-0000-0000101E0000}"/>
    <cellStyle name="Normal 111 5 4" xfId="2886" xr:uid="{00000000-0005-0000-0000-0000111E0000}"/>
    <cellStyle name="Normal 111 5 4 2" xfId="7114" xr:uid="{00000000-0005-0000-0000-0000121E0000}"/>
    <cellStyle name="Normal 111 5 4 2 2" xfId="16477" xr:uid="{00000000-0005-0000-0000-0000131E0000}"/>
    <cellStyle name="Normal 111 5 4 2 2 2" xfId="33051" xr:uid="{00000000-0005-0000-0000-0000141E0000}"/>
    <cellStyle name="Normal 111 5 4 2 3" xfId="25004" xr:uid="{00000000-0005-0000-0000-0000151E0000}"/>
    <cellStyle name="Normal 111 5 4 3" xfId="12569" xr:uid="{00000000-0005-0000-0000-0000161E0000}"/>
    <cellStyle name="Normal 111 5 4 3 2" xfId="29094" xr:uid="{00000000-0005-0000-0000-0000171E0000}"/>
    <cellStyle name="Normal 111 5 4 4" xfId="21051" xr:uid="{00000000-0005-0000-0000-0000181E0000}"/>
    <cellStyle name="Normal 111 5 5" xfId="7115" xr:uid="{00000000-0005-0000-0000-0000191E0000}"/>
    <cellStyle name="Normal 111 5 5 2" xfId="16478" xr:uid="{00000000-0005-0000-0000-00001A1E0000}"/>
    <cellStyle name="Normal 111 5 5 2 2" xfId="33052" xr:uid="{00000000-0005-0000-0000-00001B1E0000}"/>
    <cellStyle name="Normal 111 5 5 3" xfId="25005" xr:uid="{00000000-0005-0000-0000-00001C1E0000}"/>
    <cellStyle name="Normal 111 5 6" xfId="12562" xr:uid="{00000000-0005-0000-0000-00001D1E0000}"/>
    <cellStyle name="Normal 111 5 6 2" xfId="29087" xr:uid="{00000000-0005-0000-0000-00001E1E0000}"/>
    <cellStyle name="Normal 111 5 7" xfId="21044" xr:uid="{00000000-0005-0000-0000-00001F1E0000}"/>
    <cellStyle name="Normal 111 6" xfId="2887" xr:uid="{00000000-0005-0000-0000-0000201E0000}"/>
    <cellStyle name="Normal 111 6 2" xfId="2888" xr:uid="{00000000-0005-0000-0000-0000211E0000}"/>
    <cellStyle name="Normal 111 6 2 2" xfId="2889" xr:uid="{00000000-0005-0000-0000-0000221E0000}"/>
    <cellStyle name="Normal 111 6 2 2 2" xfId="7116" xr:uid="{00000000-0005-0000-0000-0000231E0000}"/>
    <cellStyle name="Normal 111 6 2 2 2 2" xfId="16479" xr:uid="{00000000-0005-0000-0000-0000241E0000}"/>
    <cellStyle name="Normal 111 6 2 2 2 2 2" xfId="33053" xr:uid="{00000000-0005-0000-0000-0000251E0000}"/>
    <cellStyle name="Normal 111 6 2 2 2 3" xfId="25006" xr:uid="{00000000-0005-0000-0000-0000261E0000}"/>
    <cellStyle name="Normal 111 6 2 2 3" xfId="12572" xr:uid="{00000000-0005-0000-0000-0000271E0000}"/>
    <cellStyle name="Normal 111 6 2 2 3 2" xfId="29097" xr:uid="{00000000-0005-0000-0000-0000281E0000}"/>
    <cellStyle name="Normal 111 6 2 2 4" xfId="21054" xr:uid="{00000000-0005-0000-0000-0000291E0000}"/>
    <cellStyle name="Normal 111 6 2 3" xfId="7117" xr:uid="{00000000-0005-0000-0000-00002A1E0000}"/>
    <cellStyle name="Normal 111 6 2 3 2" xfId="16480" xr:uid="{00000000-0005-0000-0000-00002B1E0000}"/>
    <cellStyle name="Normal 111 6 2 3 2 2" xfId="33054" xr:uid="{00000000-0005-0000-0000-00002C1E0000}"/>
    <cellStyle name="Normal 111 6 2 3 3" xfId="25007" xr:uid="{00000000-0005-0000-0000-00002D1E0000}"/>
    <cellStyle name="Normal 111 6 2 4" xfId="12571" xr:uid="{00000000-0005-0000-0000-00002E1E0000}"/>
    <cellStyle name="Normal 111 6 2 4 2" xfId="29096" xr:uid="{00000000-0005-0000-0000-00002F1E0000}"/>
    <cellStyle name="Normal 111 6 2 5" xfId="21053" xr:uid="{00000000-0005-0000-0000-0000301E0000}"/>
    <cellStyle name="Normal 111 6 3" xfId="2890" xr:uid="{00000000-0005-0000-0000-0000311E0000}"/>
    <cellStyle name="Normal 111 6 3 2" xfId="7118" xr:uid="{00000000-0005-0000-0000-0000321E0000}"/>
    <cellStyle name="Normal 111 6 3 2 2" xfId="16481" xr:uid="{00000000-0005-0000-0000-0000331E0000}"/>
    <cellStyle name="Normal 111 6 3 2 2 2" xfId="33055" xr:uid="{00000000-0005-0000-0000-0000341E0000}"/>
    <cellStyle name="Normal 111 6 3 2 3" xfId="25008" xr:uid="{00000000-0005-0000-0000-0000351E0000}"/>
    <cellStyle name="Normal 111 6 3 3" xfId="12573" xr:uid="{00000000-0005-0000-0000-0000361E0000}"/>
    <cellStyle name="Normal 111 6 3 3 2" xfId="29098" xr:uid="{00000000-0005-0000-0000-0000371E0000}"/>
    <cellStyle name="Normal 111 6 3 4" xfId="21055" xr:uid="{00000000-0005-0000-0000-0000381E0000}"/>
    <cellStyle name="Normal 111 6 4" xfId="7119" xr:uid="{00000000-0005-0000-0000-0000391E0000}"/>
    <cellStyle name="Normal 111 6 4 2" xfId="16482" xr:uid="{00000000-0005-0000-0000-00003A1E0000}"/>
    <cellStyle name="Normal 111 6 4 2 2" xfId="33056" xr:uid="{00000000-0005-0000-0000-00003B1E0000}"/>
    <cellStyle name="Normal 111 6 4 3" xfId="25009" xr:uid="{00000000-0005-0000-0000-00003C1E0000}"/>
    <cellStyle name="Normal 111 6 5" xfId="12570" xr:uid="{00000000-0005-0000-0000-00003D1E0000}"/>
    <cellStyle name="Normal 111 6 5 2" xfId="29095" xr:uid="{00000000-0005-0000-0000-00003E1E0000}"/>
    <cellStyle name="Normal 111 6 6" xfId="21052" xr:uid="{00000000-0005-0000-0000-00003F1E0000}"/>
    <cellStyle name="Normal 111 7" xfId="2891" xr:uid="{00000000-0005-0000-0000-0000401E0000}"/>
    <cellStyle name="Normal 111 7 2" xfId="2892" xr:uid="{00000000-0005-0000-0000-0000411E0000}"/>
    <cellStyle name="Normal 111 7 2 2" xfId="7120" xr:uid="{00000000-0005-0000-0000-0000421E0000}"/>
    <cellStyle name="Normal 111 7 2 2 2" xfId="16483" xr:uid="{00000000-0005-0000-0000-0000431E0000}"/>
    <cellStyle name="Normal 111 7 2 2 2 2" xfId="33057" xr:uid="{00000000-0005-0000-0000-0000441E0000}"/>
    <cellStyle name="Normal 111 7 2 2 3" xfId="25010" xr:uid="{00000000-0005-0000-0000-0000451E0000}"/>
    <cellStyle name="Normal 111 7 2 3" xfId="12575" xr:uid="{00000000-0005-0000-0000-0000461E0000}"/>
    <cellStyle name="Normal 111 7 2 3 2" xfId="29100" xr:uid="{00000000-0005-0000-0000-0000471E0000}"/>
    <cellStyle name="Normal 111 7 2 4" xfId="21057" xr:uid="{00000000-0005-0000-0000-0000481E0000}"/>
    <cellStyle name="Normal 111 7 3" xfId="7121" xr:uid="{00000000-0005-0000-0000-0000491E0000}"/>
    <cellStyle name="Normal 111 7 3 2" xfId="16484" xr:uid="{00000000-0005-0000-0000-00004A1E0000}"/>
    <cellStyle name="Normal 111 7 3 2 2" xfId="33058" xr:uid="{00000000-0005-0000-0000-00004B1E0000}"/>
    <cellStyle name="Normal 111 7 3 3" xfId="25011" xr:uid="{00000000-0005-0000-0000-00004C1E0000}"/>
    <cellStyle name="Normal 111 7 4" xfId="12574" xr:uid="{00000000-0005-0000-0000-00004D1E0000}"/>
    <cellStyle name="Normal 111 7 4 2" xfId="29099" xr:uid="{00000000-0005-0000-0000-00004E1E0000}"/>
    <cellStyle name="Normal 111 7 5" xfId="21056" xr:uid="{00000000-0005-0000-0000-00004F1E0000}"/>
    <cellStyle name="Normal 111 8" xfId="2893" xr:uid="{00000000-0005-0000-0000-0000501E0000}"/>
    <cellStyle name="Normal 111 8 2" xfId="7122" xr:uid="{00000000-0005-0000-0000-0000511E0000}"/>
    <cellStyle name="Normal 111 8 2 2" xfId="16485" xr:uid="{00000000-0005-0000-0000-0000521E0000}"/>
    <cellStyle name="Normal 111 8 2 2 2" xfId="33059" xr:uid="{00000000-0005-0000-0000-0000531E0000}"/>
    <cellStyle name="Normal 111 8 2 3" xfId="25012" xr:uid="{00000000-0005-0000-0000-0000541E0000}"/>
    <cellStyle name="Normal 111 8 3" xfId="12576" xr:uid="{00000000-0005-0000-0000-0000551E0000}"/>
    <cellStyle name="Normal 111 8 3 2" xfId="29101" xr:uid="{00000000-0005-0000-0000-0000561E0000}"/>
    <cellStyle name="Normal 111 8 4" xfId="21058" xr:uid="{00000000-0005-0000-0000-0000571E0000}"/>
    <cellStyle name="Normal 111 9" xfId="7123" xr:uid="{00000000-0005-0000-0000-0000581E0000}"/>
    <cellStyle name="Normal 111 9 2" xfId="16486" xr:uid="{00000000-0005-0000-0000-0000591E0000}"/>
    <cellStyle name="Normal 111 9 2 2" xfId="33060" xr:uid="{00000000-0005-0000-0000-00005A1E0000}"/>
    <cellStyle name="Normal 111 9 3" xfId="25013" xr:uid="{00000000-0005-0000-0000-00005B1E0000}"/>
    <cellStyle name="Normal 112" xfId="2894" xr:uid="{00000000-0005-0000-0000-00005C1E0000}"/>
    <cellStyle name="Normal 112 10" xfId="12577" xr:uid="{00000000-0005-0000-0000-00005D1E0000}"/>
    <cellStyle name="Normal 112 10 2" xfId="29102" xr:uid="{00000000-0005-0000-0000-00005E1E0000}"/>
    <cellStyle name="Normal 112 11" xfId="21059" xr:uid="{00000000-0005-0000-0000-00005F1E0000}"/>
    <cellStyle name="Normal 112 2" xfId="2895" xr:uid="{00000000-0005-0000-0000-0000601E0000}"/>
    <cellStyle name="Normal 112 2 2" xfId="2896" xr:uid="{00000000-0005-0000-0000-0000611E0000}"/>
    <cellStyle name="Normal 112 2 3" xfId="12578" xr:uid="{00000000-0005-0000-0000-0000621E0000}"/>
    <cellStyle name="Normal 112 2 3 2" xfId="29103" xr:uid="{00000000-0005-0000-0000-0000631E0000}"/>
    <cellStyle name="Normal 112 2 4" xfId="21060" xr:uid="{00000000-0005-0000-0000-0000641E0000}"/>
    <cellStyle name="Normal 112 3" xfId="2897" xr:uid="{00000000-0005-0000-0000-0000651E0000}"/>
    <cellStyle name="Normal 112 3 2" xfId="2898" xr:uid="{00000000-0005-0000-0000-0000661E0000}"/>
    <cellStyle name="Normal 112 3 2 2" xfId="2899" xr:uid="{00000000-0005-0000-0000-0000671E0000}"/>
    <cellStyle name="Normal 112 3 2 2 2" xfId="2900" xr:uid="{00000000-0005-0000-0000-0000681E0000}"/>
    <cellStyle name="Normal 112 3 2 2 2 2" xfId="7124" xr:uid="{00000000-0005-0000-0000-0000691E0000}"/>
    <cellStyle name="Normal 112 3 2 2 2 2 2" xfId="16487" xr:uid="{00000000-0005-0000-0000-00006A1E0000}"/>
    <cellStyle name="Normal 112 3 2 2 2 2 2 2" xfId="33061" xr:uid="{00000000-0005-0000-0000-00006B1E0000}"/>
    <cellStyle name="Normal 112 3 2 2 2 2 3" xfId="25014" xr:uid="{00000000-0005-0000-0000-00006C1E0000}"/>
    <cellStyle name="Normal 112 3 2 2 2 3" xfId="12581" xr:uid="{00000000-0005-0000-0000-00006D1E0000}"/>
    <cellStyle name="Normal 112 3 2 2 2 3 2" xfId="29106" xr:uid="{00000000-0005-0000-0000-00006E1E0000}"/>
    <cellStyle name="Normal 112 3 2 2 2 4" xfId="21063" xr:uid="{00000000-0005-0000-0000-00006F1E0000}"/>
    <cellStyle name="Normal 112 3 2 2 3" xfId="7125" xr:uid="{00000000-0005-0000-0000-0000701E0000}"/>
    <cellStyle name="Normal 112 3 2 2 3 2" xfId="16488" xr:uid="{00000000-0005-0000-0000-0000711E0000}"/>
    <cellStyle name="Normal 112 3 2 2 3 2 2" xfId="33062" xr:uid="{00000000-0005-0000-0000-0000721E0000}"/>
    <cellStyle name="Normal 112 3 2 2 3 3" xfId="25015" xr:uid="{00000000-0005-0000-0000-0000731E0000}"/>
    <cellStyle name="Normal 112 3 2 2 4" xfId="12580" xr:uid="{00000000-0005-0000-0000-0000741E0000}"/>
    <cellStyle name="Normal 112 3 2 2 4 2" xfId="29105" xr:uid="{00000000-0005-0000-0000-0000751E0000}"/>
    <cellStyle name="Normal 112 3 2 2 5" xfId="21062" xr:uid="{00000000-0005-0000-0000-0000761E0000}"/>
    <cellStyle name="Normal 112 3 2 3" xfId="2901" xr:uid="{00000000-0005-0000-0000-0000771E0000}"/>
    <cellStyle name="Normal 112 3 2 3 2" xfId="7126" xr:uid="{00000000-0005-0000-0000-0000781E0000}"/>
    <cellStyle name="Normal 112 3 2 3 2 2" xfId="16489" xr:uid="{00000000-0005-0000-0000-0000791E0000}"/>
    <cellStyle name="Normal 112 3 2 3 2 2 2" xfId="33063" xr:uid="{00000000-0005-0000-0000-00007A1E0000}"/>
    <cellStyle name="Normal 112 3 2 3 2 3" xfId="25016" xr:uid="{00000000-0005-0000-0000-00007B1E0000}"/>
    <cellStyle name="Normal 112 3 2 3 3" xfId="12582" xr:uid="{00000000-0005-0000-0000-00007C1E0000}"/>
    <cellStyle name="Normal 112 3 2 3 3 2" xfId="29107" xr:uid="{00000000-0005-0000-0000-00007D1E0000}"/>
    <cellStyle name="Normal 112 3 2 3 4" xfId="21064" xr:uid="{00000000-0005-0000-0000-00007E1E0000}"/>
    <cellStyle name="Normal 112 3 2 4" xfId="7127" xr:uid="{00000000-0005-0000-0000-00007F1E0000}"/>
    <cellStyle name="Normal 112 3 2 4 2" xfId="16490" xr:uid="{00000000-0005-0000-0000-0000801E0000}"/>
    <cellStyle name="Normal 112 3 2 4 2 2" xfId="33064" xr:uid="{00000000-0005-0000-0000-0000811E0000}"/>
    <cellStyle name="Normal 112 3 2 4 3" xfId="25017" xr:uid="{00000000-0005-0000-0000-0000821E0000}"/>
    <cellStyle name="Normal 112 3 2 5" xfId="12579" xr:uid="{00000000-0005-0000-0000-0000831E0000}"/>
    <cellStyle name="Normal 112 3 2 5 2" xfId="29104" xr:uid="{00000000-0005-0000-0000-0000841E0000}"/>
    <cellStyle name="Normal 112 3 2 6" xfId="21061" xr:uid="{00000000-0005-0000-0000-0000851E0000}"/>
    <cellStyle name="Normal 112 3 3" xfId="2902" xr:uid="{00000000-0005-0000-0000-0000861E0000}"/>
    <cellStyle name="Normal 112 3 3 2" xfId="2903" xr:uid="{00000000-0005-0000-0000-0000871E0000}"/>
    <cellStyle name="Normal 112 3 3 2 2" xfId="7128" xr:uid="{00000000-0005-0000-0000-0000881E0000}"/>
    <cellStyle name="Normal 112 3 3 2 2 2" xfId="16491" xr:uid="{00000000-0005-0000-0000-0000891E0000}"/>
    <cellStyle name="Normal 112 3 3 2 2 2 2" xfId="33065" xr:uid="{00000000-0005-0000-0000-00008A1E0000}"/>
    <cellStyle name="Normal 112 3 3 2 2 3" xfId="25018" xr:uid="{00000000-0005-0000-0000-00008B1E0000}"/>
    <cellStyle name="Normal 112 3 3 2 3" xfId="12584" xr:uid="{00000000-0005-0000-0000-00008C1E0000}"/>
    <cellStyle name="Normal 112 3 3 2 3 2" xfId="29109" xr:uid="{00000000-0005-0000-0000-00008D1E0000}"/>
    <cellStyle name="Normal 112 3 3 2 4" xfId="21066" xr:uid="{00000000-0005-0000-0000-00008E1E0000}"/>
    <cellStyle name="Normal 112 3 3 3" xfId="7129" xr:uid="{00000000-0005-0000-0000-00008F1E0000}"/>
    <cellStyle name="Normal 112 3 3 3 2" xfId="16492" xr:uid="{00000000-0005-0000-0000-0000901E0000}"/>
    <cellStyle name="Normal 112 3 3 3 2 2" xfId="33066" xr:uid="{00000000-0005-0000-0000-0000911E0000}"/>
    <cellStyle name="Normal 112 3 3 3 3" xfId="25019" xr:uid="{00000000-0005-0000-0000-0000921E0000}"/>
    <cellStyle name="Normal 112 3 3 4" xfId="12583" xr:uid="{00000000-0005-0000-0000-0000931E0000}"/>
    <cellStyle name="Normal 112 3 3 4 2" xfId="29108" xr:uid="{00000000-0005-0000-0000-0000941E0000}"/>
    <cellStyle name="Normal 112 3 3 5" xfId="21065" xr:uid="{00000000-0005-0000-0000-0000951E0000}"/>
    <cellStyle name="Normal 112 3 4" xfId="2904" xr:uid="{00000000-0005-0000-0000-0000961E0000}"/>
    <cellStyle name="Normal 112 3 4 2" xfId="7130" xr:uid="{00000000-0005-0000-0000-0000971E0000}"/>
    <cellStyle name="Normal 112 3 4 2 2" xfId="16493" xr:uid="{00000000-0005-0000-0000-0000981E0000}"/>
    <cellStyle name="Normal 112 3 4 2 2 2" xfId="33067" xr:uid="{00000000-0005-0000-0000-0000991E0000}"/>
    <cellStyle name="Normal 112 3 4 2 3" xfId="25020" xr:uid="{00000000-0005-0000-0000-00009A1E0000}"/>
    <cellStyle name="Normal 112 3 4 3" xfId="12585" xr:uid="{00000000-0005-0000-0000-00009B1E0000}"/>
    <cellStyle name="Normal 112 3 4 3 2" xfId="29110" xr:uid="{00000000-0005-0000-0000-00009C1E0000}"/>
    <cellStyle name="Normal 112 3 4 4" xfId="21067" xr:uid="{00000000-0005-0000-0000-00009D1E0000}"/>
    <cellStyle name="Normal 112 3 5" xfId="2905" xr:uid="{00000000-0005-0000-0000-00009E1E0000}"/>
    <cellStyle name="Normal 112 3 5 2" xfId="12586" xr:uid="{00000000-0005-0000-0000-00009F1E0000}"/>
    <cellStyle name="Normal 112 3 5 2 2" xfId="29111" xr:uid="{00000000-0005-0000-0000-0000A01E0000}"/>
    <cellStyle name="Normal 112 3 5 3" xfId="21068" xr:uid="{00000000-0005-0000-0000-0000A11E0000}"/>
    <cellStyle name="Normal 112 4" xfId="2906" xr:uid="{00000000-0005-0000-0000-0000A21E0000}"/>
    <cellStyle name="Normal 112 4 2" xfId="2907" xr:uid="{00000000-0005-0000-0000-0000A31E0000}"/>
    <cellStyle name="Normal 112 4 2 2" xfId="2908" xr:uid="{00000000-0005-0000-0000-0000A41E0000}"/>
    <cellStyle name="Normal 112 4 2 2 2" xfId="2909" xr:uid="{00000000-0005-0000-0000-0000A51E0000}"/>
    <cellStyle name="Normal 112 4 2 2 2 2" xfId="7131" xr:uid="{00000000-0005-0000-0000-0000A61E0000}"/>
    <cellStyle name="Normal 112 4 2 2 2 2 2" xfId="16494" xr:uid="{00000000-0005-0000-0000-0000A71E0000}"/>
    <cellStyle name="Normal 112 4 2 2 2 2 2 2" xfId="33068" xr:uid="{00000000-0005-0000-0000-0000A81E0000}"/>
    <cellStyle name="Normal 112 4 2 2 2 2 3" xfId="25021" xr:uid="{00000000-0005-0000-0000-0000A91E0000}"/>
    <cellStyle name="Normal 112 4 2 2 2 3" xfId="12590" xr:uid="{00000000-0005-0000-0000-0000AA1E0000}"/>
    <cellStyle name="Normal 112 4 2 2 2 3 2" xfId="29115" xr:uid="{00000000-0005-0000-0000-0000AB1E0000}"/>
    <cellStyle name="Normal 112 4 2 2 2 4" xfId="21072" xr:uid="{00000000-0005-0000-0000-0000AC1E0000}"/>
    <cellStyle name="Normal 112 4 2 2 3" xfId="7132" xr:uid="{00000000-0005-0000-0000-0000AD1E0000}"/>
    <cellStyle name="Normal 112 4 2 2 3 2" xfId="16495" xr:uid="{00000000-0005-0000-0000-0000AE1E0000}"/>
    <cellStyle name="Normal 112 4 2 2 3 2 2" xfId="33069" xr:uid="{00000000-0005-0000-0000-0000AF1E0000}"/>
    <cellStyle name="Normal 112 4 2 2 3 3" xfId="25022" xr:uid="{00000000-0005-0000-0000-0000B01E0000}"/>
    <cellStyle name="Normal 112 4 2 2 4" xfId="12589" xr:uid="{00000000-0005-0000-0000-0000B11E0000}"/>
    <cellStyle name="Normal 112 4 2 2 4 2" xfId="29114" xr:uid="{00000000-0005-0000-0000-0000B21E0000}"/>
    <cellStyle name="Normal 112 4 2 2 5" xfId="21071" xr:uid="{00000000-0005-0000-0000-0000B31E0000}"/>
    <cellStyle name="Normal 112 4 2 3" xfId="2910" xr:uid="{00000000-0005-0000-0000-0000B41E0000}"/>
    <cellStyle name="Normal 112 4 2 3 2" xfId="7133" xr:uid="{00000000-0005-0000-0000-0000B51E0000}"/>
    <cellStyle name="Normal 112 4 2 3 2 2" xfId="16496" xr:uid="{00000000-0005-0000-0000-0000B61E0000}"/>
    <cellStyle name="Normal 112 4 2 3 2 2 2" xfId="33070" xr:uid="{00000000-0005-0000-0000-0000B71E0000}"/>
    <cellStyle name="Normal 112 4 2 3 2 3" xfId="25023" xr:uid="{00000000-0005-0000-0000-0000B81E0000}"/>
    <cellStyle name="Normal 112 4 2 3 3" xfId="12591" xr:uid="{00000000-0005-0000-0000-0000B91E0000}"/>
    <cellStyle name="Normal 112 4 2 3 3 2" xfId="29116" xr:uid="{00000000-0005-0000-0000-0000BA1E0000}"/>
    <cellStyle name="Normal 112 4 2 3 4" xfId="21073" xr:uid="{00000000-0005-0000-0000-0000BB1E0000}"/>
    <cellStyle name="Normal 112 4 2 4" xfId="7134" xr:uid="{00000000-0005-0000-0000-0000BC1E0000}"/>
    <cellStyle name="Normal 112 4 2 4 2" xfId="16497" xr:uid="{00000000-0005-0000-0000-0000BD1E0000}"/>
    <cellStyle name="Normal 112 4 2 4 2 2" xfId="33071" xr:uid="{00000000-0005-0000-0000-0000BE1E0000}"/>
    <cellStyle name="Normal 112 4 2 4 3" xfId="25024" xr:uid="{00000000-0005-0000-0000-0000BF1E0000}"/>
    <cellStyle name="Normal 112 4 2 5" xfId="12588" xr:uid="{00000000-0005-0000-0000-0000C01E0000}"/>
    <cellStyle name="Normal 112 4 2 5 2" xfId="29113" xr:uid="{00000000-0005-0000-0000-0000C11E0000}"/>
    <cellStyle name="Normal 112 4 2 6" xfId="21070" xr:uid="{00000000-0005-0000-0000-0000C21E0000}"/>
    <cellStyle name="Normal 112 4 3" xfId="2911" xr:uid="{00000000-0005-0000-0000-0000C31E0000}"/>
    <cellStyle name="Normal 112 4 3 2" xfId="2912" xr:uid="{00000000-0005-0000-0000-0000C41E0000}"/>
    <cellStyle name="Normal 112 4 3 2 2" xfId="7135" xr:uid="{00000000-0005-0000-0000-0000C51E0000}"/>
    <cellStyle name="Normal 112 4 3 2 2 2" xfId="16498" xr:uid="{00000000-0005-0000-0000-0000C61E0000}"/>
    <cellStyle name="Normal 112 4 3 2 2 2 2" xfId="33072" xr:uid="{00000000-0005-0000-0000-0000C71E0000}"/>
    <cellStyle name="Normal 112 4 3 2 2 3" xfId="25025" xr:uid="{00000000-0005-0000-0000-0000C81E0000}"/>
    <cellStyle name="Normal 112 4 3 2 3" xfId="12593" xr:uid="{00000000-0005-0000-0000-0000C91E0000}"/>
    <cellStyle name="Normal 112 4 3 2 3 2" xfId="29118" xr:uid="{00000000-0005-0000-0000-0000CA1E0000}"/>
    <cellStyle name="Normal 112 4 3 2 4" xfId="21075" xr:uid="{00000000-0005-0000-0000-0000CB1E0000}"/>
    <cellStyle name="Normal 112 4 3 3" xfId="7136" xr:uid="{00000000-0005-0000-0000-0000CC1E0000}"/>
    <cellStyle name="Normal 112 4 3 3 2" xfId="16499" xr:uid="{00000000-0005-0000-0000-0000CD1E0000}"/>
    <cellStyle name="Normal 112 4 3 3 2 2" xfId="33073" xr:uid="{00000000-0005-0000-0000-0000CE1E0000}"/>
    <cellStyle name="Normal 112 4 3 3 3" xfId="25026" xr:uid="{00000000-0005-0000-0000-0000CF1E0000}"/>
    <cellStyle name="Normal 112 4 3 4" xfId="12592" xr:uid="{00000000-0005-0000-0000-0000D01E0000}"/>
    <cellStyle name="Normal 112 4 3 4 2" xfId="29117" xr:uid="{00000000-0005-0000-0000-0000D11E0000}"/>
    <cellStyle name="Normal 112 4 3 5" xfId="21074" xr:uid="{00000000-0005-0000-0000-0000D21E0000}"/>
    <cellStyle name="Normal 112 4 4" xfId="2913" xr:uid="{00000000-0005-0000-0000-0000D31E0000}"/>
    <cellStyle name="Normal 112 4 4 2" xfId="7137" xr:uid="{00000000-0005-0000-0000-0000D41E0000}"/>
    <cellStyle name="Normal 112 4 4 2 2" xfId="16500" xr:uid="{00000000-0005-0000-0000-0000D51E0000}"/>
    <cellStyle name="Normal 112 4 4 2 2 2" xfId="33074" xr:uid="{00000000-0005-0000-0000-0000D61E0000}"/>
    <cellStyle name="Normal 112 4 4 2 3" xfId="25027" xr:uid="{00000000-0005-0000-0000-0000D71E0000}"/>
    <cellStyle name="Normal 112 4 4 3" xfId="12594" xr:uid="{00000000-0005-0000-0000-0000D81E0000}"/>
    <cellStyle name="Normal 112 4 4 3 2" xfId="29119" xr:uid="{00000000-0005-0000-0000-0000D91E0000}"/>
    <cellStyle name="Normal 112 4 4 4" xfId="21076" xr:uid="{00000000-0005-0000-0000-0000DA1E0000}"/>
    <cellStyle name="Normal 112 4 5" xfId="7138" xr:uid="{00000000-0005-0000-0000-0000DB1E0000}"/>
    <cellStyle name="Normal 112 4 5 2" xfId="16501" xr:uid="{00000000-0005-0000-0000-0000DC1E0000}"/>
    <cellStyle name="Normal 112 4 5 2 2" xfId="33075" xr:uid="{00000000-0005-0000-0000-0000DD1E0000}"/>
    <cellStyle name="Normal 112 4 5 3" xfId="25028" xr:uid="{00000000-0005-0000-0000-0000DE1E0000}"/>
    <cellStyle name="Normal 112 4 6" xfId="12587" xr:uid="{00000000-0005-0000-0000-0000DF1E0000}"/>
    <cellStyle name="Normal 112 4 6 2" xfId="29112" xr:uid="{00000000-0005-0000-0000-0000E01E0000}"/>
    <cellStyle name="Normal 112 4 7" xfId="21069" xr:uid="{00000000-0005-0000-0000-0000E11E0000}"/>
    <cellStyle name="Normal 112 5" xfId="2914" xr:uid="{00000000-0005-0000-0000-0000E21E0000}"/>
    <cellStyle name="Normal 112 5 2" xfId="2915" xr:uid="{00000000-0005-0000-0000-0000E31E0000}"/>
    <cellStyle name="Normal 112 5 2 2" xfId="2916" xr:uid="{00000000-0005-0000-0000-0000E41E0000}"/>
    <cellStyle name="Normal 112 5 2 2 2" xfId="2917" xr:uid="{00000000-0005-0000-0000-0000E51E0000}"/>
    <cellStyle name="Normal 112 5 2 2 2 2" xfId="7139" xr:uid="{00000000-0005-0000-0000-0000E61E0000}"/>
    <cellStyle name="Normal 112 5 2 2 2 2 2" xfId="16502" xr:uid="{00000000-0005-0000-0000-0000E71E0000}"/>
    <cellStyle name="Normal 112 5 2 2 2 2 2 2" xfId="33076" xr:uid="{00000000-0005-0000-0000-0000E81E0000}"/>
    <cellStyle name="Normal 112 5 2 2 2 2 3" xfId="25029" xr:uid="{00000000-0005-0000-0000-0000E91E0000}"/>
    <cellStyle name="Normal 112 5 2 2 2 3" xfId="12598" xr:uid="{00000000-0005-0000-0000-0000EA1E0000}"/>
    <cellStyle name="Normal 112 5 2 2 2 3 2" xfId="29123" xr:uid="{00000000-0005-0000-0000-0000EB1E0000}"/>
    <cellStyle name="Normal 112 5 2 2 2 4" xfId="21080" xr:uid="{00000000-0005-0000-0000-0000EC1E0000}"/>
    <cellStyle name="Normal 112 5 2 2 3" xfId="7140" xr:uid="{00000000-0005-0000-0000-0000ED1E0000}"/>
    <cellStyle name="Normal 112 5 2 2 3 2" xfId="16503" xr:uid="{00000000-0005-0000-0000-0000EE1E0000}"/>
    <cellStyle name="Normal 112 5 2 2 3 2 2" xfId="33077" xr:uid="{00000000-0005-0000-0000-0000EF1E0000}"/>
    <cellStyle name="Normal 112 5 2 2 3 3" xfId="25030" xr:uid="{00000000-0005-0000-0000-0000F01E0000}"/>
    <cellStyle name="Normal 112 5 2 2 4" xfId="12597" xr:uid="{00000000-0005-0000-0000-0000F11E0000}"/>
    <cellStyle name="Normal 112 5 2 2 4 2" xfId="29122" xr:uid="{00000000-0005-0000-0000-0000F21E0000}"/>
    <cellStyle name="Normal 112 5 2 2 5" xfId="21079" xr:uid="{00000000-0005-0000-0000-0000F31E0000}"/>
    <cellStyle name="Normal 112 5 2 3" xfId="2918" xr:uid="{00000000-0005-0000-0000-0000F41E0000}"/>
    <cellStyle name="Normal 112 5 2 3 2" xfId="7141" xr:uid="{00000000-0005-0000-0000-0000F51E0000}"/>
    <cellStyle name="Normal 112 5 2 3 2 2" xfId="16504" xr:uid="{00000000-0005-0000-0000-0000F61E0000}"/>
    <cellStyle name="Normal 112 5 2 3 2 2 2" xfId="33078" xr:uid="{00000000-0005-0000-0000-0000F71E0000}"/>
    <cellStyle name="Normal 112 5 2 3 2 3" xfId="25031" xr:uid="{00000000-0005-0000-0000-0000F81E0000}"/>
    <cellStyle name="Normal 112 5 2 3 3" xfId="12599" xr:uid="{00000000-0005-0000-0000-0000F91E0000}"/>
    <cellStyle name="Normal 112 5 2 3 3 2" xfId="29124" xr:uid="{00000000-0005-0000-0000-0000FA1E0000}"/>
    <cellStyle name="Normal 112 5 2 3 4" xfId="21081" xr:uid="{00000000-0005-0000-0000-0000FB1E0000}"/>
    <cellStyle name="Normal 112 5 2 4" xfId="7142" xr:uid="{00000000-0005-0000-0000-0000FC1E0000}"/>
    <cellStyle name="Normal 112 5 2 4 2" xfId="16505" xr:uid="{00000000-0005-0000-0000-0000FD1E0000}"/>
    <cellStyle name="Normal 112 5 2 4 2 2" xfId="33079" xr:uid="{00000000-0005-0000-0000-0000FE1E0000}"/>
    <cellStyle name="Normal 112 5 2 4 3" xfId="25032" xr:uid="{00000000-0005-0000-0000-0000FF1E0000}"/>
    <cellStyle name="Normal 112 5 2 5" xfId="12596" xr:uid="{00000000-0005-0000-0000-0000001F0000}"/>
    <cellStyle name="Normal 112 5 2 5 2" xfId="29121" xr:uid="{00000000-0005-0000-0000-0000011F0000}"/>
    <cellStyle name="Normal 112 5 2 6" xfId="21078" xr:uid="{00000000-0005-0000-0000-0000021F0000}"/>
    <cellStyle name="Normal 112 5 3" xfId="2919" xr:uid="{00000000-0005-0000-0000-0000031F0000}"/>
    <cellStyle name="Normal 112 5 3 2" xfId="2920" xr:uid="{00000000-0005-0000-0000-0000041F0000}"/>
    <cellStyle name="Normal 112 5 3 2 2" xfId="7143" xr:uid="{00000000-0005-0000-0000-0000051F0000}"/>
    <cellStyle name="Normal 112 5 3 2 2 2" xfId="16506" xr:uid="{00000000-0005-0000-0000-0000061F0000}"/>
    <cellStyle name="Normal 112 5 3 2 2 2 2" xfId="33080" xr:uid="{00000000-0005-0000-0000-0000071F0000}"/>
    <cellStyle name="Normal 112 5 3 2 2 3" xfId="25033" xr:uid="{00000000-0005-0000-0000-0000081F0000}"/>
    <cellStyle name="Normal 112 5 3 2 3" xfId="12601" xr:uid="{00000000-0005-0000-0000-0000091F0000}"/>
    <cellStyle name="Normal 112 5 3 2 3 2" xfId="29126" xr:uid="{00000000-0005-0000-0000-00000A1F0000}"/>
    <cellStyle name="Normal 112 5 3 2 4" xfId="21083" xr:uid="{00000000-0005-0000-0000-00000B1F0000}"/>
    <cellStyle name="Normal 112 5 3 3" xfId="7144" xr:uid="{00000000-0005-0000-0000-00000C1F0000}"/>
    <cellStyle name="Normal 112 5 3 3 2" xfId="16507" xr:uid="{00000000-0005-0000-0000-00000D1F0000}"/>
    <cellStyle name="Normal 112 5 3 3 2 2" xfId="33081" xr:uid="{00000000-0005-0000-0000-00000E1F0000}"/>
    <cellStyle name="Normal 112 5 3 3 3" xfId="25034" xr:uid="{00000000-0005-0000-0000-00000F1F0000}"/>
    <cellStyle name="Normal 112 5 3 4" xfId="12600" xr:uid="{00000000-0005-0000-0000-0000101F0000}"/>
    <cellStyle name="Normal 112 5 3 4 2" xfId="29125" xr:uid="{00000000-0005-0000-0000-0000111F0000}"/>
    <cellStyle name="Normal 112 5 3 5" xfId="21082" xr:uid="{00000000-0005-0000-0000-0000121F0000}"/>
    <cellStyle name="Normal 112 5 4" xfId="2921" xr:uid="{00000000-0005-0000-0000-0000131F0000}"/>
    <cellStyle name="Normal 112 5 4 2" xfId="7145" xr:uid="{00000000-0005-0000-0000-0000141F0000}"/>
    <cellStyle name="Normal 112 5 4 2 2" xfId="16508" xr:uid="{00000000-0005-0000-0000-0000151F0000}"/>
    <cellStyle name="Normal 112 5 4 2 2 2" xfId="33082" xr:uid="{00000000-0005-0000-0000-0000161F0000}"/>
    <cellStyle name="Normal 112 5 4 2 3" xfId="25035" xr:uid="{00000000-0005-0000-0000-0000171F0000}"/>
    <cellStyle name="Normal 112 5 4 3" xfId="12602" xr:uid="{00000000-0005-0000-0000-0000181F0000}"/>
    <cellStyle name="Normal 112 5 4 3 2" xfId="29127" xr:uid="{00000000-0005-0000-0000-0000191F0000}"/>
    <cellStyle name="Normal 112 5 4 4" xfId="21084" xr:uid="{00000000-0005-0000-0000-00001A1F0000}"/>
    <cellStyle name="Normal 112 5 5" xfId="7146" xr:uid="{00000000-0005-0000-0000-00001B1F0000}"/>
    <cellStyle name="Normal 112 5 5 2" xfId="16509" xr:uid="{00000000-0005-0000-0000-00001C1F0000}"/>
    <cellStyle name="Normal 112 5 5 2 2" xfId="33083" xr:uid="{00000000-0005-0000-0000-00001D1F0000}"/>
    <cellStyle name="Normal 112 5 5 3" xfId="25036" xr:uid="{00000000-0005-0000-0000-00001E1F0000}"/>
    <cellStyle name="Normal 112 5 6" xfId="12595" xr:uid="{00000000-0005-0000-0000-00001F1F0000}"/>
    <cellStyle name="Normal 112 5 6 2" xfId="29120" xr:uid="{00000000-0005-0000-0000-0000201F0000}"/>
    <cellStyle name="Normal 112 5 7" xfId="21077" xr:uid="{00000000-0005-0000-0000-0000211F0000}"/>
    <cellStyle name="Normal 112 6" xfId="2922" xr:uid="{00000000-0005-0000-0000-0000221F0000}"/>
    <cellStyle name="Normal 112 6 2" xfId="2923" xr:uid="{00000000-0005-0000-0000-0000231F0000}"/>
    <cellStyle name="Normal 112 6 2 2" xfId="2924" xr:uid="{00000000-0005-0000-0000-0000241F0000}"/>
    <cellStyle name="Normal 112 6 2 2 2" xfId="7147" xr:uid="{00000000-0005-0000-0000-0000251F0000}"/>
    <cellStyle name="Normal 112 6 2 2 2 2" xfId="16510" xr:uid="{00000000-0005-0000-0000-0000261F0000}"/>
    <cellStyle name="Normal 112 6 2 2 2 2 2" xfId="33084" xr:uid="{00000000-0005-0000-0000-0000271F0000}"/>
    <cellStyle name="Normal 112 6 2 2 2 3" xfId="25037" xr:uid="{00000000-0005-0000-0000-0000281F0000}"/>
    <cellStyle name="Normal 112 6 2 2 3" xfId="12605" xr:uid="{00000000-0005-0000-0000-0000291F0000}"/>
    <cellStyle name="Normal 112 6 2 2 3 2" xfId="29130" xr:uid="{00000000-0005-0000-0000-00002A1F0000}"/>
    <cellStyle name="Normal 112 6 2 2 4" xfId="21087" xr:uid="{00000000-0005-0000-0000-00002B1F0000}"/>
    <cellStyle name="Normal 112 6 2 3" xfId="7148" xr:uid="{00000000-0005-0000-0000-00002C1F0000}"/>
    <cellStyle name="Normal 112 6 2 3 2" xfId="16511" xr:uid="{00000000-0005-0000-0000-00002D1F0000}"/>
    <cellStyle name="Normal 112 6 2 3 2 2" xfId="33085" xr:uid="{00000000-0005-0000-0000-00002E1F0000}"/>
    <cellStyle name="Normal 112 6 2 3 3" xfId="25038" xr:uid="{00000000-0005-0000-0000-00002F1F0000}"/>
    <cellStyle name="Normal 112 6 2 4" xfId="12604" xr:uid="{00000000-0005-0000-0000-0000301F0000}"/>
    <cellStyle name="Normal 112 6 2 4 2" xfId="29129" xr:uid="{00000000-0005-0000-0000-0000311F0000}"/>
    <cellStyle name="Normal 112 6 2 5" xfId="21086" xr:uid="{00000000-0005-0000-0000-0000321F0000}"/>
    <cellStyle name="Normal 112 6 3" xfId="2925" xr:uid="{00000000-0005-0000-0000-0000331F0000}"/>
    <cellStyle name="Normal 112 6 3 2" xfId="7149" xr:uid="{00000000-0005-0000-0000-0000341F0000}"/>
    <cellStyle name="Normal 112 6 3 2 2" xfId="16512" xr:uid="{00000000-0005-0000-0000-0000351F0000}"/>
    <cellStyle name="Normal 112 6 3 2 2 2" xfId="33086" xr:uid="{00000000-0005-0000-0000-0000361F0000}"/>
    <cellStyle name="Normal 112 6 3 2 3" xfId="25039" xr:uid="{00000000-0005-0000-0000-0000371F0000}"/>
    <cellStyle name="Normal 112 6 3 3" xfId="12606" xr:uid="{00000000-0005-0000-0000-0000381F0000}"/>
    <cellStyle name="Normal 112 6 3 3 2" xfId="29131" xr:uid="{00000000-0005-0000-0000-0000391F0000}"/>
    <cellStyle name="Normal 112 6 3 4" xfId="21088" xr:uid="{00000000-0005-0000-0000-00003A1F0000}"/>
    <cellStyle name="Normal 112 6 4" xfId="7150" xr:uid="{00000000-0005-0000-0000-00003B1F0000}"/>
    <cellStyle name="Normal 112 6 4 2" xfId="16513" xr:uid="{00000000-0005-0000-0000-00003C1F0000}"/>
    <cellStyle name="Normal 112 6 4 2 2" xfId="33087" xr:uid="{00000000-0005-0000-0000-00003D1F0000}"/>
    <cellStyle name="Normal 112 6 4 3" xfId="25040" xr:uid="{00000000-0005-0000-0000-00003E1F0000}"/>
    <cellStyle name="Normal 112 6 5" xfId="12603" xr:uid="{00000000-0005-0000-0000-00003F1F0000}"/>
    <cellStyle name="Normal 112 6 5 2" xfId="29128" xr:uid="{00000000-0005-0000-0000-0000401F0000}"/>
    <cellStyle name="Normal 112 6 6" xfId="21085" xr:uid="{00000000-0005-0000-0000-0000411F0000}"/>
    <cellStyle name="Normal 112 7" xfId="2926" xr:uid="{00000000-0005-0000-0000-0000421F0000}"/>
    <cellStyle name="Normal 112 7 2" xfId="2927" xr:uid="{00000000-0005-0000-0000-0000431F0000}"/>
    <cellStyle name="Normal 112 7 2 2" xfId="7151" xr:uid="{00000000-0005-0000-0000-0000441F0000}"/>
    <cellStyle name="Normal 112 7 2 2 2" xfId="16514" xr:uid="{00000000-0005-0000-0000-0000451F0000}"/>
    <cellStyle name="Normal 112 7 2 2 2 2" xfId="33088" xr:uid="{00000000-0005-0000-0000-0000461F0000}"/>
    <cellStyle name="Normal 112 7 2 2 3" xfId="25041" xr:uid="{00000000-0005-0000-0000-0000471F0000}"/>
    <cellStyle name="Normal 112 7 2 3" xfId="12608" xr:uid="{00000000-0005-0000-0000-0000481F0000}"/>
    <cellStyle name="Normal 112 7 2 3 2" xfId="29133" xr:uid="{00000000-0005-0000-0000-0000491F0000}"/>
    <cellStyle name="Normal 112 7 2 4" xfId="21090" xr:uid="{00000000-0005-0000-0000-00004A1F0000}"/>
    <cellStyle name="Normal 112 7 3" xfId="7152" xr:uid="{00000000-0005-0000-0000-00004B1F0000}"/>
    <cellStyle name="Normal 112 7 3 2" xfId="16515" xr:uid="{00000000-0005-0000-0000-00004C1F0000}"/>
    <cellStyle name="Normal 112 7 3 2 2" xfId="33089" xr:uid="{00000000-0005-0000-0000-00004D1F0000}"/>
    <cellStyle name="Normal 112 7 3 3" xfId="25042" xr:uid="{00000000-0005-0000-0000-00004E1F0000}"/>
    <cellStyle name="Normal 112 7 4" xfId="12607" xr:uid="{00000000-0005-0000-0000-00004F1F0000}"/>
    <cellStyle name="Normal 112 7 4 2" xfId="29132" xr:uid="{00000000-0005-0000-0000-0000501F0000}"/>
    <cellStyle name="Normal 112 7 5" xfId="21089" xr:uid="{00000000-0005-0000-0000-0000511F0000}"/>
    <cellStyle name="Normal 112 8" xfId="2928" xr:uid="{00000000-0005-0000-0000-0000521F0000}"/>
    <cellStyle name="Normal 112 8 2" xfId="7153" xr:uid="{00000000-0005-0000-0000-0000531F0000}"/>
    <cellStyle name="Normal 112 8 2 2" xfId="16516" xr:uid="{00000000-0005-0000-0000-0000541F0000}"/>
    <cellStyle name="Normal 112 8 2 2 2" xfId="33090" xr:uid="{00000000-0005-0000-0000-0000551F0000}"/>
    <cellStyle name="Normal 112 8 2 3" xfId="25043" xr:uid="{00000000-0005-0000-0000-0000561F0000}"/>
    <cellStyle name="Normal 112 8 3" xfId="12609" xr:uid="{00000000-0005-0000-0000-0000571F0000}"/>
    <cellStyle name="Normal 112 8 3 2" xfId="29134" xr:uid="{00000000-0005-0000-0000-0000581F0000}"/>
    <cellStyle name="Normal 112 8 4" xfId="21091" xr:uid="{00000000-0005-0000-0000-0000591F0000}"/>
    <cellStyle name="Normal 112 9" xfId="7154" xr:uid="{00000000-0005-0000-0000-00005A1F0000}"/>
    <cellStyle name="Normal 112 9 2" xfId="16517" xr:uid="{00000000-0005-0000-0000-00005B1F0000}"/>
    <cellStyle name="Normal 112 9 2 2" xfId="33091" xr:uid="{00000000-0005-0000-0000-00005C1F0000}"/>
    <cellStyle name="Normal 112 9 3" xfId="25044" xr:uid="{00000000-0005-0000-0000-00005D1F0000}"/>
    <cellStyle name="Normal 113" xfId="2929" xr:uid="{00000000-0005-0000-0000-00005E1F0000}"/>
    <cellStyle name="Normal 113 10" xfId="12610" xr:uid="{00000000-0005-0000-0000-00005F1F0000}"/>
    <cellStyle name="Normal 113 10 2" xfId="29135" xr:uid="{00000000-0005-0000-0000-0000601F0000}"/>
    <cellStyle name="Normal 113 11" xfId="21092" xr:uid="{00000000-0005-0000-0000-0000611F0000}"/>
    <cellStyle name="Normal 113 2" xfId="2930" xr:uid="{00000000-0005-0000-0000-0000621F0000}"/>
    <cellStyle name="Normal 113 2 2" xfId="2931" xr:uid="{00000000-0005-0000-0000-0000631F0000}"/>
    <cellStyle name="Normal 113 2 3" xfId="12611" xr:uid="{00000000-0005-0000-0000-0000641F0000}"/>
    <cellStyle name="Normal 113 2 3 2" xfId="29136" xr:uid="{00000000-0005-0000-0000-0000651F0000}"/>
    <cellStyle name="Normal 113 2 4" xfId="21093" xr:uid="{00000000-0005-0000-0000-0000661F0000}"/>
    <cellStyle name="Normal 113 3" xfId="2932" xr:uid="{00000000-0005-0000-0000-0000671F0000}"/>
    <cellStyle name="Normal 113 3 2" xfId="2933" xr:uid="{00000000-0005-0000-0000-0000681F0000}"/>
    <cellStyle name="Normal 113 3 2 2" xfId="2934" xr:uid="{00000000-0005-0000-0000-0000691F0000}"/>
    <cellStyle name="Normal 113 3 2 2 2" xfId="2935" xr:uid="{00000000-0005-0000-0000-00006A1F0000}"/>
    <cellStyle name="Normal 113 3 2 2 2 2" xfId="7155" xr:uid="{00000000-0005-0000-0000-00006B1F0000}"/>
    <cellStyle name="Normal 113 3 2 2 2 2 2" xfId="16518" xr:uid="{00000000-0005-0000-0000-00006C1F0000}"/>
    <cellStyle name="Normal 113 3 2 2 2 2 2 2" xfId="33092" xr:uid="{00000000-0005-0000-0000-00006D1F0000}"/>
    <cellStyle name="Normal 113 3 2 2 2 2 3" xfId="25045" xr:uid="{00000000-0005-0000-0000-00006E1F0000}"/>
    <cellStyle name="Normal 113 3 2 2 2 3" xfId="12614" xr:uid="{00000000-0005-0000-0000-00006F1F0000}"/>
    <cellStyle name="Normal 113 3 2 2 2 3 2" xfId="29139" xr:uid="{00000000-0005-0000-0000-0000701F0000}"/>
    <cellStyle name="Normal 113 3 2 2 2 4" xfId="21096" xr:uid="{00000000-0005-0000-0000-0000711F0000}"/>
    <cellStyle name="Normal 113 3 2 2 3" xfId="7156" xr:uid="{00000000-0005-0000-0000-0000721F0000}"/>
    <cellStyle name="Normal 113 3 2 2 3 2" xfId="16519" xr:uid="{00000000-0005-0000-0000-0000731F0000}"/>
    <cellStyle name="Normal 113 3 2 2 3 2 2" xfId="33093" xr:uid="{00000000-0005-0000-0000-0000741F0000}"/>
    <cellStyle name="Normal 113 3 2 2 3 3" xfId="25046" xr:uid="{00000000-0005-0000-0000-0000751F0000}"/>
    <cellStyle name="Normal 113 3 2 2 4" xfId="12613" xr:uid="{00000000-0005-0000-0000-0000761F0000}"/>
    <cellStyle name="Normal 113 3 2 2 4 2" xfId="29138" xr:uid="{00000000-0005-0000-0000-0000771F0000}"/>
    <cellStyle name="Normal 113 3 2 2 5" xfId="21095" xr:uid="{00000000-0005-0000-0000-0000781F0000}"/>
    <cellStyle name="Normal 113 3 2 3" xfId="2936" xr:uid="{00000000-0005-0000-0000-0000791F0000}"/>
    <cellStyle name="Normal 113 3 2 3 2" xfId="7157" xr:uid="{00000000-0005-0000-0000-00007A1F0000}"/>
    <cellStyle name="Normal 113 3 2 3 2 2" xfId="16520" xr:uid="{00000000-0005-0000-0000-00007B1F0000}"/>
    <cellStyle name="Normal 113 3 2 3 2 2 2" xfId="33094" xr:uid="{00000000-0005-0000-0000-00007C1F0000}"/>
    <cellStyle name="Normal 113 3 2 3 2 3" xfId="25047" xr:uid="{00000000-0005-0000-0000-00007D1F0000}"/>
    <cellStyle name="Normal 113 3 2 3 3" xfId="12615" xr:uid="{00000000-0005-0000-0000-00007E1F0000}"/>
    <cellStyle name="Normal 113 3 2 3 3 2" xfId="29140" xr:uid="{00000000-0005-0000-0000-00007F1F0000}"/>
    <cellStyle name="Normal 113 3 2 3 4" xfId="21097" xr:uid="{00000000-0005-0000-0000-0000801F0000}"/>
    <cellStyle name="Normal 113 3 2 4" xfId="7158" xr:uid="{00000000-0005-0000-0000-0000811F0000}"/>
    <cellStyle name="Normal 113 3 2 4 2" xfId="16521" xr:uid="{00000000-0005-0000-0000-0000821F0000}"/>
    <cellStyle name="Normal 113 3 2 4 2 2" xfId="33095" xr:uid="{00000000-0005-0000-0000-0000831F0000}"/>
    <cellStyle name="Normal 113 3 2 4 3" xfId="25048" xr:uid="{00000000-0005-0000-0000-0000841F0000}"/>
    <cellStyle name="Normal 113 3 2 5" xfId="12612" xr:uid="{00000000-0005-0000-0000-0000851F0000}"/>
    <cellStyle name="Normal 113 3 2 5 2" xfId="29137" xr:uid="{00000000-0005-0000-0000-0000861F0000}"/>
    <cellStyle name="Normal 113 3 2 6" xfId="21094" xr:uid="{00000000-0005-0000-0000-0000871F0000}"/>
    <cellStyle name="Normal 113 3 3" xfId="2937" xr:uid="{00000000-0005-0000-0000-0000881F0000}"/>
    <cellStyle name="Normal 113 3 3 2" xfId="2938" xr:uid="{00000000-0005-0000-0000-0000891F0000}"/>
    <cellStyle name="Normal 113 3 3 2 2" xfId="7159" xr:uid="{00000000-0005-0000-0000-00008A1F0000}"/>
    <cellStyle name="Normal 113 3 3 2 2 2" xfId="16522" xr:uid="{00000000-0005-0000-0000-00008B1F0000}"/>
    <cellStyle name="Normal 113 3 3 2 2 2 2" xfId="33096" xr:uid="{00000000-0005-0000-0000-00008C1F0000}"/>
    <cellStyle name="Normal 113 3 3 2 2 3" xfId="25049" xr:uid="{00000000-0005-0000-0000-00008D1F0000}"/>
    <cellStyle name="Normal 113 3 3 2 3" xfId="12617" xr:uid="{00000000-0005-0000-0000-00008E1F0000}"/>
    <cellStyle name="Normal 113 3 3 2 3 2" xfId="29142" xr:uid="{00000000-0005-0000-0000-00008F1F0000}"/>
    <cellStyle name="Normal 113 3 3 2 4" xfId="21099" xr:uid="{00000000-0005-0000-0000-0000901F0000}"/>
    <cellStyle name="Normal 113 3 3 3" xfId="7160" xr:uid="{00000000-0005-0000-0000-0000911F0000}"/>
    <cellStyle name="Normal 113 3 3 3 2" xfId="16523" xr:uid="{00000000-0005-0000-0000-0000921F0000}"/>
    <cellStyle name="Normal 113 3 3 3 2 2" xfId="33097" xr:uid="{00000000-0005-0000-0000-0000931F0000}"/>
    <cellStyle name="Normal 113 3 3 3 3" xfId="25050" xr:uid="{00000000-0005-0000-0000-0000941F0000}"/>
    <cellStyle name="Normal 113 3 3 4" xfId="12616" xr:uid="{00000000-0005-0000-0000-0000951F0000}"/>
    <cellStyle name="Normal 113 3 3 4 2" xfId="29141" xr:uid="{00000000-0005-0000-0000-0000961F0000}"/>
    <cellStyle name="Normal 113 3 3 5" xfId="21098" xr:uid="{00000000-0005-0000-0000-0000971F0000}"/>
    <cellStyle name="Normal 113 3 4" xfId="2939" xr:uid="{00000000-0005-0000-0000-0000981F0000}"/>
    <cellStyle name="Normal 113 3 4 2" xfId="7161" xr:uid="{00000000-0005-0000-0000-0000991F0000}"/>
    <cellStyle name="Normal 113 3 4 2 2" xfId="16524" xr:uid="{00000000-0005-0000-0000-00009A1F0000}"/>
    <cellStyle name="Normal 113 3 4 2 2 2" xfId="33098" xr:uid="{00000000-0005-0000-0000-00009B1F0000}"/>
    <cellStyle name="Normal 113 3 4 2 3" xfId="25051" xr:uid="{00000000-0005-0000-0000-00009C1F0000}"/>
    <cellStyle name="Normal 113 3 4 3" xfId="12618" xr:uid="{00000000-0005-0000-0000-00009D1F0000}"/>
    <cellStyle name="Normal 113 3 4 3 2" xfId="29143" xr:uid="{00000000-0005-0000-0000-00009E1F0000}"/>
    <cellStyle name="Normal 113 3 4 4" xfId="21100" xr:uid="{00000000-0005-0000-0000-00009F1F0000}"/>
    <cellStyle name="Normal 113 3 5" xfId="2940" xr:uid="{00000000-0005-0000-0000-0000A01F0000}"/>
    <cellStyle name="Normal 113 3 5 2" xfId="12619" xr:uid="{00000000-0005-0000-0000-0000A11F0000}"/>
    <cellStyle name="Normal 113 3 5 2 2" xfId="29144" xr:uid="{00000000-0005-0000-0000-0000A21F0000}"/>
    <cellStyle name="Normal 113 3 5 3" xfId="21101" xr:uid="{00000000-0005-0000-0000-0000A31F0000}"/>
    <cellStyle name="Normal 113 4" xfId="2941" xr:uid="{00000000-0005-0000-0000-0000A41F0000}"/>
    <cellStyle name="Normal 113 4 2" xfId="2942" xr:uid="{00000000-0005-0000-0000-0000A51F0000}"/>
    <cellStyle name="Normal 113 4 2 2" xfId="2943" xr:uid="{00000000-0005-0000-0000-0000A61F0000}"/>
    <cellStyle name="Normal 113 4 2 2 2" xfId="2944" xr:uid="{00000000-0005-0000-0000-0000A71F0000}"/>
    <cellStyle name="Normal 113 4 2 2 2 2" xfId="7162" xr:uid="{00000000-0005-0000-0000-0000A81F0000}"/>
    <cellStyle name="Normal 113 4 2 2 2 2 2" xfId="16525" xr:uid="{00000000-0005-0000-0000-0000A91F0000}"/>
    <cellStyle name="Normal 113 4 2 2 2 2 2 2" xfId="33099" xr:uid="{00000000-0005-0000-0000-0000AA1F0000}"/>
    <cellStyle name="Normal 113 4 2 2 2 2 3" xfId="25052" xr:uid="{00000000-0005-0000-0000-0000AB1F0000}"/>
    <cellStyle name="Normal 113 4 2 2 2 3" xfId="12623" xr:uid="{00000000-0005-0000-0000-0000AC1F0000}"/>
    <cellStyle name="Normal 113 4 2 2 2 3 2" xfId="29148" xr:uid="{00000000-0005-0000-0000-0000AD1F0000}"/>
    <cellStyle name="Normal 113 4 2 2 2 4" xfId="21105" xr:uid="{00000000-0005-0000-0000-0000AE1F0000}"/>
    <cellStyle name="Normal 113 4 2 2 3" xfId="7163" xr:uid="{00000000-0005-0000-0000-0000AF1F0000}"/>
    <cellStyle name="Normal 113 4 2 2 3 2" xfId="16526" xr:uid="{00000000-0005-0000-0000-0000B01F0000}"/>
    <cellStyle name="Normal 113 4 2 2 3 2 2" xfId="33100" xr:uid="{00000000-0005-0000-0000-0000B11F0000}"/>
    <cellStyle name="Normal 113 4 2 2 3 3" xfId="25053" xr:uid="{00000000-0005-0000-0000-0000B21F0000}"/>
    <cellStyle name="Normal 113 4 2 2 4" xfId="12622" xr:uid="{00000000-0005-0000-0000-0000B31F0000}"/>
    <cellStyle name="Normal 113 4 2 2 4 2" xfId="29147" xr:uid="{00000000-0005-0000-0000-0000B41F0000}"/>
    <cellStyle name="Normal 113 4 2 2 5" xfId="21104" xr:uid="{00000000-0005-0000-0000-0000B51F0000}"/>
    <cellStyle name="Normal 113 4 2 3" xfId="2945" xr:uid="{00000000-0005-0000-0000-0000B61F0000}"/>
    <cellStyle name="Normal 113 4 2 3 2" xfId="7164" xr:uid="{00000000-0005-0000-0000-0000B71F0000}"/>
    <cellStyle name="Normal 113 4 2 3 2 2" xfId="16527" xr:uid="{00000000-0005-0000-0000-0000B81F0000}"/>
    <cellStyle name="Normal 113 4 2 3 2 2 2" xfId="33101" xr:uid="{00000000-0005-0000-0000-0000B91F0000}"/>
    <cellStyle name="Normal 113 4 2 3 2 3" xfId="25054" xr:uid="{00000000-0005-0000-0000-0000BA1F0000}"/>
    <cellStyle name="Normal 113 4 2 3 3" xfId="12624" xr:uid="{00000000-0005-0000-0000-0000BB1F0000}"/>
    <cellStyle name="Normal 113 4 2 3 3 2" xfId="29149" xr:uid="{00000000-0005-0000-0000-0000BC1F0000}"/>
    <cellStyle name="Normal 113 4 2 3 4" xfId="21106" xr:uid="{00000000-0005-0000-0000-0000BD1F0000}"/>
    <cellStyle name="Normal 113 4 2 4" xfId="7165" xr:uid="{00000000-0005-0000-0000-0000BE1F0000}"/>
    <cellStyle name="Normal 113 4 2 4 2" xfId="16528" xr:uid="{00000000-0005-0000-0000-0000BF1F0000}"/>
    <cellStyle name="Normal 113 4 2 4 2 2" xfId="33102" xr:uid="{00000000-0005-0000-0000-0000C01F0000}"/>
    <cellStyle name="Normal 113 4 2 4 3" xfId="25055" xr:uid="{00000000-0005-0000-0000-0000C11F0000}"/>
    <cellStyle name="Normal 113 4 2 5" xfId="12621" xr:uid="{00000000-0005-0000-0000-0000C21F0000}"/>
    <cellStyle name="Normal 113 4 2 5 2" xfId="29146" xr:uid="{00000000-0005-0000-0000-0000C31F0000}"/>
    <cellStyle name="Normal 113 4 2 6" xfId="21103" xr:uid="{00000000-0005-0000-0000-0000C41F0000}"/>
    <cellStyle name="Normal 113 4 3" xfId="2946" xr:uid="{00000000-0005-0000-0000-0000C51F0000}"/>
    <cellStyle name="Normal 113 4 3 2" xfId="2947" xr:uid="{00000000-0005-0000-0000-0000C61F0000}"/>
    <cellStyle name="Normal 113 4 3 2 2" xfId="7166" xr:uid="{00000000-0005-0000-0000-0000C71F0000}"/>
    <cellStyle name="Normal 113 4 3 2 2 2" xfId="16529" xr:uid="{00000000-0005-0000-0000-0000C81F0000}"/>
    <cellStyle name="Normal 113 4 3 2 2 2 2" xfId="33103" xr:uid="{00000000-0005-0000-0000-0000C91F0000}"/>
    <cellStyle name="Normal 113 4 3 2 2 3" xfId="25056" xr:uid="{00000000-0005-0000-0000-0000CA1F0000}"/>
    <cellStyle name="Normal 113 4 3 2 3" xfId="12626" xr:uid="{00000000-0005-0000-0000-0000CB1F0000}"/>
    <cellStyle name="Normal 113 4 3 2 3 2" xfId="29151" xr:uid="{00000000-0005-0000-0000-0000CC1F0000}"/>
    <cellStyle name="Normal 113 4 3 2 4" xfId="21108" xr:uid="{00000000-0005-0000-0000-0000CD1F0000}"/>
    <cellStyle name="Normal 113 4 3 3" xfId="7167" xr:uid="{00000000-0005-0000-0000-0000CE1F0000}"/>
    <cellStyle name="Normal 113 4 3 3 2" xfId="16530" xr:uid="{00000000-0005-0000-0000-0000CF1F0000}"/>
    <cellStyle name="Normal 113 4 3 3 2 2" xfId="33104" xr:uid="{00000000-0005-0000-0000-0000D01F0000}"/>
    <cellStyle name="Normal 113 4 3 3 3" xfId="25057" xr:uid="{00000000-0005-0000-0000-0000D11F0000}"/>
    <cellStyle name="Normal 113 4 3 4" xfId="12625" xr:uid="{00000000-0005-0000-0000-0000D21F0000}"/>
    <cellStyle name="Normal 113 4 3 4 2" xfId="29150" xr:uid="{00000000-0005-0000-0000-0000D31F0000}"/>
    <cellStyle name="Normal 113 4 3 5" xfId="21107" xr:uid="{00000000-0005-0000-0000-0000D41F0000}"/>
    <cellStyle name="Normal 113 4 4" xfId="2948" xr:uid="{00000000-0005-0000-0000-0000D51F0000}"/>
    <cellStyle name="Normal 113 4 4 2" xfId="7168" xr:uid="{00000000-0005-0000-0000-0000D61F0000}"/>
    <cellStyle name="Normal 113 4 4 2 2" xfId="16531" xr:uid="{00000000-0005-0000-0000-0000D71F0000}"/>
    <cellStyle name="Normal 113 4 4 2 2 2" xfId="33105" xr:uid="{00000000-0005-0000-0000-0000D81F0000}"/>
    <cellStyle name="Normal 113 4 4 2 3" xfId="25058" xr:uid="{00000000-0005-0000-0000-0000D91F0000}"/>
    <cellStyle name="Normal 113 4 4 3" xfId="12627" xr:uid="{00000000-0005-0000-0000-0000DA1F0000}"/>
    <cellStyle name="Normal 113 4 4 3 2" xfId="29152" xr:uid="{00000000-0005-0000-0000-0000DB1F0000}"/>
    <cellStyle name="Normal 113 4 4 4" xfId="21109" xr:uid="{00000000-0005-0000-0000-0000DC1F0000}"/>
    <cellStyle name="Normal 113 4 5" xfId="7169" xr:uid="{00000000-0005-0000-0000-0000DD1F0000}"/>
    <cellStyle name="Normal 113 4 5 2" xfId="16532" xr:uid="{00000000-0005-0000-0000-0000DE1F0000}"/>
    <cellStyle name="Normal 113 4 5 2 2" xfId="33106" xr:uid="{00000000-0005-0000-0000-0000DF1F0000}"/>
    <cellStyle name="Normal 113 4 5 3" xfId="25059" xr:uid="{00000000-0005-0000-0000-0000E01F0000}"/>
    <cellStyle name="Normal 113 4 6" xfId="12620" xr:uid="{00000000-0005-0000-0000-0000E11F0000}"/>
    <cellStyle name="Normal 113 4 6 2" xfId="29145" xr:uid="{00000000-0005-0000-0000-0000E21F0000}"/>
    <cellStyle name="Normal 113 4 7" xfId="21102" xr:uid="{00000000-0005-0000-0000-0000E31F0000}"/>
    <cellStyle name="Normal 113 5" xfId="2949" xr:uid="{00000000-0005-0000-0000-0000E41F0000}"/>
    <cellStyle name="Normal 113 5 2" xfId="2950" xr:uid="{00000000-0005-0000-0000-0000E51F0000}"/>
    <cellStyle name="Normal 113 5 2 2" xfId="2951" xr:uid="{00000000-0005-0000-0000-0000E61F0000}"/>
    <cellStyle name="Normal 113 5 2 2 2" xfId="2952" xr:uid="{00000000-0005-0000-0000-0000E71F0000}"/>
    <cellStyle name="Normal 113 5 2 2 2 2" xfId="7170" xr:uid="{00000000-0005-0000-0000-0000E81F0000}"/>
    <cellStyle name="Normal 113 5 2 2 2 2 2" xfId="16533" xr:uid="{00000000-0005-0000-0000-0000E91F0000}"/>
    <cellStyle name="Normal 113 5 2 2 2 2 2 2" xfId="33107" xr:uid="{00000000-0005-0000-0000-0000EA1F0000}"/>
    <cellStyle name="Normal 113 5 2 2 2 2 3" xfId="25060" xr:uid="{00000000-0005-0000-0000-0000EB1F0000}"/>
    <cellStyle name="Normal 113 5 2 2 2 3" xfId="12631" xr:uid="{00000000-0005-0000-0000-0000EC1F0000}"/>
    <cellStyle name="Normal 113 5 2 2 2 3 2" xfId="29156" xr:uid="{00000000-0005-0000-0000-0000ED1F0000}"/>
    <cellStyle name="Normal 113 5 2 2 2 4" xfId="21113" xr:uid="{00000000-0005-0000-0000-0000EE1F0000}"/>
    <cellStyle name="Normal 113 5 2 2 3" xfId="7171" xr:uid="{00000000-0005-0000-0000-0000EF1F0000}"/>
    <cellStyle name="Normal 113 5 2 2 3 2" xfId="16534" xr:uid="{00000000-0005-0000-0000-0000F01F0000}"/>
    <cellStyle name="Normal 113 5 2 2 3 2 2" xfId="33108" xr:uid="{00000000-0005-0000-0000-0000F11F0000}"/>
    <cellStyle name="Normal 113 5 2 2 3 3" xfId="25061" xr:uid="{00000000-0005-0000-0000-0000F21F0000}"/>
    <cellStyle name="Normal 113 5 2 2 4" xfId="12630" xr:uid="{00000000-0005-0000-0000-0000F31F0000}"/>
    <cellStyle name="Normal 113 5 2 2 4 2" xfId="29155" xr:uid="{00000000-0005-0000-0000-0000F41F0000}"/>
    <cellStyle name="Normal 113 5 2 2 5" xfId="21112" xr:uid="{00000000-0005-0000-0000-0000F51F0000}"/>
    <cellStyle name="Normal 113 5 2 3" xfId="2953" xr:uid="{00000000-0005-0000-0000-0000F61F0000}"/>
    <cellStyle name="Normal 113 5 2 3 2" xfId="7172" xr:uid="{00000000-0005-0000-0000-0000F71F0000}"/>
    <cellStyle name="Normal 113 5 2 3 2 2" xfId="16535" xr:uid="{00000000-0005-0000-0000-0000F81F0000}"/>
    <cellStyle name="Normal 113 5 2 3 2 2 2" xfId="33109" xr:uid="{00000000-0005-0000-0000-0000F91F0000}"/>
    <cellStyle name="Normal 113 5 2 3 2 3" xfId="25062" xr:uid="{00000000-0005-0000-0000-0000FA1F0000}"/>
    <cellStyle name="Normal 113 5 2 3 3" xfId="12632" xr:uid="{00000000-0005-0000-0000-0000FB1F0000}"/>
    <cellStyle name="Normal 113 5 2 3 3 2" xfId="29157" xr:uid="{00000000-0005-0000-0000-0000FC1F0000}"/>
    <cellStyle name="Normal 113 5 2 3 4" xfId="21114" xr:uid="{00000000-0005-0000-0000-0000FD1F0000}"/>
    <cellStyle name="Normal 113 5 2 4" xfId="7173" xr:uid="{00000000-0005-0000-0000-0000FE1F0000}"/>
    <cellStyle name="Normal 113 5 2 4 2" xfId="16536" xr:uid="{00000000-0005-0000-0000-0000FF1F0000}"/>
    <cellStyle name="Normal 113 5 2 4 2 2" xfId="33110" xr:uid="{00000000-0005-0000-0000-000000200000}"/>
    <cellStyle name="Normal 113 5 2 4 3" xfId="25063" xr:uid="{00000000-0005-0000-0000-000001200000}"/>
    <cellStyle name="Normal 113 5 2 5" xfId="12629" xr:uid="{00000000-0005-0000-0000-000002200000}"/>
    <cellStyle name="Normal 113 5 2 5 2" xfId="29154" xr:uid="{00000000-0005-0000-0000-000003200000}"/>
    <cellStyle name="Normal 113 5 2 6" xfId="21111" xr:uid="{00000000-0005-0000-0000-000004200000}"/>
    <cellStyle name="Normal 113 5 3" xfId="2954" xr:uid="{00000000-0005-0000-0000-000005200000}"/>
    <cellStyle name="Normal 113 5 3 2" xfId="2955" xr:uid="{00000000-0005-0000-0000-000006200000}"/>
    <cellStyle name="Normal 113 5 3 2 2" xfId="7174" xr:uid="{00000000-0005-0000-0000-000007200000}"/>
    <cellStyle name="Normal 113 5 3 2 2 2" xfId="16537" xr:uid="{00000000-0005-0000-0000-000008200000}"/>
    <cellStyle name="Normal 113 5 3 2 2 2 2" xfId="33111" xr:uid="{00000000-0005-0000-0000-000009200000}"/>
    <cellStyle name="Normal 113 5 3 2 2 3" xfId="25064" xr:uid="{00000000-0005-0000-0000-00000A200000}"/>
    <cellStyle name="Normal 113 5 3 2 3" xfId="12634" xr:uid="{00000000-0005-0000-0000-00000B200000}"/>
    <cellStyle name="Normal 113 5 3 2 3 2" xfId="29159" xr:uid="{00000000-0005-0000-0000-00000C200000}"/>
    <cellStyle name="Normal 113 5 3 2 4" xfId="21116" xr:uid="{00000000-0005-0000-0000-00000D200000}"/>
    <cellStyle name="Normal 113 5 3 3" xfId="7175" xr:uid="{00000000-0005-0000-0000-00000E200000}"/>
    <cellStyle name="Normal 113 5 3 3 2" xfId="16538" xr:uid="{00000000-0005-0000-0000-00000F200000}"/>
    <cellStyle name="Normal 113 5 3 3 2 2" xfId="33112" xr:uid="{00000000-0005-0000-0000-000010200000}"/>
    <cellStyle name="Normal 113 5 3 3 3" xfId="25065" xr:uid="{00000000-0005-0000-0000-000011200000}"/>
    <cellStyle name="Normal 113 5 3 4" xfId="12633" xr:uid="{00000000-0005-0000-0000-000012200000}"/>
    <cellStyle name="Normal 113 5 3 4 2" xfId="29158" xr:uid="{00000000-0005-0000-0000-000013200000}"/>
    <cellStyle name="Normal 113 5 3 5" xfId="21115" xr:uid="{00000000-0005-0000-0000-000014200000}"/>
    <cellStyle name="Normal 113 5 4" xfId="2956" xr:uid="{00000000-0005-0000-0000-000015200000}"/>
    <cellStyle name="Normal 113 5 4 2" xfId="7176" xr:uid="{00000000-0005-0000-0000-000016200000}"/>
    <cellStyle name="Normal 113 5 4 2 2" xfId="16539" xr:uid="{00000000-0005-0000-0000-000017200000}"/>
    <cellStyle name="Normal 113 5 4 2 2 2" xfId="33113" xr:uid="{00000000-0005-0000-0000-000018200000}"/>
    <cellStyle name="Normal 113 5 4 2 3" xfId="25066" xr:uid="{00000000-0005-0000-0000-000019200000}"/>
    <cellStyle name="Normal 113 5 4 3" xfId="12635" xr:uid="{00000000-0005-0000-0000-00001A200000}"/>
    <cellStyle name="Normal 113 5 4 3 2" xfId="29160" xr:uid="{00000000-0005-0000-0000-00001B200000}"/>
    <cellStyle name="Normal 113 5 4 4" xfId="21117" xr:uid="{00000000-0005-0000-0000-00001C200000}"/>
    <cellStyle name="Normal 113 5 5" xfId="7177" xr:uid="{00000000-0005-0000-0000-00001D200000}"/>
    <cellStyle name="Normal 113 5 5 2" xfId="16540" xr:uid="{00000000-0005-0000-0000-00001E200000}"/>
    <cellStyle name="Normal 113 5 5 2 2" xfId="33114" xr:uid="{00000000-0005-0000-0000-00001F200000}"/>
    <cellStyle name="Normal 113 5 5 3" xfId="25067" xr:uid="{00000000-0005-0000-0000-000020200000}"/>
    <cellStyle name="Normal 113 5 6" xfId="12628" xr:uid="{00000000-0005-0000-0000-000021200000}"/>
    <cellStyle name="Normal 113 5 6 2" xfId="29153" xr:uid="{00000000-0005-0000-0000-000022200000}"/>
    <cellStyle name="Normal 113 5 7" xfId="21110" xr:uid="{00000000-0005-0000-0000-000023200000}"/>
    <cellStyle name="Normal 113 6" xfId="2957" xr:uid="{00000000-0005-0000-0000-000024200000}"/>
    <cellStyle name="Normal 113 6 2" xfId="2958" xr:uid="{00000000-0005-0000-0000-000025200000}"/>
    <cellStyle name="Normal 113 6 2 2" xfId="2959" xr:uid="{00000000-0005-0000-0000-000026200000}"/>
    <cellStyle name="Normal 113 6 2 2 2" xfId="7178" xr:uid="{00000000-0005-0000-0000-000027200000}"/>
    <cellStyle name="Normal 113 6 2 2 2 2" xfId="16541" xr:uid="{00000000-0005-0000-0000-000028200000}"/>
    <cellStyle name="Normal 113 6 2 2 2 2 2" xfId="33115" xr:uid="{00000000-0005-0000-0000-000029200000}"/>
    <cellStyle name="Normal 113 6 2 2 2 3" xfId="25068" xr:uid="{00000000-0005-0000-0000-00002A200000}"/>
    <cellStyle name="Normal 113 6 2 2 3" xfId="12638" xr:uid="{00000000-0005-0000-0000-00002B200000}"/>
    <cellStyle name="Normal 113 6 2 2 3 2" xfId="29163" xr:uid="{00000000-0005-0000-0000-00002C200000}"/>
    <cellStyle name="Normal 113 6 2 2 4" xfId="21120" xr:uid="{00000000-0005-0000-0000-00002D200000}"/>
    <cellStyle name="Normal 113 6 2 3" xfId="7179" xr:uid="{00000000-0005-0000-0000-00002E200000}"/>
    <cellStyle name="Normal 113 6 2 3 2" xfId="16542" xr:uid="{00000000-0005-0000-0000-00002F200000}"/>
    <cellStyle name="Normal 113 6 2 3 2 2" xfId="33116" xr:uid="{00000000-0005-0000-0000-000030200000}"/>
    <cellStyle name="Normal 113 6 2 3 3" xfId="25069" xr:uid="{00000000-0005-0000-0000-000031200000}"/>
    <cellStyle name="Normal 113 6 2 4" xfId="12637" xr:uid="{00000000-0005-0000-0000-000032200000}"/>
    <cellStyle name="Normal 113 6 2 4 2" xfId="29162" xr:uid="{00000000-0005-0000-0000-000033200000}"/>
    <cellStyle name="Normal 113 6 2 5" xfId="21119" xr:uid="{00000000-0005-0000-0000-000034200000}"/>
    <cellStyle name="Normal 113 6 3" xfId="2960" xr:uid="{00000000-0005-0000-0000-000035200000}"/>
    <cellStyle name="Normal 113 6 3 2" xfId="7180" xr:uid="{00000000-0005-0000-0000-000036200000}"/>
    <cellStyle name="Normal 113 6 3 2 2" xfId="16543" xr:uid="{00000000-0005-0000-0000-000037200000}"/>
    <cellStyle name="Normal 113 6 3 2 2 2" xfId="33117" xr:uid="{00000000-0005-0000-0000-000038200000}"/>
    <cellStyle name="Normal 113 6 3 2 3" xfId="25070" xr:uid="{00000000-0005-0000-0000-000039200000}"/>
    <cellStyle name="Normal 113 6 3 3" xfId="12639" xr:uid="{00000000-0005-0000-0000-00003A200000}"/>
    <cellStyle name="Normal 113 6 3 3 2" xfId="29164" xr:uid="{00000000-0005-0000-0000-00003B200000}"/>
    <cellStyle name="Normal 113 6 3 4" xfId="21121" xr:uid="{00000000-0005-0000-0000-00003C200000}"/>
    <cellStyle name="Normal 113 6 4" xfId="7181" xr:uid="{00000000-0005-0000-0000-00003D200000}"/>
    <cellStyle name="Normal 113 6 4 2" xfId="16544" xr:uid="{00000000-0005-0000-0000-00003E200000}"/>
    <cellStyle name="Normal 113 6 4 2 2" xfId="33118" xr:uid="{00000000-0005-0000-0000-00003F200000}"/>
    <cellStyle name="Normal 113 6 4 3" xfId="25071" xr:uid="{00000000-0005-0000-0000-000040200000}"/>
    <cellStyle name="Normal 113 6 5" xfId="12636" xr:uid="{00000000-0005-0000-0000-000041200000}"/>
    <cellStyle name="Normal 113 6 5 2" xfId="29161" xr:uid="{00000000-0005-0000-0000-000042200000}"/>
    <cellStyle name="Normal 113 6 6" xfId="21118" xr:uid="{00000000-0005-0000-0000-000043200000}"/>
    <cellStyle name="Normal 113 7" xfId="2961" xr:uid="{00000000-0005-0000-0000-000044200000}"/>
    <cellStyle name="Normal 113 7 2" xfId="2962" xr:uid="{00000000-0005-0000-0000-000045200000}"/>
    <cellStyle name="Normal 113 7 2 2" xfId="7182" xr:uid="{00000000-0005-0000-0000-000046200000}"/>
    <cellStyle name="Normal 113 7 2 2 2" xfId="16545" xr:uid="{00000000-0005-0000-0000-000047200000}"/>
    <cellStyle name="Normal 113 7 2 2 2 2" xfId="33119" xr:uid="{00000000-0005-0000-0000-000048200000}"/>
    <cellStyle name="Normal 113 7 2 2 3" xfId="25072" xr:uid="{00000000-0005-0000-0000-000049200000}"/>
    <cellStyle name="Normal 113 7 2 3" xfId="12641" xr:uid="{00000000-0005-0000-0000-00004A200000}"/>
    <cellStyle name="Normal 113 7 2 3 2" xfId="29166" xr:uid="{00000000-0005-0000-0000-00004B200000}"/>
    <cellStyle name="Normal 113 7 2 4" xfId="21123" xr:uid="{00000000-0005-0000-0000-00004C200000}"/>
    <cellStyle name="Normal 113 7 3" xfId="7183" xr:uid="{00000000-0005-0000-0000-00004D200000}"/>
    <cellStyle name="Normal 113 7 3 2" xfId="16546" xr:uid="{00000000-0005-0000-0000-00004E200000}"/>
    <cellStyle name="Normal 113 7 3 2 2" xfId="33120" xr:uid="{00000000-0005-0000-0000-00004F200000}"/>
    <cellStyle name="Normal 113 7 3 3" xfId="25073" xr:uid="{00000000-0005-0000-0000-000050200000}"/>
    <cellStyle name="Normal 113 7 4" xfId="12640" xr:uid="{00000000-0005-0000-0000-000051200000}"/>
    <cellStyle name="Normal 113 7 4 2" xfId="29165" xr:uid="{00000000-0005-0000-0000-000052200000}"/>
    <cellStyle name="Normal 113 7 5" xfId="21122" xr:uid="{00000000-0005-0000-0000-000053200000}"/>
    <cellStyle name="Normal 113 8" xfId="2963" xr:uid="{00000000-0005-0000-0000-000054200000}"/>
    <cellStyle name="Normal 113 8 2" xfId="7184" xr:uid="{00000000-0005-0000-0000-000055200000}"/>
    <cellStyle name="Normal 113 8 2 2" xfId="16547" xr:uid="{00000000-0005-0000-0000-000056200000}"/>
    <cellStyle name="Normal 113 8 2 2 2" xfId="33121" xr:uid="{00000000-0005-0000-0000-000057200000}"/>
    <cellStyle name="Normal 113 8 2 3" xfId="25074" xr:uid="{00000000-0005-0000-0000-000058200000}"/>
    <cellStyle name="Normal 113 8 3" xfId="12642" xr:uid="{00000000-0005-0000-0000-000059200000}"/>
    <cellStyle name="Normal 113 8 3 2" xfId="29167" xr:uid="{00000000-0005-0000-0000-00005A200000}"/>
    <cellStyle name="Normal 113 8 4" xfId="21124" xr:uid="{00000000-0005-0000-0000-00005B200000}"/>
    <cellStyle name="Normal 113 9" xfId="7185" xr:uid="{00000000-0005-0000-0000-00005C200000}"/>
    <cellStyle name="Normal 113 9 2" xfId="16548" xr:uid="{00000000-0005-0000-0000-00005D200000}"/>
    <cellStyle name="Normal 113 9 2 2" xfId="33122" xr:uid="{00000000-0005-0000-0000-00005E200000}"/>
    <cellStyle name="Normal 113 9 3" xfId="25075" xr:uid="{00000000-0005-0000-0000-00005F200000}"/>
    <cellStyle name="Normal 114" xfId="2964" xr:uid="{00000000-0005-0000-0000-000060200000}"/>
    <cellStyle name="Normal 114 2" xfId="2965" xr:uid="{00000000-0005-0000-0000-000061200000}"/>
    <cellStyle name="Normal 114 2 2" xfId="2966" xr:uid="{00000000-0005-0000-0000-000062200000}"/>
    <cellStyle name="Normal 114 2 2 2" xfId="2967" xr:uid="{00000000-0005-0000-0000-000063200000}"/>
    <cellStyle name="Normal 114 2 2 2 2" xfId="7186" xr:uid="{00000000-0005-0000-0000-000064200000}"/>
    <cellStyle name="Normal 114 2 2 2 2 2" xfId="16549" xr:uid="{00000000-0005-0000-0000-000065200000}"/>
    <cellStyle name="Normal 114 2 2 2 2 2 2" xfId="33123" xr:uid="{00000000-0005-0000-0000-000066200000}"/>
    <cellStyle name="Normal 114 2 2 2 2 3" xfId="25076" xr:uid="{00000000-0005-0000-0000-000067200000}"/>
    <cellStyle name="Normal 114 2 2 2 3" xfId="12644" xr:uid="{00000000-0005-0000-0000-000068200000}"/>
    <cellStyle name="Normal 114 2 2 2 3 2" xfId="29169" xr:uid="{00000000-0005-0000-0000-000069200000}"/>
    <cellStyle name="Normal 114 2 2 2 4" xfId="21126" xr:uid="{00000000-0005-0000-0000-00006A200000}"/>
    <cellStyle name="Normal 114 2 2 3" xfId="7187" xr:uid="{00000000-0005-0000-0000-00006B200000}"/>
    <cellStyle name="Normal 114 2 2 3 2" xfId="16550" xr:uid="{00000000-0005-0000-0000-00006C200000}"/>
    <cellStyle name="Normal 114 2 2 3 2 2" xfId="33124" xr:uid="{00000000-0005-0000-0000-00006D200000}"/>
    <cellStyle name="Normal 114 2 2 3 3" xfId="25077" xr:uid="{00000000-0005-0000-0000-00006E200000}"/>
    <cellStyle name="Normal 114 2 2 4" xfId="12643" xr:uid="{00000000-0005-0000-0000-00006F200000}"/>
    <cellStyle name="Normal 114 2 2 4 2" xfId="29168" xr:uid="{00000000-0005-0000-0000-000070200000}"/>
    <cellStyle name="Normal 114 2 2 5" xfId="21125" xr:uid="{00000000-0005-0000-0000-000071200000}"/>
    <cellStyle name="Normal 114 2 3" xfId="2968" xr:uid="{00000000-0005-0000-0000-000072200000}"/>
    <cellStyle name="Normal 114 2 3 2" xfId="7188" xr:uid="{00000000-0005-0000-0000-000073200000}"/>
    <cellStyle name="Normal 114 2 3 2 2" xfId="16551" xr:uid="{00000000-0005-0000-0000-000074200000}"/>
    <cellStyle name="Normal 114 2 3 2 2 2" xfId="33125" xr:uid="{00000000-0005-0000-0000-000075200000}"/>
    <cellStyle name="Normal 114 2 3 2 3" xfId="25078" xr:uid="{00000000-0005-0000-0000-000076200000}"/>
    <cellStyle name="Normal 114 2 3 3" xfId="12645" xr:uid="{00000000-0005-0000-0000-000077200000}"/>
    <cellStyle name="Normal 114 2 3 3 2" xfId="29170" xr:uid="{00000000-0005-0000-0000-000078200000}"/>
    <cellStyle name="Normal 114 2 3 4" xfId="21127" xr:uid="{00000000-0005-0000-0000-000079200000}"/>
    <cellStyle name="Normal 114 2 4" xfId="2969" xr:uid="{00000000-0005-0000-0000-00007A200000}"/>
    <cellStyle name="Normal 114 2 4 2" xfId="12646" xr:uid="{00000000-0005-0000-0000-00007B200000}"/>
    <cellStyle name="Normal 114 2 4 2 2" xfId="29171" xr:uid="{00000000-0005-0000-0000-00007C200000}"/>
    <cellStyle name="Normal 114 2 4 3" xfId="21128" xr:uid="{00000000-0005-0000-0000-00007D200000}"/>
    <cellStyle name="Normal 114 3" xfId="2970" xr:uid="{00000000-0005-0000-0000-00007E200000}"/>
    <cellStyle name="Normal 114 3 2" xfId="2971" xr:uid="{00000000-0005-0000-0000-00007F200000}"/>
    <cellStyle name="Normal 114 3 2 2" xfId="7189" xr:uid="{00000000-0005-0000-0000-000080200000}"/>
    <cellStyle name="Normal 114 3 2 2 2" xfId="16552" xr:uid="{00000000-0005-0000-0000-000081200000}"/>
    <cellStyle name="Normal 114 3 2 2 2 2" xfId="33126" xr:uid="{00000000-0005-0000-0000-000082200000}"/>
    <cellStyle name="Normal 114 3 2 2 3" xfId="25079" xr:uid="{00000000-0005-0000-0000-000083200000}"/>
    <cellStyle name="Normal 114 3 2 3" xfId="12648" xr:uid="{00000000-0005-0000-0000-000084200000}"/>
    <cellStyle name="Normal 114 3 2 3 2" xfId="29173" xr:uid="{00000000-0005-0000-0000-000085200000}"/>
    <cellStyle name="Normal 114 3 2 4" xfId="21130" xr:uid="{00000000-0005-0000-0000-000086200000}"/>
    <cellStyle name="Normal 114 3 3" xfId="7190" xr:uid="{00000000-0005-0000-0000-000087200000}"/>
    <cellStyle name="Normal 114 3 3 2" xfId="16553" xr:uid="{00000000-0005-0000-0000-000088200000}"/>
    <cellStyle name="Normal 114 3 3 2 2" xfId="33127" xr:uid="{00000000-0005-0000-0000-000089200000}"/>
    <cellStyle name="Normal 114 3 3 3" xfId="25080" xr:uid="{00000000-0005-0000-0000-00008A200000}"/>
    <cellStyle name="Normal 114 3 4" xfId="12647" xr:uid="{00000000-0005-0000-0000-00008B200000}"/>
    <cellStyle name="Normal 114 3 4 2" xfId="29172" xr:uid="{00000000-0005-0000-0000-00008C200000}"/>
    <cellStyle name="Normal 114 3 5" xfId="21129" xr:uid="{00000000-0005-0000-0000-00008D200000}"/>
    <cellStyle name="Normal 114 4" xfId="2972" xr:uid="{00000000-0005-0000-0000-00008E200000}"/>
    <cellStyle name="Normal 114 4 2" xfId="7191" xr:uid="{00000000-0005-0000-0000-00008F200000}"/>
    <cellStyle name="Normal 114 4 2 2" xfId="16554" xr:uid="{00000000-0005-0000-0000-000090200000}"/>
    <cellStyle name="Normal 114 4 2 2 2" xfId="33128" xr:uid="{00000000-0005-0000-0000-000091200000}"/>
    <cellStyle name="Normal 114 4 2 3" xfId="25081" xr:uid="{00000000-0005-0000-0000-000092200000}"/>
    <cellStyle name="Normal 114 4 3" xfId="12649" xr:uid="{00000000-0005-0000-0000-000093200000}"/>
    <cellStyle name="Normal 114 4 3 2" xfId="29174" xr:uid="{00000000-0005-0000-0000-000094200000}"/>
    <cellStyle name="Normal 114 4 4" xfId="21131" xr:uid="{00000000-0005-0000-0000-000095200000}"/>
    <cellStyle name="Normal 114 5" xfId="2973" xr:uid="{00000000-0005-0000-0000-000096200000}"/>
    <cellStyle name="Normal 114 5 2" xfId="12650" xr:uid="{00000000-0005-0000-0000-000097200000}"/>
    <cellStyle name="Normal 114 5 2 2" xfId="29175" xr:uid="{00000000-0005-0000-0000-000098200000}"/>
    <cellStyle name="Normal 114 5 3" xfId="21132" xr:uid="{00000000-0005-0000-0000-000099200000}"/>
    <cellStyle name="Normal 114 6" xfId="7192" xr:uid="{00000000-0005-0000-0000-00009A200000}"/>
    <cellStyle name="Normal 114 6 2" xfId="16555" xr:uid="{00000000-0005-0000-0000-00009B200000}"/>
    <cellStyle name="Normal 114 6 2 2" xfId="33129" xr:uid="{00000000-0005-0000-0000-00009C200000}"/>
    <cellStyle name="Normal 114 6 3" xfId="25082" xr:uid="{00000000-0005-0000-0000-00009D200000}"/>
    <cellStyle name="Normal 115" xfId="2974" xr:uid="{00000000-0005-0000-0000-00009E200000}"/>
    <cellStyle name="Normal 115 10" xfId="12651" xr:uid="{00000000-0005-0000-0000-00009F200000}"/>
    <cellStyle name="Normal 115 10 2" xfId="29176" xr:uid="{00000000-0005-0000-0000-0000A0200000}"/>
    <cellStyle name="Normal 115 11" xfId="21133" xr:uid="{00000000-0005-0000-0000-0000A1200000}"/>
    <cellStyle name="Normal 115 2" xfId="2975" xr:uid="{00000000-0005-0000-0000-0000A2200000}"/>
    <cellStyle name="Normal 115 2 2" xfId="2976" xr:uid="{00000000-0005-0000-0000-0000A3200000}"/>
    <cellStyle name="Normal 115 2 3" xfId="12652" xr:uid="{00000000-0005-0000-0000-0000A4200000}"/>
    <cellStyle name="Normal 115 2 3 2" xfId="29177" xr:uid="{00000000-0005-0000-0000-0000A5200000}"/>
    <cellStyle name="Normal 115 2 4" xfId="21134" xr:uid="{00000000-0005-0000-0000-0000A6200000}"/>
    <cellStyle name="Normal 115 3" xfId="2977" xr:uid="{00000000-0005-0000-0000-0000A7200000}"/>
    <cellStyle name="Normal 115 3 2" xfId="2978" xr:uid="{00000000-0005-0000-0000-0000A8200000}"/>
    <cellStyle name="Normal 115 3 2 2" xfId="2979" xr:uid="{00000000-0005-0000-0000-0000A9200000}"/>
    <cellStyle name="Normal 115 3 2 2 2" xfId="2980" xr:uid="{00000000-0005-0000-0000-0000AA200000}"/>
    <cellStyle name="Normal 115 3 2 2 2 2" xfId="7193" xr:uid="{00000000-0005-0000-0000-0000AB200000}"/>
    <cellStyle name="Normal 115 3 2 2 2 2 2" xfId="16556" xr:uid="{00000000-0005-0000-0000-0000AC200000}"/>
    <cellStyle name="Normal 115 3 2 2 2 2 2 2" xfId="33130" xr:uid="{00000000-0005-0000-0000-0000AD200000}"/>
    <cellStyle name="Normal 115 3 2 2 2 2 3" xfId="25083" xr:uid="{00000000-0005-0000-0000-0000AE200000}"/>
    <cellStyle name="Normal 115 3 2 2 2 3" xfId="12655" xr:uid="{00000000-0005-0000-0000-0000AF200000}"/>
    <cellStyle name="Normal 115 3 2 2 2 3 2" xfId="29180" xr:uid="{00000000-0005-0000-0000-0000B0200000}"/>
    <cellStyle name="Normal 115 3 2 2 2 4" xfId="21137" xr:uid="{00000000-0005-0000-0000-0000B1200000}"/>
    <cellStyle name="Normal 115 3 2 2 3" xfId="7194" xr:uid="{00000000-0005-0000-0000-0000B2200000}"/>
    <cellStyle name="Normal 115 3 2 2 3 2" xfId="16557" xr:uid="{00000000-0005-0000-0000-0000B3200000}"/>
    <cellStyle name="Normal 115 3 2 2 3 2 2" xfId="33131" xr:uid="{00000000-0005-0000-0000-0000B4200000}"/>
    <cellStyle name="Normal 115 3 2 2 3 3" xfId="25084" xr:uid="{00000000-0005-0000-0000-0000B5200000}"/>
    <cellStyle name="Normal 115 3 2 2 4" xfId="12654" xr:uid="{00000000-0005-0000-0000-0000B6200000}"/>
    <cellStyle name="Normal 115 3 2 2 4 2" xfId="29179" xr:uid="{00000000-0005-0000-0000-0000B7200000}"/>
    <cellStyle name="Normal 115 3 2 2 5" xfId="21136" xr:uid="{00000000-0005-0000-0000-0000B8200000}"/>
    <cellStyle name="Normal 115 3 2 3" xfId="2981" xr:uid="{00000000-0005-0000-0000-0000B9200000}"/>
    <cellStyle name="Normal 115 3 2 3 2" xfId="7195" xr:uid="{00000000-0005-0000-0000-0000BA200000}"/>
    <cellStyle name="Normal 115 3 2 3 2 2" xfId="16558" xr:uid="{00000000-0005-0000-0000-0000BB200000}"/>
    <cellStyle name="Normal 115 3 2 3 2 2 2" xfId="33132" xr:uid="{00000000-0005-0000-0000-0000BC200000}"/>
    <cellStyle name="Normal 115 3 2 3 2 3" xfId="25085" xr:uid="{00000000-0005-0000-0000-0000BD200000}"/>
    <cellStyle name="Normal 115 3 2 3 3" xfId="12656" xr:uid="{00000000-0005-0000-0000-0000BE200000}"/>
    <cellStyle name="Normal 115 3 2 3 3 2" xfId="29181" xr:uid="{00000000-0005-0000-0000-0000BF200000}"/>
    <cellStyle name="Normal 115 3 2 3 4" xfId="21138" xr:uid="{00000000-0005-0000-0000-0000C0200000}"/>
    <cellStyle name="Normal 115 3 2 4" xfId="7196" xr:uid="{00000000-0005-0000-0000-0000C1200000}"/>
    <cellStyle name="Normal 115 3 2 4 2" xfId="16559" xr:uid="{00000000-0005-0000-0000-0000C2200000}"/>
    <cellStyle name="Normal 115 3 2 4 2 2" xfId="33133" xr:uid="{00000000-0005-0000-0000-0000C3200000}"/>
    <cellStyle name="Normal 115 3 2 4 3" xfId="25086" xr:uid="{00000000-0005-0000-0000-0000C4200000}"/>
    <cellStyle name="Normal 115 3 2 5" xfId="12653" xr:uid="{00000000-0005-0000-0000-0000C5200000}"/>
    <cellStyle name="Normal 115 3 2 5 2" xfId="29178" xr:uid="{00000000-0005-0000-0000-0000C6200000}"/>
    <cellStyle name="Normal 115 3 2 6" xfId="21135" xr:uid="{00000000-0005-0000-0000-0000C7200000}"/>
    <cellStyle name="Normal 115 3 3" xfId="2982" xr:uid="{00000000-0005-0000-0000-0000C8200000}"/>
    <cellStyle name="Normal 115 3 3 2" xfId="2983" xr:uid="{00000000-0005-0000-0000-0000C9200000}"/>
    <cellStyle name="Normal 115 3 3 2 2" xfId="7197" xr:uid="{00000000-0005-0000-0000-0000CA200000}"/>
    <cellStyle name="Normal 115 3 3 2 2 2" xfId="16560" xr:uid="{00000000-0005-0000-0000-0000CB200000}"/>
    <cellStyle name="Normal 115 3 3 2 2 2 2" xfId="33134" xr:uid="{00000000-0005-0000-0000-0000CC200000}"/>
    <cellStyle name="Normal 115 3 3 2 2 3" xfId="25087" xr:uid="{00000000-0005-0000-0000-0000CD200000}"/>
    <cellStyle name="Normal 115 3 3 2 3" xfId="12658" xr:uid="{00000000-0005-0000-0000-0000CE200000}"/>
    <cellStyle name="Normal 115 3 3 2 3 2" xfId="29183" xr:uid="{00000000-0005-0000-0000-0000CF200000}"/>
    <cellStyle name="Normal 115 3 3 2 4" xfId="21140" xr:uid="{00000000-0005-0000-0000-0000D0200000}"/>
    <cellStyle name="Normal 115 3 3 3" xfId="7198" xr:uid="{00000000-0005-0000-0000-0000D1200000}"/>
    <cellStyle name="Normal 115 3 3 3 2" xfId="16561" xr:uid="{00000000-0005-0000-0000-0000D2200000}"/>
    <cellStyle name="Normal 115 3 3 3 2 2" xfId="33135" xr:uid="{00000000-0005-0000-0000-0000D3200000}"/>
    <cellStyle name="Normal 115 3 3 3 3" xfId="25088" xr:uid="{00000000-0005-0000-0000-0000D4200000}"/>
    <cellStyle name="Normal 115 3 3 4" xfId="12657" xr:uid="{00000000-0005-0000-0000-0000D5200000}"/>
    <cellStyle name="Normal 115 3 3 4 2" xfId="29182" xr:uid="{00000000-0005-0000-0000-0000D6200000}"/>
    <cellStyle name="Normal 115 3 3 5" xfId="21139" xr:uid="{00000000-0005-0000-0000-0000D7200000}"/>
    <cellStyle name="Normal 115 3 4" xfId="2984" xr:uid="{00000000-0005-0000-0000-0000D8200000}"/>
    <cellStyle name="Normal 115 3 4 2" xfId="7199" xr:uid="{00000000-0005-0000-0000-0000D9200000}"/>
    <cellStyle name="Normal 115 3 4 2 2" xfId="16562" xr:uid="{00000000-0005-0000-0000-0000DA200000}"/>
    <cellStyle name="Normal 115 3 4 2 2 2" xfId="33136" xr:uid="{00000000-0005-0000-0000-0000DB200000}"/>
    <cellStyle name="Normal 115 3 4 2 3" xfId="25089" xr:uid="{00000000-0005-0000-0000-0000DC200000}"/>
    <cellStyle name="Normal 115 3 4 3" xfId="12659" xr:uid="{00000000-0005-0000-0000-0000DD200000}"/>
    <cellStyle name="Normal 115 3 4 3 2" xfId="29184" xr:uid="{00000000-0005-0000-0000-0000DE200000}"/>
    <cellStyle name="Normal 115 3 4 4" xfId="21141" xr:uid="{00000000-0005-0000-0000-0000DF200000}"/>
    <cellStyle name="Normal 115 3 5" xfId="2985" xr:uid="{00000000-0005-0000-0000-0000E0200000}"/>
    <cellStyle name="Normal 115 3 5 2" xfId="12660" xr:uid="{00000000-0005-0000-0000-0000E1200000}"/>
    <cellStyle name="Normal 115 3 5 2 2" xfId="29185" xr:uid="{00000000-0005-0000-0000-0000E2200000}"/>
    <cellStyle name="Normal 115 3 5 3" xfId="21142" xr:uid="{00000000-0005-0000-0000-0000E3200000}"/>
    <cellStyle name="Normal 115 4" xfId="2986" xr:uid="{00000000-0005-0000-0000-0000E4200000}"/>
    <cellStyle name="Normal 115 4 2" xfId="2987" xr:uid="{00000000-0005-0000-0000-0000E5200000}"/>
    <cellStyle name="Normal 115 4 2 2" xfId="2988" xr:uid="{00000000-0005-0000-0000-0000E6200000}"/>
    <cellStyle name="Normal 115 4 2 2 2" xfId="2989" xr:uid="{00000000-0005-0000-0000-0000E7200000}"/>
    <cellStyle name="Normal 115 4 2 2 2 2" xfId="7200" xr:uid="{00000000-0005-0000-0000-0000E8200000}"/>
    <cellStyle name="Normal 115 4 2 2 2 2 2" xfId="16563" xr:uid="{00000000-0005-0000-0000-0000E9200000}"/>
    <cellStyle name="Normal 115 4 2 2 2 2 2 2" xfId="33137" xr:uid="{00000000-0005-0000-0000-0000EA200000}"/>
    <cellStyle name="Normal 115 4 2 2 2 2 3" xfId="25090" xr:uid="{00000000-0005-0000-0000-0000EB200000}"/>
    <cellStyle name="Normal 115 4 2 2 2 3" xfId="12664" xr:uid="{00000000-0005-0000-0000-0000EC200000}"/>
    <cellStyle name="Normal 115 4 2 2 2 3 2" xfId="29189" xr:uid="{00000000-0005-0000-0000-0000ED200000}"/>
    <cellStyle name="Normal 115 4 2 2 2 4" xfId="21146" xr:uid="{00000000-0005-0000-0000-0000EE200000}"/>
    <cellStyle name="Normal 115 4 2 2 3" xfId="7201" xr:uid="{00000000-0005-0000-0000-0000EF200000}"/>
    <cellStyle name="Normal 115 4 2 2 3 2" xfId="16564" xr:uid="{00000000-0005-0000-0000-0000F0200000}"/>
    <cellStyle name="Normal 115 4 2 2 3 2 2" xfId="33138" xr:uid="{00000000-0005-0000-0000-0000F1200000}"/>
    <cellStyle name="Normal 115 4 2 2 3 3" xfId="25091" xr:uid="{00000000-0005-0000-0000-0000F2200000}"/>
    <cellStyle name="Normal 115 4 2 2 4" xfId="12663" xr:uid="{00000000-0005-0000-0000-0000F3200000}"/>
    <cellStyle name="Normal 115 4 2 2 4 2" xfId="29188" xr:uid="{00000000-0005-0000-0000-0000F4200000}"/>
    <cellStyle name="Normal 115 4 2 2 5" xfId="21145" xr:uid="{00000000-0005-0000-0000-0000F5200000}"/>
    <cellStyle name="Normal 115 4 2 3" xfId="2990" xr:uid="{00000000-0005-0000-0000-0000F6200000}"/>
    <cellStyle name="Normal 115 4 2 3 2" xfId="7202" xr:uid="{00000000-0005-0000-0000-0000F7200000}"/>
    <cellStyle name="Normal 115 4 2 3 2 2" xfId="16565" xr:uid="{00000000-0005-0000-0000-0000F8200000}"/>
    <cellStyle name="Normal 115 4 2 3 2 2 2" xfId="33139" xr:uid="{00000000-0005-0000-0000-0000F9200000}"/>
    <cellStyle name="Normal 115 4 2 3 2 3" xfId="25092" xr:uid="{00000000-0005-0000-0000-0000FA200000}"/>
    <cellStyle name="Normal 115 4 2 3 3" xfId="12665" xr:uid="{00000000-0005-0000-0000-0000FB200000}"/>
    <cellStyle name="Normal 115 4 2 3 3 2" xfId="29190" xr:uid="{00000000-0005-0000-0000-0000FC200000}"/>
    <cellStyle name="Normal 115 4 2 3 4" xfId="21147" xr:uid="{00000000-0005-0000-0000-0000FD200000}"/>
    <cellStyle name="Normal 115 4 2 4" xfId="7203" xr:uid="{00000000-0005-0000-0000-0000FE200000}"/>
    <cellStyle name="Normal 115 4 2 4 2" xfId="16566" xr:uid="{00000000-0005-0000-0000-0000FF200000}"/>
    <cellStyle name="Normal 115 4 2 4 2 2" xfId="33140" xr:uid="{00000000-0005-0000-0000-000000210000}"/>
    <cellStyle name="Normal 115 4 2 4 3" xfId="25093" xr:uid="{00000000-0005-0000-0000-000001210000}"/>
    <cellStyle name="Normal 115 4 2 5" xfId="12662" xr:uid="{00000000-0005-0000-0000-000002210000}"/>
    <cellStyle name="Normal 115 4 2 5 2" xfId="29187" xr:uid="{00000000-0005-0000-0000-000003210000}"/>
    <cellStyle name="Normal 115 4 2 6" xfId="21144" xr:uid="{00000000-0005-0000-0000-000004210000}"/>
    <cellStyle name="Normal 115 4 3" xfId="2991" xr:uid="{00000000-0005-0000-0000-000005210000}"/>
    <cellStyle name="Normal 115 4 3 2" xfId="2992" xr:uid="{00000000-0005-0000-0000-000006210000}"/>
    <cellStyle name="Normal 115 4 3 2 2" xfId="7204" xr:uid="{00000000-0005-0000-0000-000007210000}"/>
    <cellStyle name="Normal 115 4 3 2 2 2" xfId="16567" xr:uid="{00000000-0005-0000-0000-000008210000}"/>
    <cellStyle name="Normal 115 4 3 2 2 2 2" xfId="33141" xr:uid="{00000000-0005-0000-0000-000009210000}"/>
    <cellStyle name="Normal 115 4 3 2 2 3" xfId="25094" xr:uid="{00000000-0005-0000-0000-00000A210000}"/>
    <cellStyle name="Normal 115 4 3 2 3" xfId="12667" xr:uid="{00000000-0005-0000-0000-00000B210000}"/>
    <cellStyle name="Normal 115 4 3 2 3 2" xfId="29192" xr:uid="{00000000-0005-0000-0000-00000C210000}"/>
    <cellStyle name="Normal 115 4 3 2 4" xfId="21149" xr:uid="{00000000-0005-0000-0000-00000D210000}"/>
    <cellStyle name="Normal 115 4 3 3" xfId="7205" xr:uid="{00000000-0005-0000-0000-00000E210000}"/>
    <cellStyle name="Normal 115 4 3 3 2" xfId="16568" xr:uid="{00000000-0005-0000-0000-00000F210000}"/>
    <cellStyle name="Normal 115 4 3 3 2 2" xfId="33142" xr:uid="{00000000-0005-0000-0000-000010210000}"/>
    <cellStyle name="Normal 115 4 3 3 3" xfId="25095" xr:uid="{00000000-0005-0000-0000-000011210000}"/>
    <cellStyle name="Normal 115 4 3 4" xfId="12666" xr:uid="{00000000-0005-0000-0000-000012210000}"/>
    <cellStyle name="Normal 115 4 3 4 2" xfId="29191" xr:uid="{00000000-0005-0000-0000-000013210000}"/>
    <cellStyle name="Normal 115 4 3 5" xfId="21148" xr:uid="{00000000-0005-0000-0000-000014210000}"/>
    <cellStyle name="Normal 115 4 4" xfId="2993" xr:uid="{00000000-0005-0000-0000-000015210000}"/>
    <cellStyle name="Normal 115 4 4 2" xfId="7206" xr:uid="{00000000-0005-0000-0000-000016210000}"/>
    <cellStyle name="Normal 115 4 4 2 2" xfId="16569" xr:uid="{00000000-0005-0000-0000-000017210000}"/>
    <cellStyle name="Normal 115 4 4 2 2 2" xfId="33143" xr:uid="{00000000-0005-0000-0000-000018210000}"/>
    <cellStyle name="Normal 115 4 4 2 3" xfId="25096" xr:uid="{00000000-0005-0000-0000-000019210000}"/>
    <cellStyle name="Normal 115 4 4 3" xfId="12668" xr:uid="{00000000-0005-0000-0000-00001A210000}"/>
    <cellStyle name="Normal 115 4 4 3 2" xfId="29193" xr:uid="{00000000-0005-0000-0000-00001B210000}"/>
    <cellStyle name="Normal 115 4 4 4" xfId="21150" xr:uid="{00000000-0005-0000-0000-00001C210000}"/>
    <cellStyle name="Normal 115 4 5" xfId="7207" xr:uid="{00000000-0005-0000-0000-00001D210000}"/>
    <cellStyle name="Normal 115 4 5 2" xfId="16570" xr:uid="{00000000-0005-0000-0000-00001E210000}"/>
    <cellStyle name="Normal 115 4 5 2 2" xfId="33144" xr:uid="{00000000-0005-0000-0000-00001F210000}"/>
    <cellStyle name="Normal 115 4 5 3" xfId="25097" xr:uid="{00000000-0005-0000-0000-000020210000}"/>
    <cellStyle name="Normal 115 4 6" xfId="12661" xr:uid="{00000000-0005-0000-0000-000021210000}"/>
    <cellStyle name="Normal 115 4 6 2" xfId="29186" xr:uid="{00000000-0005-0000-0000-000022210000}"/>
    <cellStyle name="Normal 115 4 7" xfId="21143" xr:uid="{00000000-0005-0000-0000-000023210000}"/>
    <cellStyle name="Normal 115 5" xfId="2994" xr:uid="{00000000-0005-0000-0000-000024210000}"/>
    <cellStyle name="Normal 115 5 2" xfId="2995" xr:uid="{00000000-0005-0000-0000-000025210000}"/>
    <cellStyle name="Normal 115 5 2 2" xfId="2996" xr:uid="{00000000-0005-0000-0000-000026210000}"/>
    <cellStyle name="Normal 115 5 2 2 2" xfId="2997" xr:uid="{00000000-0005-0000-0000-000027210000}"/>
    <cellStyle name="Normal 115 5 2 2 2 2" xfId="7208" xr:uid="{00000000-0005-0000-0000-000028210000}"/>
    <cellStyle name="Normal 115 5 2 2 2 2 2" xfId="16571" xr:uid="{00000000-0005-0000-0000-000029210000}"/>
    <cellStyle name="Normal 115 5 2 2 2 2 2 2" xfId="33145" xr:uid="{00000000-0005-0000-0000-00002A210000}"/>
    <cellStyle name="Normal 115 5 2 2 2 2 3" xfId="25098" xr:uid="{00000000-0005-0000-0000-00002B210000}"/>
    <cellStyle name="Normal 115 5 2 2 2 3" xfId="12672" xr:uid="{00000000-0005-0000-0000-00002C210000}"/>
    <cellStyle name="Normal 115 5 2 2 2 3 2" xfId="29197" xr:uid="{00000000-0005-0000-0000-00002D210000}"/>
    <cellStyle name="Normal 115 5 2 2 2 4" xfId="21154" xr:uid="{00000000-0005-0000-0000-00002E210000}"/>
    <cellStyle name="Normal 115 5 2 2 3" xfId="7209" xr:uid="{00000000-0005-0000-0000-00002F210000}"/>
    <cellStyle name="Normal 115 5 2 2 3 2" xfId="16572" xr:uid="{00000000-0005-0000-0000-000030210000}"/>
    <cellStyle name="Normal 115 5 2 2 3 2 2" xfId="33146" xr:uid="{00000000-0005-0000-0000-000031210000}"/>
    <cellStyle name="Normal 115 5 2 2 3 3" xfId="25099" xr:uid="{00000000-0005-0000-0000-000032210000}"/>
    <cellStyle name="Normal 115 5 2 2 4" xfId="12671" xr:uid="{00000000-0005-0000-0000-000033210000}"/>
    <cellStyle name="Normal 115 5 2 2 4 2" xfId="29196" xr:uid="{00000000-0005-0000-0000-000034210000}"/>
    <cellStyle name="Normal 115 5 2 2 5" xfId="21153" xr:uid="{00000000-0005-0000-0000-000035210000}"/>
    <cellStyle name="Normal 115 5 2 3" xfId="2998" xr:uid="{00000000-0005-0000-0000-000036210000}"/>
    <cellStyle name="Normal 115 5 2 3 2" xfId="7210" xr:uid="{00000000-0005-0000-0000-000037210000}"/>
    <cellStyle name="Normal 115 5 2 3 2 2" xfId="16573" xr:uid="{00000000-0005-0000-0000-000038210000}"/>
    <cellStyle name="Normal 115 5 2 3 2 2 2" xfId="33147" xr:uid="{00000000-0005-0000-0000-000039210000}"/>
    <cellStyle name="Normal 115 5 2 3 2 3" xfId="25100" xr:uid="{00000000-0005-0000-0000-00003A210000}"/>
    <cellStyle name="Normal 115 5 2 3 3" xfId="12673" xr:uid="{00000000-0005-0000-0000-00003B210000}"/>
    <cellStyle name="Normal 115 5 2 3 3 2" xfId="29198" xr:uid="{00000000-0005-0000-0000-00003C210000}"/>
    <cellStyle name="Normal 115 5 2 3 4" xfId="21155" xr:uid="{00000000-0005-0000-0000-00003D210000}"/>
    <cellStyle name="Normal 115 5 2 4" xfId="7211" xr:uid="{00000000-0005-0000-0000-00003E210000}"/>
    <cellStyle name="Normal 115 5 2 4 2" xfId="16574" xr:uid="{00000000-0005-0000-0000-00003F210000}"/>
    <cellStyle name="Normal 115 5 2 4 2 2" xfId="33148" xr:uid="{00000000-0005-0000-0000-000040210000}"/>
    <cellStyle name="Normal 115 5 2 4 3" xfId="25101" xr:uid="{00000000-0005-0000-0000-000041210000}"/>
    <cellStyle name="Normal 115 5 2 5" xfId="12670" xr:uid="{00000000-0005-0000-0000-000042210000}"/>
    <cellStyle name="Normal 115 5 2 5 2" xfId="29195" xr:uid="{00000000-0005-0000-0000-000043210000}"/>
    <cellStyle name="Normal 115 5 2 6" xfId="21152" xr:uid="{00000000-0005-0000-0000-000044210000}"/>
    <cellStyle name="Normal 115 5 3" xfId="2999" xr:uid="{00000000-0005-0000-0000-000045210000}"/>
    <cellStyle name="Normal 115 5 3 2" xfId="3000" xr:uid="{00000000-0005-0000-0000-000046210000}"/>
    <cellStyle name="Normal 115 5 3 2 2" xfId="7212" xr:uid="{00000000-0005-0000-0000-000047210000}"/>
    <cellStyle name="Normal 115 5 3 2 2 2" xfId="16575" xr:uid="{00000000-0005-0000-0000-000048210000}"/>
    <cellStyle name="Normal 115 5 3 2 2 2 2" xfId="33149" xr:uid="{00000000-0005-0000-0000-000049210000}"/>
    <cellStyle name="Normal 115 5 3 2 2 3" xfId="25102" xr:uid="{00000000-0005-0000-0000-00004A210000}"/>
    <cellStyle name="Normal 115 5 3 2 3" xfId="12675" xr:uid="{00000000-0005-0000-0000-00004B210000}"/>
    <cellStyle name="Normal 115 5 3 2 3 2" xfId="29200" xr:uid="{00000000-0005-0000-0000-00004C210000}"/>
    <cellStyle name="Normal 115 5 3 2 4" xfId="21157" xr:uid="{00000000-0005-0000-0000-00004D210000}"/>
    <cellStyle name="Normal 115 5 3 3" xfId="7213" xr:uid="{00000000-0005-0000-0000-00004E210000}"/>
    <cellStyle name="Normal 115 5 3 3 2" xfId="16576" xr:uid="{00000000-0005-0000-0000-00004F210000}"/>
    <cellStyle name="Normal 115 5 3 3 2 2" xfId="33150" xr:uid="{00000000-0005-0000-0000-000050210000}"/>
    <cellStyle name="Normal 115 5 3 3 3" xfId="25103" xr:uid="{00000000-0005-0000-0000-000051210000}"/>
    <cellStyle name="Normal 115 5 3 4" xfId="12674" xr:uid="{00000000-0005-0000-0000-000052210000}"/>
    <cellStyle name="Normal 115 5 3 4 2" xfId="29199" xr:uid="{00000000-0005-0000-0000-000053210000}"/>
    <cellStyle name="Normal 115 5 3 5" xfId="21156" xr:uid="{00000000-0005-0000-0000-000054210000}"/>
    <cellStyle name="Normal 115 5 4" xfId="3001" xr:uid="{00000000-0005-0000-0000-000055210000}"/>
    <cellStyle name="Normal 115 5 4 2" xfId="7214" xr:uid="{00000000-0005-0000-0000-000056210000}"/>
    <cellStyle name="Normal 115 5 4 2 2" xfId="16577" xr:uid="{00000000-0005-0000-0000-000057210000}"/>
    <cellStyle name="Normal 115 5 4 2 2 2" xfId="33151" xr:uid="{00000000-0005-0000-0000-000058210000}"/>
    <cellStyle name="Normal 115 5 4 2 3" xfId="25104" xr:uid="{00000000-0005-0000-0000-000059210000}"/>
    <cellStyle name="Normal 115 5 4 3" xfId="12676" xr:uid="{00000000-0005-0000-0000-00005A210000}"/>
    <cellStyle name="Normal 115 5 4 3 2" xfId="29201" xr:uid="{00000000-0005-0000-0000-00005B210000}"/>
    <cellStyle name="Normal 115 5 4 4" xfId="21158" xr:uid="{00000000-0005-0000-0000-00005C210000}"/>
    <cellStyle name="Normal 115 5 5" xfId="7215" xr:uid="{00000000-0005-0000-0000-00005D210000}"/>
    <cellStyle name="Normal 115 5 5 2" xfId="16578" xr:uid="{00000000-0005-0000-0000-00005E210000}"/>
    <cellStyle name="Normal 115 5 5 2 2" xfId="33152" xr:uid="{00000000-0005-0000-0000-00005F210000}"/>
    <cellStyle name="Normal 115 5 5 3" xfId="25105" xr:uid="{00000000-0005-0000-0000-000060210000}"/>
    <cellStyle name="Normal 115 5 6" xfId="12669" xr:uid="{00000000-0005-0000-0000-000061210000}"/>
    <cellStyle name="Normal 115 5 6 2" xfId="29194" xr:uid="{00000000-0005-0000-0000-000062210000}"/>
    <cellStyle name="Normal 115 5 7" xfId="21151" xr:uid="{00000000-0005-0000-0000-000063210000}"/>
    <cellStyle name="Normal 115 6" xfId="3002" xr:uid="{00000000-0005-0000-0000-000064210000}"/>
    <cellStyle name="Normal 115 6 2" xfId="3003" xr:uid="{00000000-0005-0000-0000-000065210000}"/>
    <cellStyle name="Normal 115 6 2 2" xfId="3004" xr:uid="{00000000-0005-0000-0000-000066210000}"/>
    <cellStyle name="Normal 115 6 2 2 2" xfId="7216" xr:uid="{00000000-0005-0000-0000-000067210000}"/>
    <cellStyle name="Normal 115 6 2 2 2 2" xfId="16579" xr:uid="{00000000-0005-0000-0000-000068210000}"/>
    <cellStyle name="Normal 115 6 2 2 2 2 2" xfId="33153" xr:uid="{00000000-0005-0000-0000-000069210000}"/>
    <cellStyle name="Normal 115 6 2 2 2 3" xfId="25106" xr:uid="{00000000-0005-0000-0000-00006A210000}"/>
    <cellStyle name="Normal 115 6 2 2 3" xfId="12679" xr:uid="{00000000-0005-0000-0000-00006B210000}"/>
    <cellStyle name="Normal 115 6 2 2 3 2" xfId="29204" xr:uid="{00000000-0005-0000-0000-00006C210000}"/>
    <cellStyle name="Normal 115 6 2 2 4" xfId="21161" xr:uid="{00000000-0005-0000-0000-00006D210000}"/>
    <cellStyle name="Normal 115 6 2 3" xfId="7217" xr:uid="{00000000-0005-0000-0000-00006E210000}"/>
    <cellStyle name="Normal 115 6 2 3 2" xfId="16580" xr:uid="{00000000-0005-0000-0000-00006F210000}"/>
    <cellStyle name="Normal 115 6 2 3 2 2" xfId="33154" xr:uid="{00000000-0005-0000-0000-000070210000}"/>
    <cellStyle name="Normal 115 6 2 3 3" xfId="25107" xr:uid="{00000000-0005-0000-0000-000071210000}"/>
    <cellStyle name="Normal 115 6 2 4" xfId="12678" xr:uid="{00000000-0005-0000-0000-000072210000}"/>
    <cellStyle name="Normal 115 6 2 4 2" xfId="29203" xr:uid="{00000000-0005-0000-0000-000073210000}"/>
    <cellStyle name="Normal 115 6 2 5" xfId="21160" xr:uid="{00000000-0005-0000-0000-000074210000}"/>
    <cellStyle name="Normal 115 6 3" xfId="3005" xr:uid="{00000000-0005-0000-0000-000075210000}"/>
    <cellStyle name="Normal 115 6 3 2" xfId="7218" xr:uid="{00000000-0005-0000-0000-000076210000}"/>
    <cellStyle name="Normal 115 6 3 2 2" xfId="16581" xr:uid="{00000000-0005-0000-0000-000077210000}"/>
    <cellStyle name="Normal 115 6 3 2 2 2" xfId="33155" xr:uid="{00000000-0005-0000-0000-000078210000}"/>
    <cellStyle name="Normal 115 6 3 2 3" xfId="25108" xr:uid="{00000000-0005-0000-0000-000079210000}"/>
    <cellStyle name="Normal 115 6 3 3" xfId="12680" xr:uid="{00000000-0005-0000-0000-00007A210000}"/>
    <cellStyle name="Normal 115 6 3 3 2" xfId="29205" xr:uid="{00000000-0005-0000-0000-00007B210000}"/>
    <cellStyle name="Normal 115 6 3 4" xfId="21162" xr:uid="{00000000-0005-0000-0000-00007C210000}"/>
    <cellStyle name="Normal 115 6 4" xfId="7219" xr:uid="{00000000-0005-0000-0000-00007D210000}"/>
    <cellStyle name="Normal 115 6 4 2" xfId="16582" xr:uid="{00000000-0005-0000-0000-00007E210000}"/>
    <cellStyle name="Normal 115 6 4 2 2" xfId="33156" xr:uid="{00000000-0005-0000-0000-00007F210000}"/>
    <cellStyle name="Normal 115 6 4 3" xfId="25109" xr:uid="{00000000-0005-0000-0000-000080210000}"/>
    <cellStyle name="Normal 115 6 5" xfId="12677" xr:uid="{00000000-0005-0000-0000-000081210000}"/>
    <cellStyle name="Normal 115 6 5 2" xfId="29202" xr:uid="{00000000-0005-0000-0000-000082210000}"/>
    <cellStyle name="Normal 115 6 6" xfId="21159" xr:uid="{00000000-0005-0000-0000-000083210000}"/>
    <cellStyle name="Normal 115 7" xfId="3006" xr:uid="{00000000-0005-0000-0000-000084210000}"/>
    <cellStyle name="Normal 115 7 2" xfId="3007" xr:uid="{00000000-0005-0000-0000-000085210000}"/>
    <cellStyle name="Normal 115 7 2 2" xfId="7220" xr:uid="{00000000-0005-0000-0000-000086210000}"/>
    <cellStyle name="Normal 115 7 2 2 2" xfId="16583" xr:uid="{00000000-0005-0000-0000-000087210000}"/>
    <cellStyle name="Normal 115 7 2 2 2 2" xfId="33157" xr:uid="{00000000-0005-0000-0000-000088210000}"/>
    <cellStyle name="Normal 115 7 2 2 3" xfId="25110" xr:uid="{00000000-0005-0000-0000-000089210000}"/>
    <cellStyle name="Normal 115 7 2 3" xfId="12682" xr:uid="{00000000-0005-0000-0000-00008A210000}"/>
    <cellStyle name="Normal 115 7 2 3 2" xfId="29207" xr:uid="{00000000-0005-0000-0000-00008B210000}"/>
    <cellStyle name="Normal 115 7 2 4" xfId="21164" xr:uid="{00000000-0005-0000-0000-00008C210000}"/>
    <cellStyle name="Normal 115 7 3" xfId="7221" xr:uid="{00000000-0005-0000-0000-00008D210000}"/>
    <cellStyle name="Normal 115 7 3 2" xfId="16584" xr:uid="{00000000-0005-0000-0000-00008E210000}"/>
    <cellStyle name="Normal 115 7 3 2 2" xfId="33158" xr:uid="{00000000-0005-0000-0000-00008F210000}"/>
    <cellStyle name="Normal 115 7 3 3" xfId="25111" xr:uid="{00000000-0005-0000-0000-000090210000}"/>
    <cellStyle name="Normal 115 7 4" xfId="12681" xr:uid="{00000000-0005-0000-0000-000091210000}"/>
    <cellStyle name="Normal 115 7 4 2" xfId="29206" xr:uid="{00000000-0005-0000-0000-000092210000}"/>
    <cellStyle name="Normal 115 7 5" xfId="21163" xr:uid="{00000000-0005-0000-0000-000093210000}"/>
    <cellStyle name="Normal 115 8" xfId="3008" xr:uid="{00000000-0005-0000-0000-000094210000}"/>
    <cellStyle name="Normal 115 8 2" xfId="7222" xr:uid="{00000000-0005-0000-0000-000095210000}"/>
    <cellStyle name="Normal 115 8 2 2" xfId="16585" xr:uid="{00000000-0005-0000-0000-000096210000}"/>
    <cellStyle name="Normal 115 8 2 2 2" xfId="33159" xr:uid="{00000000-0005-0000-0000-000097210000}"/>
    <cellStyle name="Normal 115 8 2 3" xfId="25112" xr:uid="{00000000-0005-0000-0000-000098210000}"/>
    <cellStyle name="Normal 115 8 3" xfId="12683" xr:uid="{00000000-0005-0000-0000-000099210000}"/>
    <cellStyle name="Normal 115 8 3 2" xfId="29208" xr:uid="{00000000-0005-0000-0000-00009A210000}"/>
    <cellStyle name="Normal 115 8 4" xfId="21165" xr:uid="{00000000-0005-0000-0000-00009B210000}"/>
    <cellStyle name="Normal 115 9" xfId="7223" xr:uid="{00000000-0005-0000-0000-00009C210000}"/>
    <cellStyle name="Normal 115 9 2" xfId="16586" xr:uid="{00000000-0005-0000-0000-00009D210000}"/>
    <cellStyle name="Normal 115 9 2 2" xfId="33160" xr:uid="{00000000-0005-0000-0000-00009E210000}"/>
    <cellStyle name="Normal 115 9 3" xfId="25113" xr:uid="{00000000-0005-0000-0000-00009F210000}"/>
    <cellStyle name="Normal 116" xfId="3009" xr:uid="{00000000-0005-0000-0000-0000A0210000}"/>
    <cellStyle name="Normal 116 10" xfId="12684" xr:uid="{00000000-0005-0000-0000-0000A1210000}"/>
    <cellStyle name="Normal 116 10 2" xfId="29209" xr:uid="{00000000-0005-0000-0000-0000A2210000}"/>
    <cellStyle name="Normal 116 11" xfId="21166" xr:uid="{00000000-0005-0000-0000-0000A3210000}"/>
    <cellStyle name="Normal 116 2" xfId="3010" xr:uid="{00000000-0005-0000-0000-0000A4210000}"/>
    <cellStyle name="Normal 116 2 2" xfId="3011" xr:uid="{00000000-0005-0000-0000-0000A5210000}"/>
    <cellStyle name="Normal 116 2 3" xfId="12685" xr:uid="{00000000-0005-0000-0000-0000A6210000}"/>
    <cellStyle name="Normal 116 2 3 2" xfId="29210" xr:uid="{00000000-0005-0000-0000-0000A7210000}"/>
    <cellStyle name="Normal 116 2 4" xfId="21167" xr:uid="{00000000-0005-0000-0000-0000A8210000}"/>
    <cellStyle name="Normal 116 3" xfId="3012" xr:uid="{00000000-0005-0000-0000-0000A9210000}"/>
    <cellStyle name="Normal 116 3 2" xfId="3013" xr:uid="{00000000-0005-0000-0000-0000AA210000}"/>
    <cellStyle name="Normal 116 3 2 2" xfId="3014" xr:uid="{00000000-0005-0000-0000-0000AB210000}"/>
    <cellStyle name="Normal 116 3 2 2 2" xfId="3015" xr:uid="{00000000-0005-0000-0000-0000AC210000}"/>
    <cellStyle name="Normal 116 3 2 2 2 2" xfId="7224" xr:uid="{00000000-0005-0000-0000-0000AD210000}"/>
    <cellStyle name="Normal 116 3 2 2 2 2 2" xfId="16587" xr:uid="{00000000-0005-0000-0000-0000AE210000}"/>
    <cellStyle name="Normal 116 3 2 2 2 2 2 2" xfId="33161" xr:uid="{00000000-0005-0000-0000-0000AF210000}"/>
    <cellStyle name="Normal 116 3 2 2 2 2 3" xfId="25114" xr:uid="{00000000-0005-0000-0000-0000B0210000}"/>
    <cellStyle name="Normal 116 3 2 2 2 3" xfId="12688" xr:uid="{00000000-0005-0000-0000-0000B1210000}"/>
    <cellStyle name="Normal 116 3 2 2 2 3 2" xfId="29213" xr:uid="{00000000-0005-0000-0000-0000B2210000}"/>
    <cellStyle name="Normal 116 3 2 2 2 4" xfId="21170" xr:uid="{00000000-0005-0000-0000-0000B3210000}"/>
    <cellStyle name="Normal 116 3 2 2 3" xfId="7225" xr:uid="{00000000-0005-0000-0000-0000B4210000}"/>
    <cellStyle name="Normal 116 3 2 2 3 2" xfId="16588" xr:uid="{00000000-0005-0000-0000-0000B5210000}"/>
    <cellStyle name="Normal 116 3 2 2 3 2 2" xfId="33162" xr:uid="{00000000-0005-0000-0000-0000B6210000}"/>
    <cellStyle name="Normal 116 3 2 2 3 3" xfId="25115" xr:uid="{00000000-0005-0000-0000-0000B7210000}"/>
    <cellStyle name="Normal 116 3 2 2 4" xfId="12687" xr:uid="{00000000-0005-0000-0000-0000B8210000}"/>
    <cellStyle name="Normal 116 3 2 2 4 2" xfId="29212" xr:uid="{00000000-0005-0000-0000-0000B9210000}"/>
    <cellStyle name="Normal 116 3 2 2 5" xfId="21169" xr:uid="{00000000-0005-0000-0000-0000BA210000}"/>
    <cellStyle name="Normal 116 3 2 3" xfId="3016" xr:uid="{00000000-0005-0000-0000-0000BB210000}"/>
    <cellStyle name="Normal 116 3 2 3 2" xfId="7226" xr:uid="{00000000-0005-0000-0000-0000BC210000}"/>
    <cellStyle name="Normal 116 3 2 3 2 2" xfId="16589" xr:uid="{00000000-0005-0000-0000-0000BD210000}"/>
    <cellStyle name="Normal 116 3 2 3 2 2 2" xfId="33163" xr:uid="{00000000-0005-0000-0000-0000BE210000}"/>
    <cellStyle name="Normal 116 3 2 3 2 3" xfId="25116" xr:uid="{00000000-0005-0000-0000-0000BF210000}"/>
    <cellStyle name="Normal 116 3 2 3 3" xfId="12689" xr:uid="{00000000-0005-0000-0000-0000C0210000}"/>
    <cellStyle name="Normal 116 3 2 3 3 2" xfId="29214" xr:uid="{00000000-0005-0000-0000-0000C1210000}"/>
    <cellStyle name="Normal 116 3 2 3 4" xfId="21171" xr:uid="{00000000-0005-0000-0000-0000C2210000}"/>
    <cellStyle name="Normal 116 3 2 4" xfId="7227" xr:uid="{00000000-0005-0000-0000-0000C3210000}"/>
    <cellStyle name="Normal 116 3 2 4 2" xfId="16590" xr:uid="{00000000-0005-0000-0000-0000C4210000}"/>
    <cellStyle name="Normal 116 3 2 4 2 2" xfId="33164" xr:uid="{00000000-0005-0000-0000-0000C5210000}"/>
    <cellStyle name="Normal 116 3 2 4 3" xfId="25117" xr:uid="{00000000-0005-0000-0000-0000C6210000}"/>
    <cellStyle name="Normal 116 3 2 5" xfId="12686" xr:uid="{00000000-0005-0000-0000-0000C7210000}"/>
    <cellStyle name="Normal 116 3 2 5 2" xfId="29211" xr:uid="{00000000-0005-0000-0000-0000C8210000}"/>
    <cellStyle name="Normal 116 3 2 6" xfId="21168" xr:uid="{00000000-0005-0000-0000-0000C9210000}"/>
    <cellStyle name="Normal 116 3 3" xfId="3017" xr:uid="{00000000-0005-0000-0000-0000CA210000}"/>
    <cellStyle name="Normal 116 3 3 2" xfId="3018" xr:uid="{00000000-0005-0000-0000-0000CB210000}"/>
    <cellStyle name="Normal 116 3 3 2 2" xfId="7228" xr:uid="{00000000-0005-0000-0000-0000CC210000}"/>
    <cellStyle name="Normal 116 3 3 2 2 2" xfId="16591" xr:uid="{00000000-0005-0000-0000-0000CD210000}"/>
    <cellStyle name="Normal 116 3 3 2 2 2 2" xfId="33165" xr:uid="{00000000-0005-0000-0000-0000CE210000}"/>
    <cellStyle name="Normal 116 3 3 2 2 3" xfId="25118" xr:uid="{00000000-0005-0000-0000-0000CF210000}"/>
    <cellStyle name="Normal 116 3 3 2 3" xfId="12691" xr:uid="{00000000-0005-0000-0000-0000D0210000}"/>
    <cellStyle name="Normal 116 3 3 2 3 2" xfId="29216" xr:uid="{00000000-0005-0000-0000-0000D1210000}"/>
    <cellStyle name="Normal 116 3 3 2 4" xfId="21173" xr:uid="{00000000-0005-0000-0000-0000D2210000}"/>
    <cellStyle name="Normal 116 3 3 3" xfId="7229" xr:uid="{00000000-0005-0000-0000-0000D3210000}"/>
    <cellStyle name="Normal 116 3 3 3 2" xfId="16592" xr:uid="{00000000-0005-0000-0000-0000D4210000}"/>
    <cellStyle name="Normal 116 3 3 3 2 2" xfId="33166" xr:uid="{00000000-0005-0000-0000-0000D5210000}"/>
    <cellStyle name="Normal 116 3 3 3 3" xfId="25119" xr:uid="{00000000-0005-0000-0000-0000D6210000}"/>
    <cellStyle name="Normal 116 3 3 4" xfId="12690" xr:uid="{00000000-0005-0000-0000-0000D7210000}"/>
    <cellStyle name="Normal 116 3 3 4 2" xfId="29215" xr:uid="{00000000-0005-0000-0000-0000D8210000}"/>
    <cellStyle name="Normal 116 3 3 5" xfId="21172" xr:uid="{00000000-0005-0000-0000-0000D9210000}"/>
    <cellStyle name="Normal 116 3 4" xfId="3019" xr:uid="{00000000-0005-0000-0000-0000DA210000}"/>
    <cellStyle name="Normal 116 3 4 2" xfId="7230" xr:uid="{00000000-0005-0000-0000-0000DB210000}"/>
    <cellStyle name="Normal 116 3 4 2 2" xfId="16593" xr:uid="{00000000-0005-0000-0000-0000DC210000}"/>
    <cellStyle name="Normal 116 3 4 2 2 2" xfId="33167" xr:uid="{00000000-0005-0000-0000-0000DD210000}"/>
    <cellStyle name="Normal 116 3 4 2 3" xfId="25120" xr:uid="{00000000-0005-0000-0000-0000DE210000}"/>
    <cellStyle name="Normal 116 3 4 3" xfId="12692" xr:uid="{00000000-0005-0000-0000-0000DF210000}"/>
    <cellStyle name="Normal 116 3 4 3 2" xfId="29217" xr:uid="{00000000-0005-0000-0000-0000E0210000}"/>
    <cellStyle name="Normal 116 3 4 4" xfId="21174" xr:uid="{00000000-0005-0000-0000-0000E1210000}"/>
    <cellStyle name="Normal 116 3 5" xfId="3020" xr:uid="{00000000-0005-0000-0000-0000E2210000}"/>
    <cellStyle name="Normal 116 3 5 2" xfId="12693" xr:uid="{00000000-0005-0000-0000-0000E3210000}"/>
    <cellStyle name="Normal 116 3 5 2 2" xfId="29218" xr:uid="{00000000-0005-0000-0000-0000E4210000}"/>
    <cellStyle name="Normal 116 3 5 3" xfId="21175" xr:uid="{00000000-0005-0000-0000-0000E5210000}"/>
    <cellStyle name="Normal 116 4" xfId="3021" xr:uid="{00000000-0005-0000-0000-0000E6210000}"/>
    <cellStyle name="Normal 116 4 2" xfId="3022" xr:uid="{00000000-0005-0000-0000-0000E7210000}"/>
    <cellStyle name="Normal 116 4 2 2" xfId="3023" xr:uid="{00000000-0005-0000-0000-0000E8210000}"/>
    <cellStyle name="Normal 116 4 2 2 2" xfId="3024" xr:uid="{00000000-0005-0000-0000-0000E9210000}"/>
    <cellStyle name="Normal 116 4 2 2 2 2" xfId="7231" xr:uid="{00000000-0005-0000-0000-0000EA210000}"/>
    <cellStyle name="Normal 116 4 2 2 2 2 2" xfId="16594" xr:uid="{00000000-0005-0000-0000-0000EB210000}"/>
    <cellStyle name="Normal 116 4 2 2 2 2 2 2" xfId="33168" xr:uid="{00000000-0005-0000-0000-0000EC210000}"/>
    <cellStyle name="Normal 116 4 2 2 2 2 3" xfId="25121" xr:uid="{00000000-0005-0000-0000-0000ED210000}"/>
    <cellStyle name="Normal 116 4 2 2 2 3" xfId="12697" xr:uid="{00000000-0005-0000-0000-0000EE210000}"/>
    <cellStyle name="Normal 116 4 2 2 2 3 2" xfId="29222" xr:uid="{00000000-0005-0000-0000-0000EF210000}"/>
    <cellStyle name="Normal 116 4 2 2 2 4" xfId="21179" xr:uid="{00000000-0005-0000-0000-0000F0210000}"/>
    <cellStyle name="Normal 116 4 2 2 3" xfId="7232" xr:uid="{00000000-0005-0000-0000-0000F1210000}"/>
    <cellStyle name="Normal 116 4 2 2 3 2" xfId="16595" xr:uid="{00000000-0005-0000-0000-0000F2210000}"/>
    <cellStyle name="Normal 116 4 2 2 3 2 2" xfId="33169" xr:uid="{00000000-0005-0000-0000-0000F3210000}"/>
    <cellStyle name="Normal 116 4 2 2 3 3" xfId="25122" xr:uid="{00000000-0005-0000-0000-0000F4210000}"/>
    <cellStyle name="Normal 116 4 2 2 4" xfId="12696" xr:uid="{00000000-0005-0000-0000-0000F5210000}"/>
    <cellStyle name="Normal 116 4 2 2 4 2" xfId="29221" xr:uid="{00000000-0005-0000-0000-0000F6210000}"/>
    <cellStyle name="Normal 116 4 2 2 5" xfId="21178" xr:uid="{00000000-0005-0000-0000-0000F7210000}"/>
    <cellStyle name="Normal 116 4 2 3" xfId="3025" xr:uid="{00000000-0005-0000-0000-0000F8210000}"/>
    <cellStyle name="Normal 116 4 2 3 2" xfId="7233" xr:uid="{00000000-0005-0000-0000-0000F9210000}"/>
    <cellStyle name="Normal 116 4 2 3 2 2" xfId="16596" xr:uid="{00000000-0005-0000-0000-0000FA210000}"/>
    <cellStyle name="Normal 116 4 2 3 2 2 2" xfId="33170" xr:uid="{00000000-0005-0000-0000-0000FB210000}"/>
    <cellStyle name="Normal 116 4 2 3 2 3" xfId="25123" xr:uid="{00000000-0005-0000-0000-0000FC210000}"/>
    <cellStyle name="Normal 116 4 2 3 3" xfId="12698" xr:uid="{00000000-0005-0000-0000-0000FD210000}"/>
    <cellStyle name="Normal 116 4 2 3 3 2" xfId="29223" xr:uid="{00000000-0005-0000-0000-0000FE210000}"/>
    <cellStyle name="Normal 116 4 2 3 4" xfId="21180" xr:uid="{00000000-0005-0000-0000-0000FF210000}"/>
    <cellStyle name="Normal 116 4 2 4" xfId="7234" xr:uid="{00000000-0005-0000-0000-000000220000}"/>
    <cellStyle name="Normal 116 4 2 4 2" xfId="16597" xr:uid="{00000000-0005-0000-0000-000001220000}"/>
    <cellStyle name="Normal 116 4 2 4 2 2" xfId="33171" xr:uid="{00000000-0005-0000-0000-000002220000}"/>
    <cellStyle name="Normal 116 4 2 4 3" xfId="25124" xr:uid="{00000000-0005-0000-0000-000003220000}"/>
    <cellStyle name="Normal 116 4 2 5" xfId="12695" xr:uid="{00000000-0005-0000-0000-000004220000}"/>
    <cellStyle name="Normal 116 4 2 5 2" xfId="29220" xr:uid="{00000000-0005-0000-0000-000005220000}"/>
    <cellStyle name="Normal 116 4 2 6" xfId="21177" xr:uid="{00000000-0005-0000-0000-000006220000}"/>
    <cellStyle name="Normal 116 4 3" xfId="3026" xr:uid="{00000000-0005-0000-0000-000007220000}"/>
    <cellStyle name="Normal 116 4 3 2" xfId="3027" xr:uid="{00000000-0005-0000-0000-000008220000}"/>
    <cellStyle name="Normal 116 4 3 2 2" xfId="7235" xr:uid="{00000000-0005-0000-0000-000009220000}"/>
    <cellStyle name="Normal 116 4 3 2 2 2" xfId="16598" xr:uid="{00000000-0005-0000-0000-00000A220000}"/>
    <cellStyle name="Normal 116 4 3 2 2 2 2" xfId="33172" xr:uid="{00000000-0005-0000-0000-00000B220000}"/>
    <cellStyle name="Normal 116 4 3 2 2 3" xfId="25125" xr:uid="{00000000-0005-0000-0000-00000C220000}"/>
    <cellStyle name="Normal 116 4 3 2 3" xfId="12700" xr:uid="{00000000-0005-0000-0000-00000D220000}"/>
    <cellStyle name="Normal 116 4 3 2 3 2" xfId="29225" xr:uid="{00000000-0005-0000-0000-00000E220000}"/>
    <cellStyle name="Normal 116 4 3 2 4" xfId="21182" xr:uid="{00000000-0005-0000-0000-00000F220000}"/>
    <cellStyle name="Normal 116 4 3 3" xfId="7236" xr:uid="{00000000-0005-0000-0000-000010220000}"/>
    <cellStyle name="Normal 116 4 3 3 2" xfId="16599" xr:uid="{00000000-0005-0000-0000-000011220000}"/>
    <cellStyle name="Normal 116 4 3 3 2 2" xfId="33173" xr:uid="{00000000-0005-0000-0000-000012220000}"/>
    <cellStyle name="Normal 116 4 3 3 3" xfId="25126" xr:uid="{00000000-0005-0000-0000-000013220000}"/>
    <cellStyle name="Normal 116 4 3 4" xfId="12699" xr:uid="{00000000-0005-0000-0000-000014220000}"/>
    <cellStyle name="Normal 116 4 3 4 2" xfId="29224" xr:uid="{00000000-0005-0000-0000-000015220000}"/>
    <cellStyle name="Normal 116 4 3 5" xfId="21181" xr:uid="{00000000-0005-0000-0000-000016220000}"/>
    <cellStyle name="Normal 116 4 4" xfId="3028" xr:uid="{00000000-0005-0000-0000-000017220000}"/>
    <cellStyle name="Normal 116 4 4 2" xfId="7237" xr:uid="{00000000-0005-0000-0000-000018220000}"/>
    <cellStyle name="Normal 116 4 4 2 2" xfId="16600" xr:uid="{00000000-0005-0000-0000-000019220000}"/>
    <cellStyle name="Normal 116 4 4 2 2 2" xfId="33174" xr:uid="{00000000-0005-0000-0000-00001A220000}"/>
    <cellStyle name="Normal 116 4 4 2 3" xfId="25127" xr:uid="{00000000-0005-0000-0000-00001B220000}"/>
    <cellStyle name="Normal 116 4 4 3" xfId="12701" xr:uid="{00000000-0005-0000-0000-00001C220000}"/>
    <cellStyle name="Normal 116 4 4 3 2" xfId="29226" xr:uid="{00000000-0005-0000-0000-00001D220000}"/>
    <cellStyle name="Normal 116 4 4 4" xfId="21183" xr:uid="{00000000-0005-0000-0000-00001E220000}"/>
    <cellStyle name="Normal 116 4 5" xfId="7238" xr:uid="{00000000-0005-0000-0000-00001F220000}"/>
    <cellStyle name="Normal 116 4 5 2" xfId="16601" xr:uid="{00000000-0005-0000-0000-000020220000}"/>
    <cellStyle name="Normal 116 4 5 2 2" xfId="33175" xr:uid="{00000000-0005-0000-0000-000021220000}"/>
    <cellStyle name="Normal 116 4 5 3" xfId="25128" xr:uid="{00000000-0005-0000-0000-000022220000}"/>
    <cellStyle name="Normal 116 4 6" xfId="12694" xr:uid="{00000000-0005-0000-0000-000023220000}"/>
    <cellStyle name="Normal 116 4 6 2" xfId="29219" xr:uid="{00000000-0005-0000-0000-000024220000}"/>
    <cellStyle name="Normal 116 4 7" xfId="21176" xr:uid="{00000000-0005-0000-0000-000025220000}"/>
    <cellStyle name="Normal 116 5" xfId="3029" xr:uid="{00000000-0005-0000-0000-000026220000}"/>
    <cellStyle name="Normal 116 5 2" xfId="3030" xr:uid="{00000000-0005-0000-0000-000027220000}"/>
    <cellStyle name="Normal 116 5 2 2" xfId="3031" xr:uid="{00000000-0005-0000-0000-000028220000}"/>
    <cellStyle name="Normal 116 5 2 2 2" xfId="3032" xr:uid="{00000000-0005-0000-0000-000029220000}"/>
    <cellStyle name="Normal 116 5 2 2 2 2" xfId="7239" xr:uid="{00000000-0005-0000-0000-00002A220000}"/>
    <cellStyle name="Normal 116 5 2 2 2 2 2" xfId="16602" xr:uid="{00000000-0005-0000-0000-00002B220000}"/>
    <cellStyle name="Normal 116 5 2 2 2 2 2 2" xfId="33176" xr:uid="{00000000-0005-0000-0000-00002C220000}"/>
    <cellStyle name="Normal 116 5 2 2 2 2 3" xfId="25129" xr:uid="{00000000-0005-0000-0000-00002D220000}"/>
    <cellStyle name="Normal 116 5 2 2 2 3" xfId="12705" xr:uid="{00000000-0005-0000-0000-00002E220000}"/>
    <cellStyle name="Normal 116 5 2 2 2 3 2" xfId="29230" xr:uid="{00000000-0005-0000-0000-00002F220000}"/>
    <cellStyle name="Normal 116 5 2 2 2 4" xfId="21187" xr:uid="{00000000-0005-0000-0000-000030220000}"/>
    <cellStyle name="Normal 116 5 2 2 3" xfId="7240" xr:uid="{00000000-0005-0000-0000-000031220000}"/>
    <cellStyle name="Normal 116 5 2 2 3 2" xfId="16603" xr:uid="{00000000-0005-0000-0000-000032220000}"/>
    <cellStyle name="Normal 116 5 2 2 3 2 2" xfId="33177" xr:uid="{00000000-0005-0000-0000-000033220000}"/>
    <cellStyle name="Normal 116 5 2 2 3 3" xfId="25130" xr:uid="{00000000-0005-0000-0000-000034220000}"/>
    <cellStyle name="Normal 116 5 2 2 4" xfId="12704" xr:uid="{00000000-0005-0000-0000-000035220000}"/>
    <cellStyle name="Normal 116 5 2 2 4 2" xfId="29229" xr:uid="{00000000-0005-0000-0000-000036220000}"/>
    <cellStyle name="Normal 116 5 2 2 5" xfId="21186" xr:uid="{00000000-0005-0000-0000-000037220000}"/>
    <cellStyle name="Normal 116 5 2 3" xfId="3033" xr:uid="{00000000-0005-0000-0000-000038220000}"/>
    <cellStyle name="Normal 116 5 2 3 2" xfId="7241" xr:uid="{00000000-0005-0000-0000-000039220000}"/>
    <cellStyle name="Normal 116 5 2 3 2 2" xfId="16604" xr:uid="{00000000-0005-0000-0000-00003A220000}"/>
    <cellStyle name="Normal 116 5 2 3 2 2 2" xfId="33178" xr:uid="{00000000-0005-0000-0000-00003B220000}"/>
    <cellStyle name="Normal 116 5 2 3 2 3" xfId="25131" xr:uid="{00000000-0005-0000-0000-00003C220000}"/>
    <cellStyle name="Normal 116 5 2 3 3" xfId="12706" xr:uid="{00000000-0005-0000-0000-00003D220000}"/>
    <cellStyle name="Normal 116 5 2 3 3 2" xfId="29231" xr:uid="{00000000-0005-0000-0000-00003E220000}"/>
    <cellStyle name="Normal 116 5 2 3 4" xfId="21188" xr:uid="{00000000-0005-0000-0000-00003F220000}"/>
    <cellStyle name="Normal 116 5 2 4" xfId="7242" xr:uid="{00000000-0005-0000-0000-000040220000}"/>
    <cellStyle name="Normal 116 5 2 4 2" xfId="16605" xr:uid="{00000000-0005-0000-0000-000041220000}"/>
    <cellStyle name="Normal 116 5 2 4 2 2" xfId="33179" xr:uid="{00000000-0005-0000-0000-000042220000}"/>
    <cellStyle name="Normal 116 5 2 4 3" xfId="25132" xr:uid="{00000000-0005-0000-0000-000043220000}"/>
    <cellStyle name="Normal 116 5 2 5" xfId="12703" xr:uid="{00000000-0005-0000-0000-000044220000}"/>
    <cellStyle name="Normal 116 5 2 5 2" xfId="29228" xr:uid="{00000000-0005-0000-0000-000045220000}"/>
    <cellStyle name="Normal 116 5 2 6" xfId="21185" xr:uid="{00000000-0005-0000-0000-000046220000}"/>
    <cellStyle name="Normal 116 5 3" xfId="3034" xr:uid="{00000000-0005-0000-0000-000047220000}"/>
    <cellStyle name="Normal 116 5 3 2" xfId="3035" xr:uid="{00000000-0005-0000-0000-000048220000}"/>
    <cellStyle name="Normal 116 5 3 2 2" xfId="7243" xr:uid="{00000000-0005-0000-0000-000049220000}"/>
    <cellStyle name="Normal 116 5 3 2 2 2" xfId="16606" xr:uid="{00000000-0005-0000-0000-00004A220000}"/>
    <cellStyle name="Normal 116 5 3 2 2 2 2" xfId="33180" xr:uid="{00000000-0005-0000-0000-00004B220000}"/>
    <cellStyle name="Normal 116 5 3 2 2 3" xfId="25133" xr:uid="{00000000-0005-0000-0000-00004C220000}"/>
    <cellStyle name="Normal 116 5 3 2 3" xfId="12708" xr:uid="{00000000-0005-0000-0000-00004D220000}"/>
    <cellStyle name="Normal 116 5 3 2 3 2" xfId="29233" xr:uid="{00000000-0005-0000-0000-00004E220000}"/>
    <cellStyle name="Normal 116 5 3 2 4" xfId="21190" xr:uid="{00000000-0005-0000-0000-00004F220000}"/>
    <cellStyle name="Normal 116 5 3 3" xfId="7244" xr:uid="{00000000-0005-0000-0000-000050220000}"/>
    <cellStyle name="Normal 116 5 3 3 2" xfId="16607" xr:uid="{00000000-0005-0000-0000-000051220000}"/>
    <cellStyle name="Normal 116 5 3 3 2 2" xfId="33181" xr:uid="{00000000-0005-0000-0000-000052220000}"/>
    <cellStyle name="Normal 116 5 3 3 3" xfId="25134" xr:uid="{00000000-0005-0000-0000-000053220000}"/>
    <cellStyle name="Normal 116 5 3 4" xfId="12707" xr:uid="{00000000-0005-0000-0000-000054220000}"/>
    <cellStyle name="Normal 116 5 3 4 2" xfId="29232" xr:uid="{00000000-0005-0000-0000-000055220000}"/>
    <cellStyle name="Normal 116 5 3 5" xfId="21189" xr:uid="{00000000-0005-0000-0000-000056220000}"/>
    <cellStyle name="Normal 116 5 4" xfId="3036" xr:uid="{00000000-0005-0000-0000-000057220000}"/>
    <cellStyle name="Normal 116 5 4 2" xfId="7245" xr:uid="{00000000-0005-0000-0000-000058220000}"/>
    <cellStyle name="Normal 116 5 4 2 2" xfId="16608" xr:uid="{00000000-0005-0000-0000-000059220000}"/>
    <cellStyle name="Normal 116 5 4 2 2 2" xfId="33182" xr:uid="{00000000-0005-0000-0000-00005A220000}"/>
    <cellStyle name="Normal 116 5 4 2 3" xfId="25135" xr:uid="{00000000-0005-0000-0000-00005B220000}"/>
    <cellStyle name="Normal 116 5 4 3" xfId="12709" xr:uid="{00000000-0005-0000-0000-00005C220000}"/>
    <cellStyle name="Normal 116 5 4 3 2" xfId="29234" xr:uid="{00000000-0005-0000-0000-00005D220000}"/>
    <cellStyle name="Normal 116 5 4 4" xfId="21191" xr:uid="{00000000-0005-0000-0000-00005E220000}"/>
    <cellStyle name="Normal 116 5 5" xfId="7246" xr:uid="{00000000-0005-0000-0000-00005F220000}"/>
    <cellStyle name="Normal 116 5 5 2" xfId="16609" xr:uid="{00000000-0005-0000-0000-000060220000}"/>
    <cellStyle name="Normal 116 5 5 2 2" xfId="33183" xr:uid="{00000000-0005-0000-0000-000061220000}"/>
    <cellStyle name="Normal 116 5 5 3" xfId="25136" xr:uid="{00000000-0005-0000-0000-000062220000}"/>
    <cellStyle name="Normal 116 5 6" xfId="12702" xr:uid="{00000000-0005-0000-0000-000063220000}"/>
    <cellStyle name="Normal 116 5 6 2" xfId="29227" xr:uid="{00000000-0005-0000-0000-000064220000}"/>
    <cellStyle name="Normal 116 5 7" xfId="21184" xr:uid="{00000000-0005-0000-0000-000065220000}"/>
    <cellStyle name="Normal 116 6" xfId="3037" xr:uid="{00000000-0005-0000-0000-000066220000}"/>
    <cellStyle name="Normal 116 6 2" xfId="3038" xr:uid="{00000000-0005-0000-0000-000067220000}"/>
    <cellStyle name="Normal 116 6 2 2" xfId="3039" xr:uid="{00000000-0005-0000-0000-000068220000}"/>
    <cellStyle name="Normal 116 6 2 2 2" xfId="7247" xr:uid="{00000000-0005-0000-0000-000069220000}"/>
    <cellStyle name="Normal 116 6 2 2 2 2" xfId="16610" xr:uid="{00000000-0005-0000-0000-00006A220000}"/>
    <cellStyle name="Normal 116 6 2 2 2 2 2" xfId="33184" xr:uid="{00000000-0005-0000-0000-00006B220000}"/>
    <cellStyle name="Normal 116 6 2 2 2 3" xfId="25137" xr:uid="{00000000-0005-0000-0000-00006C220000}"/>
    <cellStyle name="Normal 116 6 2 2 3" xfId="12712" xr:uid="{00000000-0005-0000-0000-00006D220000}"/>
    <cellStyle name="Normal 116 6 2 2 3 2" xfId="29237" xr:uid="{00000000-0005-0000-0000-00006E220000}"/>
    <cellStyle name="Normal 116 6 2 2 4" xfId="21194" xr:uid="{00000000-0005-0000-0000-00006F220000}"/>
    <cellStyle name="Normal 116 6 2 3" xfId="7248" xr:uid="{00000000-0005-0000-0000-000070220000}"/>
    <cellStyle name="Normal 116 6 2 3 2" xfId="16611" xr:uid="{00000000-0005-0000-0000-000071220000}"/>
    <cellStyle name="Normal 116 6 2 3 2 2" xfId="33185" xr:uid="{00000000-0005-0000-0000-000072220000}"/>
    <cellStyle name="Normal 116 6 2 3 3" xfId="25138" xr:uid="{00000000-0005-0000-0000-000073220000}"/>
    <cellStyle name="Normal 116 6 2 4" xfId="12711" xr:uid="{00000000-0005-0000-0000-000074220000}"/>
    <cellStyle name="Normal 116 6 2 4 2" xfId="29236" xr:uid="{00000000-0005-0000-0000-000075220000}"/>
    <cellStyle name="Normal 116 6 2 5" xfId="21193" xr:uid="{00000000-0005-0000-0000-000076220000}"/>
    <cellStyle name="Normal 116 6 3" xfId="3040" xr:uid="{00000000-0005-0000-0000-000077220000}"/>
    <cellStyle name="Normal 116 6 3 2" xfId="7249" xr:uid="{00000000-0005-0000-0000-000078220000}"/>
    <cellStyle name="Normal 116 6 3 2 2" xfId="16612" xr:uid="{00000000-0005-0000-0000-000079220000}"/>
    <cellStyle name="Normal 116 6 3 2 2 2" xfId="33186" xr:uid="{00000000-0005-0000-0000-00007A220000}"/>
    <cellStyle name="Normal 116 6 3 2 3" xfId="25139" xr:uid="{00000000-0005-0000-0000-00007B220000}"/>
    <cellStyle name="Normal 116 6 3 3" xfId="12713" xr:uid="{00000000-0005-0000-0000-00007C220000}"/>
    <cellStyle name="Normal 116 6 3 3 2" xfId="29238" xr:uid="{00000000-0005-0000-0000-00007D220000}"/>
    <cellStyle name="Normal 116 6 3 4" xfId="21195" xr:uid="{00000000-0005-0000-0000-00007E220000}"/>
    <cellStyle name="Normal 116 6 4" xfId="7250" xr:uid="{00000000-0005-0000-0000-00007F220000}"/>
    <cellStyle name="Normal 116 6 4 2" xfId="16613" xr:uid="{00000000-0005-0000-0000-000080220000}"/>
    <cellStyle name="Normal 116 6 4 2 2" xfId="33187" xr:uid="{00000000-0005-0000-0000-000081220000}"/>
    <cellStyle name="Normal 116 6 4 3" xfId="25140" xr:uid="{00000000-0005-0000-0000-000082220000}"/>
    <cellStyle name="Normal 116 6 5" xfId="12710" xr:uid="{00000000-0005-0000-0000-000083220000}"/>
    <cellStyle name="Normal 116 6 5 2" xfId="29235" xr:uid="{00000000-0005-0000-0000-000084220000}"/>
    <cellStyle name="Normal 116 6 6" xfId="21192" xr:uid="{00000000-0005-0000-0000-000085220000}"/>
    <cellStyle name="Normal 116 7" xfId="3041" xr:uid="{00000000-0005-0000-0000-000086220000}"/>
    <cellStyle name="Normal 116 7 2" xfId="3042" xr:uid="{00000000-0005-0000-0000-000087220000}"/>
    <cellStyle name="Normal 116 7 2 2" xfId="7251" xr:uid="{00000000-0005-0000-0000-000088220000}"/>
    <cellStyle name="Normal 116 7 2 2 2" xfId="16614" xr:uid="{00000000-0005-0000-0000-000089220000}"/>
    <cellStyle name="Normal 116 7 2 2 2 2" xfId="33188" xr:uid="{00000000-0005-0000-0000-00008A220000}"/>
    <cellStyle name="Normal 116 7 2 2 3" xfId="25141" xr:uid="{00000000-0005-0000-0000-00008B220000}"/>
    <cellStyle name="Normal 116 7 2 3" xfId="12715" xr:uid="{00000000-0005-0000-0000-00008C220000}"/>
    <cellStyle name="Normal 116 7 2 3 2" xfId="29240" xr:uid="{00000000-0005-0000-0000-00008D220000}"/>
    <cellStyle name="Normal 116 7 2 4" xfId="21197" xr:uid="{00000000-0005-0000-0000-00008E220000}"/>
    <cellStyle name="Normal 116 7 3" xfId="7252" xr:uid="{00000000-0005-0000-0000-00008F220000}"/>
    <cellStyle name="Normal 116 7 3 2" xfId="16615" xr:uid="{00000000-0005-0000-0000-000090220000}"/>
    <cellStyle name="Normal 116 7 3 2 2" xfId="33189" xr:uid="{00000000-0005-0000-0000-000091220000}"/>
    <cellStyle name="Normal 116 7 3 3" xfId="25142" xr:uid="{00000000-0005-0000-0000-000092220000}"/>
    <cellStyle name="Normal 116 7 4" xfId="12714" xr:uid="{00000000-0005-0000-0000-000093220000}"/>
    <cellStyle name="Normal 116 7 4 2" xfId="29239" xr:uid="{00000000-0005-0000-0000-000094220000}"/>
    <cellStyle name="Normal 116 7 5" xfId="21196" xr:uid="{00000000-0005-0000-0000-000095220000}"/>
    <cellStyle name="Normal 116 8" xfId="3043" xr:uid="{00000000-0005-0000-0000-000096220000}"/>
    <cellStyle name="Normal 116 8 2" xfId="7253" xr:uid="{00000000-0005-0000-0000-000097220000}"/>
    <cellStyle name="Normal 116 8 2 2" xfId="16616" xr:uid="{00000000-0005-0000-0000-000098220000}"/>
    <cellStyle name="Normal 116 8 2 2 2" xfId="33190" xr:uid="{00000000-0005-0000-0000-000099220000}"/>
    <cellStyle name="Normal 116 8 2 3" xfId="25143" xr:uid="{00000000-0005-0000-0000-00009A220000}"/>
    <cellStyle name="Normal 116 8 3" xfId="12716" xr:uid="{00000000-0005-0000-0000-00009B220000}"/>
    <cellStyle name="Normal 116 8 3 2" xfId="29241" xr:uid="{00000000-0005-0000-0000-00009C220000}"/>
    <cellStyle name="Normal 116 8 4" xfId="21198" xr:uid="{00000000-0005-0000-0000-00009D220000}"/>
    <cellStyle name="Normal 116 9" xfId="7254" xr:uid="{00000000-0005-0000-0000-00009E220000}"/>
    <cellStyle name="Normal 116 9 2" xfId="16617" xr:uid="{00000000-0005-0000-0000-00009F220000}"/>
    <cellStyle name="Normal 116 9 2 2" xfId="33191" xr:uid="{00000000-0005-0000-0000-0000A0220000}"/>
    <cellStyle name="Normal 116 9 3" xfId="25144" xr:uid="{00000000-0005-0000-0000-0000A1220000}"/>
    <cellStyle name="Normal 117" xfId="3044" xr:uid="{00000000-0005-0000-0000-0000A2220000}"/>
    <cellStyle name="Normal 117 10" xfId="12717" xr:uid="{00000000-0005-0000-0000-0000A3220000}"/>
    <cellStyle name="Normal 117 10 2" xfId="29242" xr:uid="{00000000-0005-0000-0000-0000A4220000}"/>
    <cellStyle name="Normal 117 11" xfId="21199" xr:uid="{00000000-0005-0000-0000-0000A5220000}"/>
    <cellStyle name="Normal 117 2" xfId="3045" xr:uid="{00000000-0005-0000-0000-0000A6220000}"/>
    <cellStyle name="Normal 117 2 2" xfId="3046" xr:uid="{00000000-0005-0000-0000-0000A7220000}"/>
    <cellStyle name="Normal 117 2 3" xfId="12718" xr:uid="{00000000-0005-0000-0000-0000A8220000}"/>
    <cellStyle name="Normal 117 2 3 2" xfId="29243" xr:uid="{00000000-0005-0000-0000-0000A9220000}"/>
    <cellStyle name="Normal 117 2 4" xfId="21200" xr:uid="{00000000-0005-0000-0000-0000AA220000}"/>
    <cellStyle name="Normal 117 3" xfId="3047" xr:uid="{00000000-0005-0000-0000-0000AB220000}"/>
    <cellStyle name="Normal 117 3 2" xfId="3048" xr:uid="{00000000-0005-0000-0000-0000AC220000}"/>
    <cellStyle name="Normal 117 3 2 2" xfId="3049" xr:uid="{00000000-0005-0000-0000-0000AD220000}"/>
    <cellStyle name="Normal 117 3 2 2 2" xfId="3050" xr:uid="{00000000-0005-0000-0000-0000AE220000}"/>
    <cellStyle name="Normal 117 3 2 2 2 2" xfId="7255" xr:uid="{00000000-0005-0000-0000-0000AF220000}"/>
    <cellStyle name="Normal 117 3 2 2 2 2 2" xfId="16618" xr:uid="{00000000-0005-0000-0000-0000B0220000}"/>
    <cellStyle name="Normal 117 3 2 2 2 2 2 2" xfId="33192" xr:uid="{00000000-0005-0000-0000-0000B1220000}"/>
    <cellStyle name="Normal 117 3 2 2 2 2 3" xfId="25145" xr:uid="{00000000-0005-0000-0000-0000B2220000}"/>
    <cellStyle name="Normal 117 3 2 2 2 3" xfId="12721" xr:uid="{00000000-0005-0000-0000-0000B3220000}"/>
    <cellStyle name="Normal 117 3 2 2 2 3 2" xfId="29246" xr:uid="{00000000-0005-0000-0000-0000B4220000}"/>
    <cellStyle name="Normal 117 3 2 2 2 4" xfId="21203" xr:uid="{00000000-0005-0000-0000-0000B5220000}"/>
    <cellStyle name="Normal 117 3 2 2 3" xfId="7256" xr:uid="{00000000-0005-0000-0000-0000B6220000}"/>
    <cellStyle name="Normal 117 3 2 2 3 2" xfId="16619" xr:uid="{00000000-0005-0000-0000-0000B7220000}"/>
    <cellStyle name="Normal 117 3 2 2 3 2 2" xfId="33193" xr:uid="{00000000-0005-0000-0000-0000B8220000}"/>
    <cellStyle name="Normal 117 3 2 2 3 3" xfId="25146" xr:uid="{00000000-0005-0000-0000-0000B9220000}"/>
    <cellStyle name="Normal 117 3 2 2 4" xfId="12720" xr:uid="{00000000-0005-0000-0000-0000BA220000}"/>
    <cellStyle name="Normal 117 3 2 2 4 2" xfId="29245" xr:uid="{00000000-0005-0000-0000-0000BB220000}"/>
    <cellStyle name="Normal 117 3 2 2 5" xfId="21202" xr:uid="{00000000-0005-0000-0000-0000BC220000}"/>
    <cellStyle name="Normal 117 3 2 3" xfId="3051" xr:uid="{00000000-0005-0000-0000-0000BD220000}"/>
    <cellStyle name="Normal 117 3 2 3 2" xfId="7257" xr:uid="{00000000-0005-0000-0000-0000BE220000}"/>
    <cellStyle name="Normal 117 3 2 3 2 2" xfId="16620" xr:uid="{00000000-0005-0000-0000-0000BF220000}"/>
    <cellStyle name="Normal 117 3 2 3 2 2 2" xfId="33194" xr:uid="{00000000-0005-0000-0000-0000C0220000}"/>
    <cellStyle name="Normal 117 3 2 3 2 3" xfId="25147" xr:uid="{00000000-0005-0000-0000-0000C1220000}"/>
    <cellStyle name="Normal 117 3 2 3 3" xfId="12722" xr:uid="{00000000-0005-0000-0000-0000C2220000}"/>
    <cellStyle name="Normal 117 3 2 3 3 2" xfId="29247" xr:uid="{00000000-0005-0000-0000-0000C3220000}"/>
    <cellStyle name="Normal 117 3 2 3 4" xfId="21204" xr:uid="{00000000-0005-0000-0000-0000C4220000}"/>
    <cellStyle name="Normal 117 3 2 4" xfId="7258" xr:uid="{00000000-0005-0000-0000-0000C5220000}"/>
    <cellStyle name="Normal 117 3 2 4 2" xfId="16621" xr:uid="{00000000-0005-0000-0000-0000C6220000}"/>
    <cellStyle name="Normal 117 3 2 4 2 2" xfId="33195" xr:uid="{00000000-0005-0000-0000-0000C7220000}"/>
    <cellStyle name="Normal 117 3 2 4 3" xfId="25148" xr:uid="{00000000-0005-0000-0000-0000C8220000}"/>
    <cellStyle name="Normal 117 3 2 5" xfId="12719" xr:uid="{00000000-0005-0000-0000-0000C9220000}"/>
    <cellStyle name="Normal 117 3 2 5 2" xfId="29244" xr:uid="{00000000-0005-0000-0000-0000CA220000}"/>
    <cellStyle name="Normal 117 3 2 6" xfId="21201" xr:uid="{00000000-0005-0000-0000-0000CB220000}"/>
    <cellStyle name="Normal 117 3 3" xfId="3052" xr:uid="{00000000-0005-0000-0000-0000CC220000}"/>
    <cellStyle name="Normal 117 3 3 2" xfId="3053" xr:uid="{00000000-0005-0000-0000-0000CD220000}"/>
    <cellStyle name="Normal 117 3 3 2 2" xfId="7259" xr:uid="{00000000-0005-0000-0000-0000CE220000}"/>
    <cellStyle name="Normal 117 3 3 2 2 2" xfId="16622" xr:uid="{00000000-0005-0000-0000-0000CF220000}"/>
    <cellStyle name="Normal 117 3 3 2 2 2 2" xfId="33196" xr:uid="{00000000-0005-0000-0000-0000D0220000}"/>
    <cellStyle name="Normal 117 3 3 2 2 3" xfId="25149" xr:uid="{00000000-0005-0000-0000-0000D1220000}"/>
    <cellStyle name="Normal 117 3 3 2 3" xfId="12724" xr:uid="{00000000-0005-0000-0000-0000D2220000}"/>
    <cellStyle name="Normal 117 3 3 2 3 2" xfId="29249" xr:uid="{00000000-0005-0000-0000-0000D3220000}"/>
    <cellStyle name="Normal 117 3 3 2 4" xfId="21206" xr:uid="{00000000-0005-0000-0000-0000D4220000}"/>
    <cellStyle name="Normal 117 3 3 3" xfId="7260" xr:uid="{00000000-0005-0000-0000-0000D5220000}"/>
    <cellStyle name="Normal 117 3 3 3 2" xfId="16623" xr:uid="{00000000-0005-0000-0000-0000D6220000}"/>
    <cellStyle name="Normal 117 3 3 3 2 2" xfId="33197" xr:uid="{00000000-0005-0000-0000-0000D7220000}"/>
    <cellStyle name="Normal 117 3 3 3 3" xfId="25150" xr:uid="{00000000-0005-0000-0000-0000D8220000}"/>
    <cellStyle name="Normal 117 3 3 4" xfId="12723" xr:uid="{00000000-0005-0000-0000-0000D9220000}"/>
    <cellStyle name="Normal 117 3 3 4 2" xfId="29248" xr:uid="{00000000-0005-0000-0000-0000DA220000}"/>
    <cellStyle name="Normal 117 3 3 5" xfId="21205" xr:uid="{00000000-0005-0000-0000-0000DB220000}"/>
    <cellStyle name="Normal 117 3 4" xfId="3054" xr:uid="{00000000-0005-0000-0000-0000DC220000}"/>
    <cellStyle name="Normal 117 3 4 2" xfId="7261" xr:uid="{00000000-0005-0000-0000-0000DD220000}"/>
    <cellStyle name="Normal 117 3 4 2 2" xfId="16624" xr:uid="{00000000-0005-0000-0000-0000DE220000}"/>
    <cellStyle name="Normal 117 3 4 2 2 2" xfId="33198" xr:uid="{00000000-0005-0000-0000-0000DF220000}"/>
    <cellStyle name="Normal 117 3 4 2 3" xfId="25151" xr:uid="{00000000-0005-0000-0000-0000E0220000}"/>
    <cellStyle name="Normal 117 3 4 3" xfId="12725" xr:uid="{00000000-0005-0000-0000-0000E1220000}"/>
    <cellStyle name="Normal 117 3 4 3 2" xfId="29250" xr:uid="{00000000-0005-0000-0000-0000E2220000}"/>
    <cellStyle name="Normal 117 3 4 4" xfId="21207" xr:uid="{00000000-0005-0000-0000-0000E3220000}"/>
    <cellStyle name="Normal 117 3 5" xfId="3055" xr:uid="{00000000-0005-0000-0000-0000E4220000}"/>
    <cellStyle name="Normal 117 3 5 2" xfId="12726" xr:uid="{00000000-0005-0000-0000-0000E5220000}"/>
    <cellStyle name="Normal 117 3 5 2 2" xfId="29251" xr:uid="{00000000-0005-0000-0000-0000E6220000}"/>
    <cellStyle name="Normal 117 3 5 3" xfId="21208" xr:uid="{00000000-0005-0000-0000-0000E7220000}"/>
    <cellStyle name="Normal 117 4" xfId="3056" xr:uid="{00000000-0005-0000-0000-0000E8220000}"/>
    <cellStyle name="Normal 117 4 2" xfId="3057" xr:uid="{00000000-0005-0000-0000-0000E9220000}"/>
    <cellStyle name="Normal 117 4 2 2" xfId="3058" xr:uid="{00000000-0005-0000-0000-0000EA220000}"/>
    <cellStyle name="Normal 117 4 2 2 2" xfId="3059" xr:uid="{00000000-0005-0000-0000-0000EB220000}"/>
    <cellStyle name="Normal 117 4 2 2 2 2" xfId="7262" xr:uid="{00000000-0005-0000-0000-0000EC220000}"/>
    <cellStyle name="Normal 117 4 2 2 2 2 2" xfId="16625" xr:uid="{00000000-0005-0000-0000-0000ED220000}"/>
    <cellStyle name="Normal 117 4 2 2 2 2 2 2" xfId="33199" xr:uid="{00000000-0005-0000-0000-0000EE220000}"/>
    <cellStyle name="Normal 117 4 2 2 2 2 3" xfId="25152" xr:uid="{00000000-0005-0000-0000-0000EF220000}"/>
    <cellStyle name="Normal 117 4 2 2 2 3" xfId="12730" xr:uid="{00000000-0005-0000-0000-0000F0220000}"/>
    <cellStyle name="Normal 117 4 2 2 2 3 2" xfId="29255" xr:uid="{00000000-0005-0000-0000-0000F1220000}"/>
    <cellStyle name="Normal 117 4 2 2 2 4" xfId="21212" xr:uid="{00000000-0005-0000-0000-0000F2220000}"/>
    <cellStyle name="Normal 117 4 2 2 3" xfId="7263" xr:uid="{00000000-0005-0000-0000-0000F3220000}"/>
    <cellStyle name="Normal 117 4 2 2 3 2" xfId="16626" xr:uid="{00000000-0005-0000-0000-0000F4220000}"/>
    <cellStyle name="Normal 117 4 2 2 3 2 2" xfId="33200" xr:uid="{00000000-0005-0000-0000-0000F5220000}"/>
    <cellStyle name="Normal 117 4 2 2 3 3" xfId="25153" xr:uid="{00000000-0005-0000-0000-0000F6220000}"/>
    <cellStyle name="Normal 117 4 2 2 4" xfId="12729" xr:uid="{00000000-0005-0000-0000-0000F7220000}"/>
    <cellStyle name="Normal 117 4 2 2 4 2" xfId="29254" xr:uid="{00000000-0005-0000-0000-0000F8220000}"/>
    <cellStyle name="Normal 117 4 2 2 5" xfId="21211" xr:uid="{00000000-0005-0000-0000-0000F9220000}"/>
    <cellStyle name="Normal 117 4 2 3" xfId="3060" xr:uid="{00000000-0005-0000-0000-0000FA220000}"/>
    <cellStyle name="Normal 117 4 2 3 2" xfId="7264" xr:uid="{00000000-0005-0000-0000-0000FB220000}"/>
    <cellStyle name="Normal 117 4 2 3 2 2" xfId="16627" xr:uid="{00000000-0005-0000-0000-0000FC220000}"/>
    <cellStyle name="Normal 117 4 2 3 2 2 2" xfId="33201" xr:uid="{00000000-0005-0000-0000-0000FD220000}"/>
    <cellStyle name="Normal 117 4 2 3 2 3" xfId="25154" xr:uid="{00000000-0005-0000-0000-0000FE220000}"/>
    <cellStyle name="Normal 117 4 2 3 3" xfId="12731" xr:uid="{00000000-0005-0000-0000-0000FF220000}"/>
    <cellStyle name="Normal 117 4 2 3 3 2" xfId="29256" xr:uid="{00000000-0005-0000-0000-000000230000}"/>
    <cellStyle name="Normal 117 4 2 3 4" xfId="21213" xr:uid="{00000000-0005-0000-0000-000001230000}"/>
    <cellStyle name="Normal 117 4 2 4" xfId="7265" xr:uid="{00000000-0005-0000-0000-000002230000}"/>
    <cellStyle name="Normal 117 4 2 4 2" xfId="16628" xr:uid="{00000000-0005-0000-0000-000003230000}"/>
    <cellStyle name="Normal 117 4 2 4 2 2" xfId="33202" xr:uid="{00000000-0005-0000-0000-000004230000}"/>
    <cellStyle name="Normal 117 4 2 4 3" xfId="25155" xr:uid="{00000000-0005-0000-0000-000005230000}"/>
    <cellStyle name="Normal 117 4 2 5" xfId="12728" xr:uid="{00000000-0005-0000-0000-000006230000}"/>
    <cellStyle name="Normal 117 4 2 5 2" xfId="29253" xr:uid="{00000000-0005-0000-0000-000007230000}"/>
    <cellStyle name="Normal 117 4 2 6" xfId="21210" xr:uid="{00000000-0005-0000-0000-000008230000}"/>
    <cellStyle name="Normal 117 4 3" xfId="3061" xr:uid="{00000000-0005-0000-0000-000009230000}"/>
    <cellStyle name="Normal 117 4 3 2" xfId="3062" xr:uid="{00000000-0005-0000-0000-00000A230000}"/>
    <cellStyle name="Normal 117 4 3 2 2" xfId="7266" xr:uid="{00000000-0005-0000-0000-00000B230000}"/>
    <cellStyle name="Normal 117 4 3 2 2 2" xfId="16629" xr:uid="{00000000-0005-0000-0000-00000C230000}"/>
    <cellStyle name="Normal 117 4 3 2 2 2 2" xfId="33203" xr:uid="{00000000-0005-0000-0000-00000D230000}"/>
    <cellStyle name="Normal 117 4 3 2 2 3" xfId="25156" xr:uid="{00000000-0005-0000-0000-00000E230000}"/>
    <cellStyle name="Normal 117 4 3 2 3" xfId="12733" xr:uid="{00000000-0005-0000-0000-00000F230000}"/>
    <cellStyle name="Normal 117 4 3 2 3 2" xfId="29258" xr:uid="{00000000-0005-0000-0000-000010230000}"/>
    <cellStyle name="Normal 117 4 3 2 4" xfId="21215" xr:uid="{00000000-0005-0000-0000-000011230000}"/>
    <cellStyle name="Normal 117 4 3 3" xfId="7267" xr:uid="{00000000-0005-0000-0000-000012230000}"/>
    <cellStyle name="Normal 117 4 3 3 2" xfId="16630" xr:uid="{00000000-0005-0000-0000-000013230000}"/>
    <cellStyle name="Normal 117 4 3 3 2 2" xfId="33204" xr:uid="{00000000-0005-0000-0000-000014230000}"/>
    <cellStyle name="Normal 117 4 3 3 3" xfId="25157" xr:uid="{00000000-0005-0000-0000-000015230000}"/>
    <cellStyle name="Normal 117 4 3 4" xfId="12732" xr:uid="{00000000-0005-0000-0000-000016230000}"/>
    <cellStyle name="Normal 117 4 3 4 2" xfId="29257" xr:uid="{00000000-0005-0000-0000-000017230000}"/>
    <cellStyle name="Normal 117 4 3 5" xfId="21214" xr:uid="{00000000-0005-0000-0000-000018230000}"/>
    <cellStyle name="Normal 117 4 4" xfId="3063" xr:uid="{00000000-0005-0000-0000-000019230000}"/>
    <cellStyle name="Normal 117 4 4 2" xfId="7268" xr:uid="{00000000-0005-0000-0000-00001A230000}"/>
    <cellStyle name="Normal 117 4 4 2 2" xfId="16631" xr:uid="{00000000-0005-0000-0000-00001B230000}"/>
    <cellStyle name="Normal 117 4 4 2 2 2" xfId="33205" xr:uid="{00000000-0005-0000-0000-00001C230000}"/>
    <cellStyle name="Normal 117 4 4 2 3" xfId="25158" xr:uid="{00000000-0005-0000-0000-00001D230000}"/>
    <cellStyle name="Normal 117 4 4 3" xfId="12734" xr:uid="{00000000-0005-0000-0000-00001E230000}"/>
    <cellStyle name="Normal 117 4 4 3 2" xfId="29259" xr:uid="{00000000-0005-0000-0000-00001F230000}"/>
    <cellStyle name="Normal 117 4 4 4" xfId="21216" xr:uid="{00000000-0005-0000-0000-000020230000}"/>
    <cellStyle name="Normal 117 4 5" xfId="7269" xr:uid="{00000000-0005-0000-0000-000021230000}"/>
    <cellStyle name="Normal 117 4 5 2" xfId="16632" xr:uid="{00000000-0005-0000-0000-000022230000}"/>
    <cellStyle name="Normal 117 4 5 2 2" xfId="33206" xr:uid="{00000000-0005-0000-0000-000023230000}"/>
    <cellStyle name="Normal 117 4 5 3" xfId="25159" xr:uid="{00000000-0005-0000-0000-000024230000}"/>
    <cellStyle name="Normal 117 4 6" xfId="12727" xr:uid="{00000000-0005-0000-0000-000025230000}"/>
    <cellStyle name="Normal 117 4 6 2" xfId="29252" xr:uid="{00000000-0005-0000-0000-000026230000}"/>
    <cellStyle name="Normal 117 4 7" xfId="21209" xr:uid="{00000000-0005-0000-0000-000027230000}"/>
    <cellStyle name="Normal 117 5" xfId="3064" xr:uid="{00000000-0005-0000-0000-000028230000}"/>
    <cellStyle name="Normal 117 5 2" xfId="3065" xr:uid="{00000000-0005-0000-0000-000029230000}"/>
    <cellStyle name="Normal 117 5 2 2" xfId="3066" xr:uid="{00000000-0005-0000-0000-00002A230000}"/>
    <cellStyle name="Normal 117 5 2 2 2" xfId="3067" xr:uid="{00000000-0005-0000-0000-00002B230000}"/>
    <cellStyle name="Normal 117 5 2 2 2 2" xfId="7270" xr:uid="{00000000-0005-0000-0000-00002C230000}"/>
    <cellStyle name="Normal 117 5 2 2 2 2 2" xfId="16633" xr:uid="{00000000-0005-0000-0000-00002D230000}"/>
    <cellStyle name="Normal 117 5 2 2 2 2 2 2" xfId="33207" xr:uid="{00000000-0005-0000-0000-00002E230000}"/>
    <cellStyle name="Normal 117 5 2 2 2 2 3" xfId="25160" xr:uid="{00000000-0005-0000-0000-00002F230000}"/>
    <cellStyle name="Normal 117 5 2 2 2 3" xfId="12738" xr:uid="{00000000-0005-0000-0000-000030230000}"/>
    <cellStyle name="Normal 117 5 2 2 2 3 2" xfId="29263" xr:uid="{00000000-0005-0000-0000-000031230000}"/>
    <cellStyle name="Normal 117 5 2 2 2 4" xfId="21220" xr:uid="{00000000-0005-0000-0000-000032230000}"/>
    <cellStyle name="Normal 117 5 2 2 3" xfId="7271" xr:uid="{00000000-0005-0000-0000-000033230000}"/>
    <cellStyle name="Normal 117 5 2 2 3 2" xfId="16634" xr:uid="{00000000-0005-0000-0000-000034230000}"/>
    <cellStyle name="Normal 117 5 2 2 3 2 2" xfId="33208" xr:uid="{00000000-0005-0000-0000-000035230000}"/>
    <cellStyle name="Normal 117 5 2 2 3 3" xfId="25161" xr:uid="{00000000-0005-0000-0000-000036230000}"/>
    <cellStyle name="Normal 117 5 2 2 4" xfId="12737" xr:uid="{00000000-0005-0000-0000-000037230000}"/>
    <cellStyle name="Normal 117 5 2 2 4 2" xfId="29262" xr:uid="{00000000-0005-0000-0000-000038230000}"/>
    <cellStyle name="Normal 117 5 2 2 5" xfId="21219" xr:uid="{00000000-0005-0000-0000-000039230000}"/>
    <cellStyle name="Normal 117 5 2 3" xfId="3068" xr:uid="{00000000-0005-0000-0000-00003A230000}"/>
    <cellStyle name="Normal 117 5 2 3 2" xfId="7272" xr:uid="{00000000-0005-0000-0000-00003B230000}"/>
    <cellStyle name="Normal 117 5 2 3 2 2" xfId="16635" xr:uid="{00000000-0005-0000-0000-00003C230000}"/>
    <cellStyle name="Normal 117 5 2 3 2 2 2" xfId="33209" xr:uid="{00000000-0005-0000-0000-00003D230000}"/>
    <cellStyle name="Normal 117 5 2 3 2 3" xfId="25162" xr:uid="{00000000-0005-0000-0000-00003E230000}"/>
    <cellStyle name="Normal 117 5 2 3 3" xfId="12739" xr:uid="{00000000-0005-0000-0000-00003F230000}"/>
    <cellStyle name="Normal 117 5 2 3 3 2" xfId="29264" xr:uid="{00000000-0005-0000-0000-000040230000}"/>
    <cellStyle name="Normal 117 5 2 3 4" xfId="21221" xr:uid="{00000000-0005-0000-0000-000041230000}"/>
    <cellStyle name="Normal 117 5 2 4" xfId="7273" xr:uid="{00000000-0005-0000-0000-000042230000}"/>
    <cellStyle name="Normal 117 5 2 4 2" xfId="16636" xr:uid="{00000000-0005-0000-0000-000043230000}"/>
    <cellStyle name="Normal 117 5 2 4 2 2" xfId="33210" xr:uid="{00000000-0005-0000-0000-000044230000}"/>
    <cellStyle name="Normal 117 5 2 4 3" xfId="25163" xr:uid="{00000000-0005-0000-0000-000045230000}"/>
    <cellStyle name="Normal 117 5 2 5" xfId="12736" xr:uid="{00000000-0005-0000-0000-000046230000}"/>
    <cellStyle name="Normal 117 5 2 5 2" xfId="29261" xr:uid="{00000000-0005-0000-0000-000047230000}"/>
    <cellStyle name="Normal 117 5 2 6" xfId="21218" xr:uid="{00000000-0005-0000-0000-000048230000}"/>
    <cellStyle name="Normal 117 5 3" xfId="3069" xr:uid="{00000000-0005-0000-0000-000049230000}"/>
    <cellStyle name="Normal 117 5 3 2" xfId="3070" xr:uid="{00000000-0005-0000-0000-00004A230000}"/>
    <cellStyle name="Normal 117 5 3 2 2" xfId="7274" xr:uid="{00000000-0005-0000-0000-00004B230000}"/>
    <cellStyle name="Normal 117 5 3 2 2 2" xfId="16637" xr:uid="{00000000-0005-0000-0000-00004C230000}"/>
    <cellStyle name="Normal 117 5 3 2 2 2 2" xfId="33211" xr:uid="{00000000-0005-0000-0000-00004D230000}"/>
    <cellStyle name="Normal 117 5 3 2 2 3" xfId="25164" xr:uid="{00000000-0005-0000-0000-00004E230000}"/>
    <cellStyle name="Normal 117 5 3 2 3" xfId="12741" xr:uid="{00000000-0005-0000-0000-00004F230000}"/>
    <cellStyle name="Normal 117 5 3 2 3 2" xfId="29266" xr:uid="{00000000-0005-0000-0000-000050230000}"/>
    <cellStyle name="Normal 117 5 3 2 4" xfId="21223" xr:uid="{00000000-0005-0000-0000-000051230000}"/>
    <cellStyle name="Normal 117 5 3 3" xfId="7275" xr:uid="{00000000-0005-0000-0000-000052230000}"/>
    <cellStyle name="Normal 117 5 3 3 2" xfId="16638" xr:uid="{00000000-0005-0000-0000-000053230000}"/>
    <cellStyle name="Normal 117 5 3 3 2 2" xfId="33212" xr:uid="{00000000-0005-0000-0000-000054230000}"/>
    <cellStyle name="Normal 117 5 3 3 3" xfId="25165" xr:uid="{00000000-0005-0000-0000-000055230000}"/>
    <cellStyle name="Normal 117 5 3 4" xfId="12740" xr:uid="{00000000-0005-0000-0000-000056230000}"/>
    <cellStyle name="Normal 117 5 3 4 2" xfId="29265" xr:uid="{00000000-0005-0000-0000-000057230000}"/>
    <cellStyle name="Normal 117 5 3 5" xfId="21222" xr:uid="{00000000-0005-0000-0000-000058230000}"/>
    <cellStyle name="Normal 117 5 4" xfId="3071" xr:uid="{00000000-0005-0000-0000-000059230000}"/>
    <cellStyle name="Normal 117 5 4 2" xfId="7276" xr:uid="{00000000-0005-0000-0000-00005A230000}"/>
    <cellStyle name="Normal 117 5 4 2 2" xfId="16639" xr:uid="{00000000-0005-0000-0000-00005B230000}"/>
    <cellStyle name="Normal 117 5 4 2 2 2" xfId="33213" xr:uid="{00000000-0005-0000-0000-00005C230000}"/>
    <cellStyle name="Normal 117 5 4 2 3" xfId="25166" xr:uid="{00000000-0005-0000-0000-00005D230000}"/>
    <cellStyle name="Normal 117 5 4 3" xfId="12742" xr:uid="{00000000-0005-0000-0000-00005E230000}"/>
    <cellStyle name="Normal 117 5 4 3 2" xfId="29267" xr:uid="{00000000-0005-0000-0000-00005F230000}"/>
    <cellStyle name="Normal 117 5 4 4" xfId="21224" xr:uid="{00000000-0005-0000-0000-000060230000}"/>
    <cellStyle name="Normal 117 5 5" xfId="7277" xr:uid="{00000000-0005-0000-0000-000061230000}"/>
    <cellStyle name="Normal 117 5 5 2" xfId="16640" xr:uid="{00000000-0005-0000-0000-000062230000}"/>
    <cellStyle name="Normal 117 5 5 2 2" xfId="33214" xr:uid="{00000000-0005-0000-0000-000063230000}"/>
    <cellStyle name="Normal 117 5 5 3" xfId="25167" xr:uid="{00000000-0005-0000-0000-000064230000}"/>
    <cellStyle name="Normal 117 5 6" xfId="12735" xr:uid="{00000000-0005-0000-0000-000065230000}"/>
    <cellStyle name="Normal 117 5 6 2" xfId="29260" xr:uid="{00000000-0005-0000-0000-000066230000}"/>
    <cellStyle name="Normal 117 5 7" xfId="21217" xr:uid="{00000000-0005-0000-0000-000067230000}"/>
    <cellStyle name="Normal 117 6" xfId="3072" xr:uid="{00000000-0005-0000-0000-000068230000}"/>
    <cellStyle name="Normal 117 6 2" xfId="3073" xr:uid="{00000000-0005-0000-0000-000069230000}"/>
    <cellStyle name="Normal 117 6 2 2" xfId="3074" xr:uid="{00000000-0005-0000-0000-00006A230000}"/>
    <cellStyle name="Normal 117 6 2 2 2" xfId="7278" xr:uid="{00000000-0005-0000-0000-00006B230000}"/>
    <cellStyle name="Normal 117 6 2 2 2 2" xfId="16641" xr:uid="{00000000-0005-0000-0000-00006C230000}"/>
    <cellStyle name="Normal 117 6 2 2 2 2 2" xfId="33215" xr:uid="{00000000-0005-0000-0000-00006D230000}"/>
    <cellStyle name="Normal 117 6 2 2 2 3" xfId="25168" xr:uid="{00000000-0005-0000-0000-00006E230000}"/>
    <cellStyle name="Normal 117 6 2 2 3" xfId="12745" xr:uid="{00000000-0005-0000-0000-00006F230000}"/>
    <cellStyle name="Normal 117 6 2 2 3 2" xfId="29270" xr:uid="{00000000-0005-0000-0000-000070230000}"/>
    <cellStyle name="Normal 117 6 2 2 4" xfId="21227" xr:uid="{00000000-0005-0000-0000-000071230000}"/>
    <cellStyle name="Normal 117 6 2 3" xfId="7279" xr:uid="{00000000-0005-0000-0000-000072230000}"/>
    <cellStyle name="Normal 117 6 2 3 2" xfId="16642" xr:uid="{00000000-0005-0000-0000-000073230000}"/>
    <cellStyle name="Normal 117 6 2 3 2 2" xfId="33216" xr:uid="{00000000-0005-0000-0000-000074230000}"/>
    <cellStyle name="Normal 117 6 2 3 3" xfId="25169" xr:uid="{00000000-0005-0000-0000-000075230000}"/>
    <cellStyle name="Normal 117 6 2 4" xfId="12744" xr:uid="{00000000-0005-0000-0000-000076230000}"/>
    <cellStyle name="Normal 117 6 2 4 2" xfId="29269" xr:uid="{00000000-0005-0000-0000-000077230000}"/>
    <cellStyle name="Normal 117 6 2 5" xfId="21226" xr:uid="{00000000-0005-0000-0000-000078230000}"/>
    <cellStyle name="Normal 117 6 3" xfId="3075" xr:uid="{00000000-0005-0000-0000-000079230000}"/>
    <cellStyle name="Normal 117 6 3 2" xfId="7280" xr:uid="{00000000-0005-0000-0000-00007A230000}"/>
    <cellStyle name="Normal 117 6 3 2 2" xfId="16643" xr:uid="{00000000-0005-0000-0000-00007B230000}"/>
    <cellStyle name="Normal 117 6 3 2 2 2" xfId="33217" xr:uid="{00000000-0005-0000-0000-00007C230000}"/>
    <cellStyle name="Normal 117 6 3 2 3" xfId="25170" xr:uid="{00000000-0005-0000-0000-00007D230000}"/>
    <cellStyle name="Normal 117 6 3 3" xfId="12746" xr:uid="{00000000-0005-0000-0000-00007E230000}"/>
    <cellStyle name="Normal 117 6 3 3 2" xfId="29271" xr:uid="{00000000-0005-0000-0000-00007F230000}"/>
    <cellStyle name="Normal 117 6 3 4" xfId="21228" xr:uid="{00000000-0005-0000-0000-000080230000}"/>
    <cellStyle name="Normal 117 6 4" xfId="7281" xr:uid="{00000000-0005-0000-0000-000081230000}"/>
    <cellStyle name="Normal 117 6 4 2" xfId="16644" xr:uid="{00000000-0005-0000-0000-000082230000}"/>
    <cellStyle name="Normal 117 6 4 2 2" xfId="33218" xr:uid="{00000000-0005-0000-0000-000083230000}"/>
    <cellStyle name="Normal 117 6 4 3" xfId="25171" xr:uid="{00000000-0005-0000-0000-000084230000}"/>
    <cellStyle name="Normal 117 6 5" xfId="12743" xr:uid="{00000000-0005-0000-0000-000085230000}"/>
    <cellStyle name="Normal 117 6 5 2" xfId="29268" xr:uid="{00000000-0005-0000-0000-000086230000}"/>
    <cellStyle name="Normal 117 6 6" xfId="21225" xr:uid="{00000000-0005-0000-0000-000087230000}"/>
    <cellStyle name="Normal 117 7" xfId="3076" xr:uid="{00000000-0005-0000-0000-000088230000}"/>
    <cellStyle name="Normal 117 7 2" xfId="3077" xr:uid="{00000000-0005-0000-0000-000089230000}"/>
    <cellStyle name="Normal 117 7 2 2" xfId="7282" xr:uid="{00000000-0005-0000-0000-00008A230000}"/>
    <cellStyle name="Normal 117 7 2 2 2" xfId="16645" xr:uid="{00000000-0005-0000-0000-00008B230000}"/>
    <cellStyle name="Normal 117 7 2 2 2 2" xfId="33219" xr:uid="{00000000-0005-0000-0000-00008C230000}"/>
    <cellStyle name="Normal 117 7 2 2 3" xfId="25172" xr:uid="{00000000-0005-0000-0000-00008D230000}"/>
    <cellStyle name="Normal 117 7 2 3" xfId="12748" xr:uid="{00000000-0005-0000-0000-00008E230000}"/>
    <cellStyle name="Normal 117 7 2 3 2" xfId="29273" xr:uid="{00000000-0005-0000-0000-00008F230000}"/>
    <cellStyle name="Normal 117 7 2 4" xfId="21230" xr:uid="{00000000-0005-0000-0000-000090230000}"/>
    <cellStyle name="Normal 117 7 3" xfId="7283" xr:uid="{00000000-0005-0000-0000-000091230000}"/>
    <cellStyle name="Normal 117 7 3 2" xfId="16646" xr:uid="{00000000-0005-0000-0000-000092230000}"/>
    <cellStyle name="Normal 117 7 3 2 2" xfId="33220" xr:uid="{00000000-0005-0000-0000-000093230000}"/>
    <cellStyle name="Normal 117 7 3 3" xfId="25173" xr:uid="{00000000-0005-0000-0000-000094230000}"/>
    <cellStyle name="Normal 117 7 4" xfId="12747" xr:uid="{00000000-0005-0000-0000-000095230000}"/>
    <cellStyle name="Normal 117 7 4 2" xfId="29272" xr:uid="{00000000-0005-0000-0000-000096230000}"/>
    <cellStyle name="Normal 117 7 5" xfId="21229" xr:uid="{00000000-0005-0000-0000-000097230000}"/>
    <cellStyle name="Normal 117 8" xfId="3078" xr:uid="{00000000-0005-0000-0000-000098230000}"/>
    <cellStyle name="Normal 117 8 2" xfId="7284" xr:uid="{00000000-0005-0000-0000-000099230000}"/>
    <cellStyle name="Normal 117 8 2 2" xfId="16647" xr:uid="{00000000-0005-0000-0000-00009A230000}"/>
    <cellStyle name="Normal 117 8 2 2 2" xfId="33221" xr:uid="{00000000-0005-0000-0000-00009B230000}"/>
    <cellStyle name="Normal 117 8 2 3" xfId="25174" xr:uid="{00000000-0005-0000-0000-00009C230000}"/>
    <cellStyle name="Normal 117 8 3" xfId="12749" xr:uid="{00000000-0005-0000-0000-00009D230000}"/>
    <cellStyle name="Normal 117 8 3 2" xfId="29274" xr:uid="{00000000-0005-0000-0000-00009E230000}"/>
    <cellStyle name="Normal 117 8 4" xfId="21231" xr:uid="{00000000-0005-0000-0000-00009F230000}"/>
    <cellStyle name="Normal 117 9" xfId="7285" xr:uid="{00000000-0005-0000-0000-0000A0230000}"/>
    <cellStyle name="Normal 117 9 2" xfId="16648" xr:uid="{00000000-0005-0000-0000-0000A1230000}"/>
    <cellStyle name="Normal 117 9 2 2" xfId="33222" xr:uid="{00000000-0005-0000-0000-0000A2230000}"/>
    <cellStyle name="Normal 117 9 3" xfId="25175" xr:uid="{00000000-0005-0000-0000-0000A3230000}"/>
    <cellStyle name="Normal 118" xfId="3079" xr:uid="{00000000-0005-0000-0000-0000A4230000}"/>
    <cellStyle name="Normal 118 10" xfId="12750" xr:uid="{00000000-0005-0000-0000-0000A5230000}"/>
    <cellStyle name="Normal 118 10 2" xfId="29275" xr:uid="{00000000-0005-0000-0000-0000A6230000}"/>
    <cellStyle name="Normal 118 11" xfId="21232" xr:uid="{00000000-0005-0000-0000-0000A7230000}"/>
    <cellStyle name="Normal 118 2" xfId="3080" xr:uid="{00000000-0005-0000-0000-0000A8230000}"/>
    <cellStyle name="Normal 118 2 2" xfId="3081" xr:uid="{00000000-0005-0000-0000-0000A9230000}"/>
    <cellStyle name="Normal 118 2 3" xfId="12751" xr:uid="{00000000-0005-0000-0000-0000AA230000}"/>
    <cellStyle name="Normal 118 2 3 2" xfId="29276" xr:uid="{00000000-0005-0000-0000-0000AB230000}"/>
    <cellStyle name="Normal 118 2 4" xfId="21233" xr:uid="{00000000-0005-0000-0000-0000AC230000}"/>
    <cellStyle name="Normal 118 3" xfId="3082" xr:uid="{00000000-0005-0000-0000-0000AD230000}"/>
    <cellStyle name="Normal 118 3 2" xfId="3083" xr:uid="{00000000-0005-0000-0000-0000AE230000}"/>
    <cellStyle name="Normal 118 3 2 2" xfId="3084" xr:uid="{00000000-0005-0000-0000-0000AF230000}"/>
    <cellStyle name="Normal 118 3 2 2 2" xfId="3085" xr:uid="{00000000-0005-0000-0000-0000B0230000}"/>
    <cellStyle name="Normal 118 3 2 2 2 2" xfId="7286" xr:uid="{00000000-0005-0000-0000-0000B1230000}"/>
    <cellStyle name="Normal 118 3 2 2 2 2 2" xfId="16649" xr:uid="{00000000-0005-0000-0000-0000B2230000}"/>
    <cellStyle name="Normal 118 3 2 2 2 2 2 2" xfId="33223" xr:uid="{00000000-0005-0000-0000-0000B3230000}"/>
    <cellStyle name="Normal 118 3 2 2 2 2 3" xfId="25176" xr:uid="{00000000-0005-0000-0000-0000B4230000}"/>
    <cellStyle name="Normal 118 3 2 2 2 3" xfId="12754" xr:uid="{00000000-0005-0000-0000-0000B5230000}"/>
    <cellStyle name="Normal 118 3 2 2 2 3 2" xfId="29279" xr:uid="{00000000-0005-0000-0000-0000B6230000}"/>
    <cellStyle name="Normal 118 3 2 2 2 4" xfId="21236" xr:uid="{00000000-0005-0000-0000-0000B7230000}"/>
    <cellStyle name="Normal 118 3 2 2 3" xfId="7287" xr:uid="{00000000-0005-0000-0000-0000B8230000}"/>
    <cellStyle name="Normal 118 3 2 2 3 2" xfId="16650" xr:uid="{00000000-0005-0000-0000-0000B9230000}"/>
    <cellStyle name="Normal 118 3 2 2 3 2 2" xfId="33224" xr:uid="{00000000-0005-0000-0000-0000BA230000}"/>
    <cellStyle name="Normal 118 3 2 2 3 3" xfId="25177" xr:uid="{00000000-0005-0000-0000-0000BB230000}"/>
    <cellStyle name="Normal 118 3 2 2 4" xfId="12753" xr:uid="{00000000-0005-0000-0000-0000BC230000}"/>
    <cellStyle name="Normal 118 3 2 2 4 2" xfId="29278" xr:uid="{00000000-0005-0000-0000-0000BD230000}"/>
    <cellStyle name="Normal 118 3 2 2 5" xfId="21235" xr:uid="{00000000-0005-0000-0000-0000BE230000}"/>
    <cellStyle name="Normal 118 3 2 3" xfId="3086" xr:uid="{00000000-0005-0000-0000-0000BF230000}"/>
    <cellStyle name="Normal 118 3 2 3 2" xfId="7288" xr:uid="{00000000-0005-0000-0000-0000C0230000}"/>
    <cellStyle name="Normal 118 3 2 3 2 2" xfId="16651" xr:uid="{00000000-0005-0000-0000-0000C1230000}"/>
    <cellStyle name="Normal 118 3 2 3 2 2 2" xfId="33225" xr:uid="{00000000-0005-0000-0000-0000C2230000}"/>
    <cellStyle name="Normal 118 3 2 3 2 3" xfId="25178" xr:uid="{00000000-0005-0000-0000-0000C3230000}"/>
    <cellStyle name="Normal 118 3 2 3 3" xfId="12755" xr:uid="{00000000-0005-0000-0000-0000C4230000}"/>
    <cellStyle name="Normal 118 3 2 3 3 2" xfId="29280" xr:uid="{00000000-0005-0000-0000-0000C5230000}"/>
    <cellStyle name="Normal 118 3 2 3 4" xfId="21237" xr:uid="{00000000-0005-0000-0000-0000C6230000}"/>
    <cellStyle name="Normal 118 3 2 4" xfId="7289" xr:uid="{00000000-0005-0000-0000-0000C7230000}"/>
    <cellStyle name="Normal 118 3 2 4 2" xfId="16652" xr:uid="{00000000-0005-0000-0000-0000C8230000}"/>
    <cellStyle name="Normal 118 3 2 4 2 2" xfId="33226" xr:uid="{00000000-0005-0000-0000-0000C9230000}"/>
    <cellStyle name="Normal 118 3 2 4 3" xfId="25179" xr:uid="{00000000-0005-0000-0000-0000CA230000}"/>
    <cellStyle name="Normal 118 3 2 5" xfId="12752" xr:uid="{00000000-0005-0000-0000-0000CB230000}"/>
    <cellStyle name="Normal 118 3 2 5 2" xfId="29277" xr:uid="{00000000-0005-0000-0000-0000CC230000}"/>
    <cellStyle name="Normal 118 3 2 6" xfId="21234" xr:uid="{00000000-0005-0000-0000-0000CD230000}"/>
    <cellStyle name="Normal 118 3 3" xfId="3087" xr:uid="{00000000-0005-0000-0000-0000CE230000}"/>
    <cellStyle name="Normal 118 3 3 2" xfId="3088" xr:uid="{00000000-0005-0000-0000-0000CF230000}"/>
    <cellStyle name="Normal 118 3 3 2 2" xfId="7290" xr:uid="{00000000-0005-0000-0000-0000D0230000}"/>
    <cellStyle name="Normal 118 3 3 2 2 2" xfId="16653" xr:uid="{00000000-0005-0000-0000-0000D1230000}"/>
    <cellStyle name="Normal 118 3 3 2 2 2 2" xfId="33227" xr:uid="{00000000-0005-0000-0000-0000D2230000}"/>
    <cellStyle name="Normal 118 3 3 2 2 3" xfId="25180" xr:uid="{00000000-0005-0000-0000-0000D3230000}"/>
    <cellStyle name="Normal 118 3 3 2 3" xfId="12757" xr:uid="{00000000-0005-0000-0000-0000D4230000}"/>
    <cellStyle name="Normal 118 3 3 2 3 2" xfId="29282" xr:uid="{00000000-0005-0000-0000-0000D5230000}"/>
    <cellStyle name="Normal 118 3 3 2 4" xfId="21239" xr:uid="{00000000-0005-0000-0000-0000D6230000}"/>
    <cellStyle name="Normal 118 3 3 3" xfId="7291" xr:uid="{00000000-0005-0000-0000-0000D7230000}"/>
    <cellStyle name="Normal 118 3 3 3 2" xfId="16654" xr:uid="{00000000-0005-0000-0000-0000D8230000}"/>
    <cellStyle name="Normal 118 3 3 3 2 2" xfId="33228" xr:uid="{00000000-0005-0000-0000-0000D9230000}"/>
    <cellStyle name="Normal 118 3 3 3 3" xfId="25181" xr:uid="{00000000-0005-0000-0000-0000DA230000}"/>
    <cellStyle name="Normal 118 3 3 4" xfId="12756" xr:uid="{00000000-0005-0000-0000-0000DB230000}"/>
    <cellStyle name="Normal 118 3 3 4 2" xfId="29281" xr:uid="{00000000-0005-0000-0000-0000DC230000}"/>
    <cellStyle name="Normal 118 3 3 5" xfId="21238" xr:uid="{00000000-0005-0000-0000-0000DD230000}"/>
    <cellStyle name="Normal 118 3 4" xfId="3089" xr:uid="{00000000-0005-0000-0000-0000DE230000}"/>
    <cellStyle name="Normal 118 3 4 2" xfId="7292" xr:uid="{00000000-0005-0000-0000-0000DF230000}"/>
    <cellStyle name="Normal 118 3 4 2 2" xfId="16655" xr:uid="{00000000-0005-0000-0000-0000E0230000}"/>
    <cellStyle name="Normal 118 3 4 2 2 2" xfId="33229" xr:uid="{00000000-0005-0000-0000-0000E1230000}"/>
    <cellStyle name="Normal 118 3 4 2 3" xfId="25182" xr:uid="{00000000-0005-0000-0000-0000E2230000}"/>
    <cellStyle name="Normal 118 3 4 3" xfId="12758" xr:uid="{00000000-0005-0000-0000-0000E3230000}"/>
    <cellStyle name="Normal 118 3 4 3 2" xfId="29283" xr:uid="{00000000-0005-0000-0000-0000E4230000}"/>
    <cellStyle name="Normal 118 3 4 4" xfId="21240" xr:uid="{00000000-0005-0000-0000-0000E5230000}"/>
    <cellStyle name="Normal 118 3 5" xfId="3090" xr:uid="{00000000-0005-0000-0000-0000E6230000}"/>
    <cellStyle name="Normal 118 3 5 2" xfId="12759" xr:uid="{00000000-0005-0000-0000-0000E7230000}"/>
    <cellStyle name="Normal 118 3 5 2 2" xfId="29284" xr:uid="{00000000-0005-0000-0000-0000E8230000}"/>
    <cellStyle name="Normal 118 3 5 3" xfId="21241" xr:uid="{00000000-0005-0000-0000-0000E9230000}"/>
    <cellStyle name="Normal 118 4" xfId="3091" xr:uid="{00000000-0005-0000-0000-0000EA230000}"/>
    <cellStyle name="Normal 118 4 2" xfId="3092" xr:uid="{00000000-0005-0000-0000-0000EB230000}"/>
    <cellStyle name="Normal 118 4 2 2" xfId="3093" xr:uid="{00000000-0005-0000-0000-0000EC230000}"/>
    <cellStyle name="Normal 118 4 2 2 2" xfId="3094" xr:uid="{00000000-0005-0000-0000-0000ED230000}"/>
    <cellStyle name="Normal 118 4 2 2 2 2" xfId="7293" xr:uid="{00000000-0005-0000-0000-0000EE230000}"/>
    <cellStyle name="Normal 118 4 2 2 2 2 2" xfId="16656" xr:uid="{00000000-0005-0000-0000-0000EF230000}"/>
    <cellStyle name="Normal 118 4 2 2 2 2 2 2" xfId="33230" xr:uid="{00000000-0005-0000-0000-0000F0230000}"/>
    <cellStyle name="Normal 118 4 2 2 2 2 3" xfId="25183" xr:uid="{00000000-0005-0000-0000-0000F1230000}"/>
    <cellStyle name="Normal 118 4 2 2 2 3" xfId="12763" xr:uid="{00000000-0005-0000-0000-0000F2230000}"/>
    <cellStyle name="Normal 118 4 2 2 2 3 2" xfId="29288" xr:uid="{00000000-0005-0000-0000-0000F3230000}"/>
    <cellStyle name="Normal 118 4 2 2 2 4" xfId="21245" xr:uid="{00000000-0005-0000-0000-0000F4230000}"/>
    <cellStyle name="Normal 118 4 2 2 3" xfId="7294" xr:uid="{00000000-0005-0000-0000-0000F5230000}"/>
    <cellStyle name="Normal 118 4 2 2 3 2" xfId="16657" xr:uid="{00000000-0005-0000-0000-0000F6230000}"/>
    <cellStyle name="Normal 118 4 2 2 3 2 2" xfId="33231" xr:uid="{00000000-0005-0000-0000-0000F7230000}"/>
    <cellStyle name="Normal 118 4 2 2 3 3" xfId="25184" xr:uid="{00000000-0005-0000-0000-0000F8230000}"/>
    <cellStyle name="Normal 118 4 2 2 4" xfId="12762" xr:uid="{00000000-0005-0000-0000-0000F9230000}"/>
    <cellStyle name="Normal 118 4 2 2 4 2" xfId="29287" xr:uid="{00000000-0005-0000-0000-0000FA230000}"/>
    <cellStyle name="Normal 118 4 2 2 5" xfId="21244" xr:uid="{00000000-0005-0000-0000-0000FB230000}"/>
    <cellStyle name="Normal 118 4 2 3" xfId="3095" xr:uid="{00000000-0005-0000-0000-0000FC230000}"/>
    <cellStyle name="Normal 118 4 2 3 2" xfId="7295" xr:uid="{00000000-0005-0000-0000-0000FD230000}"/>
    <cellStyle name="Normal 118 4 2 3 2 2" xfId="16658" xr:uid="{00000000-0005-0000-0000-0000FE230000}"/>
    <cellStyle name="Normal 118 4 2 3 2 2 2" xfId="33232" xr:uid="{00000000-0005-0000-0000-0000FF230000}"/>
    <cellStyle name="Normal 118 4 2 3 2 3" xfId="25185" xr:uid="{00000000-0005-0000-0000-000000240000}"/>
    <cellStyle name="Normal 118 4 2 3 3" xfId="12764" xr:uid="{00000000-0005-0000-0000-000001240000}"/>
    <cellStyle name="Normal 118 4 2 3 3 2" xfId="29289" xr:uid="{00000000-0005-0000-0000-000002240000}"/>
    <cellStyle name="Normal 118 4 2 3 4" xfId="21246" xr:uid="{00000000-0005-0000-0000-000003240000}"/>
    <cellStyle name="Normal 118 4 2 4" xfId="7296" xr:uid="{00000000-0005-0000-0000-000004240000}"/>
    <cellStyle name="Normal 118 4 2 4 2" xfId="16659" xr:uid="{00000000-0005-0000-0000-000005240000}"/>
    <cellStyle name="Normal 118 4 2 4 2 2" xfId="33233" xr:uid="{00000000-0005-0000-0000-000006240000}"/>
    <cellStyle name="Normal 118 4 2 4 3" xfId="25186" xr:uid="{00000000-0005-0000-0000-000007240000}"/>
    <cellStyle name="Normal 118 4 2 5" xfId="12761" xr:uid="{00000000-0005-0000-0000-000008240000}"/>
    <cellStyle name="Normal 118 4 2 5 2" xfId="29286" xr:uid="{00000000-0005-0000-0000-000009240000}"/>
    <cellStyle name="Normal 118 4 2 6" xfId="21243" xr:uid="{00000000-0005-0000-0000-00000A240000}"/>
    <cellStyle name="Normal 118 4 3" xfId="3096" xr:uid="{00000000-0005-0000-0000-00000B240000}"/>
    <cellStyle name="Normal 118 4 3 2" xfId="3097" xr:uid="{00000000-0005-0000-0000-00000C240000}"/>
    <cellStyle name="Normal 118 4 3 2 2" xfId="7297" xr:uid="{00000000-0005-0000-0000-00000D240000}"/>
    <cellStyle name="Normal 118 4 3 2 2 2" xfId="16660" xr:uid="{00000000-0005-0000-0000-00000E240000}"/>
    <cellStyle name="Normal 118 4 3 2 2 2 2" xfId="33234" xr:uid="{00000000-0005-0000-0000-00000F240000}"/>
    <cellStyle name="Normal 118 4 3 2 2 3" xfId="25187" xr:uid="{00000000-0005-0000-0000-000010240000}"/>
    <cellStyle name="Normal 118 4 3 2 3" xfId="12766" xr:uid="{00000000-0005-0000-0000-000011240000}"/>
    <cellStyle name="Normal 118 4 3 2 3 2" xfId="29291" xr:uid="{00000000-0005-0000-0000-000012240000}"/>
    <cellStyle name="Normal 118 4 3 2 4" xfId="21248" xr:uid="{00000000-0005-0000-0000-000013240000}"/>
    <cellStyle name="Normal 118 4 3 3" xfId="7298" xr:uid="{00000000-0005-0000-0000-000014240000}"/>
    <cellStyle name="Normal 118 4 3 3 2" xfId="16661" xr:uid="{00000000-0005-0000-0000-000015240000}"/>
    <cellStyle name="Normal 118 4 3 3 2 2" xfId="33235" xr:uid="{00000000-0005-0000-0000-000016240000}"/>
    <cellStyle name="Normal 118 4 3 3 3" xfId="25188" xr:uid="{00000000-0005-0000-0000-000017240000}"/>
    <cellStyle name="Normal 118 4 3 4" xfId="12765" xr:uid="{00000000-0005-0000-0000-000018240000}"/>
    <cellStyle name="Normal 118 4 3 4 2" xfId="29290" xr:uid="{00000000-0005-0000-0000-000019240000}"/>
    <cellStyle name="Normal 118 4 3 5" xfId="21247" xr:uid="{00000000-0005-0000-0000-00001A240000}"/>
    <cellStyle name="Normal 118 4 4" xfId="3098" xr:uid="{00000000-0005-0000-0000-00001B240000}"/>
    <cellStyle name="Normal 118 4 4 2" xfId="7299" xr:uid="{00000000-0005-0000-0000-00001C240000}"/>
    <cellStyle name="Normal 118 4 4 2 2" xfId="16662" xr:uid="{00000000-0005-0000-0000-00001D240000}"/>
    <cellStyle name="Normal 118 4 4 2 2 2" xfId="33236" xr:uid="{00000000-0005-0000-0000-00001E240000}"/>
    <cellStyle name="Normal 118 4 4 2 3" xfId="25189" xr:uid="{00000000-0005-0000-0000-00001F240000}"/>
    <cellStyle name="Normal 118 4 4 3" xfId="12767" xr:uid="{00000000-0005-0000-0000-000020240000}"/>
    <cellStyle name="Normal 118 4 4 3 2" xfId="29292" xr:uid="{00000000-0005-0000-0000-000021240000}"/>
    <cellStyle name="Normal 118 4 4 4" xfId="21249" xr:uid="{00000000-0005-0000-0000-000022240000}"/>
    <cellStyle name="Normal 118 4 5" xfId="7300" xr:uid="{00000000-0005-0000-0000-000023240000}"/>
    <cellStyle name="Normal 118 4 5 2" xfId="16663" xr:uid="{00000000-0005-0000-0000-000024240000}"/>
    <cellStyle name="Normal 118 4 5 2 2" xfId="33237" xr:uid="{00000000-0005-0000-0000-000025240000}"/>
    <cellStyle name="Normal 118 4 5 3" xfId="25190" xr:uid="{00000000-0005-0000-0000-000026240000}"/>
    <cellStyle name="Normal 118 4 6" xfId="12760" xr:uid="{00000000-0005-0000-0000-000027240000}"/>
    <cellStyle name="Normal 118 4 6 2" xfId="29285" xr:uid="{00000000-0005-0000-0000-000028240000}"/>
    <cellStyle name="Normal 118 4 7" xfId="21242" xr:uid="{00000000-0005-0000-0000-000029240000}"/>
    <cellStyle name="Normal 118 5" xfId="3099" xr:uid="{00000000-0005-0000-0000-00002A240000}"/>
    <cellStyle name="Normal 118 5 2" xfId="3100" xr:uid="{00000000-0005-0000-0000-00002B240000}"/>
    <cellStyle name="Normal 118 5 2 2" xfId="3101" xr:uid="{00000000-0005-0000-0000-00002C240000}"/>
    <cellStyle name="Normal 118 5 2 2 2" xfId="3102" xr:uid="{00000000-0005-0000-0000-00002D240000}"/>
    <cellStyle name="Normal 118 5 2 2 2 2" xfId="7301" xr:uid="{00000000-0005-0000-0000-00002E240000}"/>
    <cellStyle name="Normal 118 5 2 2 2 2 2" xfId="16664" xr:uid="{00000000-0005-0000-0000-00002F240000}"/>
    <cellStyle name="Normal 118 5 2 2 2 2 2 2" xfId="33238" xr:uid="{00000000-0005-0000-0000-000030240000}"/>
    <cellStyle name="Normal 118 5 2 2 2 2 3" xfId="25191" xr:uid="{00000000-0005-0000-0000-000031240000}"/>
    <cellStyle name="Normal 118 5 2 2 2 3" xfId="12771" xr:uid="{00000000-0005-0000-0000-000032240000}"/>
    <cellStyle name="Normal 118 5 2 2 2 3 2" xfId="29296" xr:uid="{00000000-0005-0000-0000-000033240000}"/>
    <cellStyle name="Normal 118 5 2 2 2 4" xfId="21253" xr:uid="{00000000-0005-0000-0000-000034240000}"/>
    <cellStyle name="Normal 118 5 2 2 3" xfId="7302" xr:uid="{00000000-0005-0000-0000-000035240000}"/>
    <cellStyle name="Normal 118 5 2 2 3 2" xfId="16665" xr:uid="{00000000-0005-0000-0000-000036240000}"/>
    <cellStyle name="Normal 118 5 2 2 3 2 2" xfId="33239" xr:uid="{00000000-0005-0000-0000-000037240000}"/>
    <cellStyle name="Normal 118 5 2 2 3 3" xfId="25192" xr:uid="{00000000-0005-0000-0000-000038240000}"/>
    <cellStyle name="Normal 118 5 2 2 4" xfId="12770" xr:uid="{00000000-0005-0000-0000-000039240000}"/>
    <cellStyle name="Normal 118 5 2 2 4 2" xfId="29295" xr:uid="{00000000-0005-0000-0000-00003A240000}"/>
    <cellStyle name="Normal 118 5 2 2 5" xfId="21252" xr:uid="{00000000-0005-0000-0000-00003B240000}"/>
    <cellStyle name="Normal 118 5 2 3" xfId="3103" xr:uid="{00000000-0005-0000-0000-00003C240000}"/>
    <cellStyle name="Normal 118 5 2 3 2" xfId="7303" xr:uid="{00000000-0005-0000-0000-00003D240000}"/>
    <cellStyle name="Normal 118 5 2 3 2 2" xfId="16666" xr:uid="{00000000-0005-0000-0000-00003E240000}"/>
    <cellStyle name="Normal 118 5 2 3 2 2 2" xfId="33240" xr:uid="{00000000-0005-0000-0000-00003F240000}"/>
    <cellStyle name="Normal 118 5 2 3 2 3" xfId="25193" xr:uid="{00000000-0005-0000-0000-000040240000}"/>
    <cellStyle name="Normal 118 5 2 3 3" xfId="12772" xr:uid="{00000000-0005-0000-0000-000041240000}"/>
    <cellStyle name="Normal 118 5 2 3 3 2" xfId="29297" xr:uid="{00000000-0005-0000-0000-000042240000}"/>
    <cellStyle name="Normal 118 5 2 3 4" xfId="21254" xr:uid="{00000000-0005-0000-0000-000043240000}"/>
    <cellStyle name="Normal 118 5 2 4" xfId="7304" xr:uid="{00000000-0005-0000-0000-000044240000}"/>
    <cellStyle name="Normal 118 5 2 4 2" xfId="16667" xr:uid="{00000000-0005-0000-0000-000045240000}"/>
    <cellStyle name="Normal 118 5 2 4 2 2" xfId="33241" xr:uid="{00000000-0005-0000-0000-000046240000}"/>
    <cellStyle name="Normal 118 5 2 4 3" xfId="25194" xr:uid="{00000000-0005-0000-0000-000047240000}"/>
    <cellStyle name="Normal 118 5 2 5" xfId="12769" xr:uid="{00000000-0005-0000-0000-000048240000}"/>
    <cellStyle name="Normal 118 5 2 5 2" xfId="29294" xr:uid="{00000000-0005-0000-0000-000049240000}"/>
    <cellStyle name="Normal 118 5 2 6" xfId="21251" xr:uid="{00000000-0005-0000-0000-00004A240000}"/>
    <cellStyle name="Normal 118 5 3" xfId="3104" xr:uid="{00000000-0005-0000-0000-00004B240000}"/>
    <cellStyle name="Normal 118 5 3 2" xfId="3105" xr:uid="{00000000-0005-0000-0000-00004C240000}"/>
    <cellStyle name="Normal 118 5 3 2 2" xfId="7305" xr:uid="{00000000-0005-0000-0000-00004D240000}"/>
    <cellStyle name="Normal 118 5 3 2 2 2" xfId="16668" xr:uid="{00000000-0005-0000-0000-00004E240000}"/>
    <cellStyle name="Normal 118 5 3 2 2 2 2" xfId="33242" xr:uid="{00000000-0005-0000-0000-00004F240000}"/>
    <cellStyle name="Normal 118 5 3 2 2 3" xfId="25195" xr:uid="{00000000-0005-0000-0000-000050240000}"/>
    <cellStyle name="Normal 118 5 3 2 3" xfId="12774" xr:uid="{00000000-0005-0000-0000-000051240000}"/>
    <cellStyle name="Normal 118 5 3 2 3 2" xfId="29299" xr:uid="{00000000-0005-0000-0000-000052240000}"/>
    <cellStyle name="Normal 118 5 3 2 4" xfId="21256" xr:uid="{00000000-0005-0000-0000-000053240000}"/>
    <cellStyle name="Normal 118 5 3 3" xfId="7306" xr:uid="{00000000-0005-0000-0000-000054240000}"/>
    <cellStyle name="Normal 118 5 3 3 2" xfId="16669" xr:uid="{00000000-0005-0000-0000-000055240000}"/>
    <cellStyle name="Normal 118 5 3 3 2 2" xfId="33243" xr:uid="{00000000-0005-0000-0000-000056240000}"/>
    <cellStyle name="Normal 118 5 3 3 3" xfId="25196" xr:uid="{00000000-0005-0000-0000-000057240000}"/>
    <cellStyle name="Normal 118 5 3 4" xfId="12773" xr:uid="{00000000-0005-0000-0000-000058240000}"/>
    <cellStyle name="Normal 118 5 3 4 2" xfId="29298" xr:uid="{00000000-0005-0000-0000-000059240000}"/>
    <cellStyle name="Normal 118 5 3 5" xfId="21255" xr:uid="{00000000-0005-0000-0000-00005A240000}"/>
    <cellStyle name="Normal 118 5 4" xfId="3106" xr:uid="{00000000-0005-0000-0000-00005B240000}"/>
    <cellStyle name="Normal 118 5 4 2" xfId="7307" xr:uid="{00000000-0005-0000-0000-00005C240000}"/>
    <cellStyle name="Normal 118 5 4 2 2" xfId="16670" xr:uid="{00000000-0005-0000-0000-00005D240000}"/>
    <cellStyle name="Normal 118 5 4 2 2 2" xfId="33244" xr:uid="{00000000-0005-0000-0000-00005E240000}"/>
    <cellStyle name="Normal 118 5 4 2 3" xfId="25197" xr:uid="{00000000-0005-0000-0000-00005F240000}"/>
    <cellStyle name="Normal 118 5 4 3" xfId="12775" xr:uid="{00000000-0005-0000-0000-000060240000}"/>
    <cellStyle name="Normal 118 5 4 3 2" xfId="29300" xr:uid="{00000000-0005-0000-0000-000061240000}"/>
    <cellStyle name="Normal 118 5 4 4" xfId="21257" xr:uid="{00000000-0005-0000-0000-000062240000}"/>
    <cellStyle name="Normal 118 5 5" xfId="7308" xr:uid="{00000000-0005-0000-0000-000063240000}"/>
    <cellStyle name="Normal 118 5 5 2" xfId="16671" xr:uid="{00000000-0005-0000-0000-000064240000}"/>
    <cellStyle name="Normal 118 5 5 2 2" xfId="33245" xr:uid="{00000000-0005-0000-0000-000065240000}"/>
    <cellStyle name="Normal 118 5 5 3" xfId="25198" xr:uid="{00000000-0005-0000-0000-000066240000}"/>
    <cellStyle name="Normal 118 5 6" xfId="12768" xr:uid="{00000000-0005-0000-0000-000067240000}"/>
    <cellStyle name="Normal 118 5 6 2" xfId="29293" xr:uid="{00000000-0005-0000-0000-000068240000}"/>
    <cellStyle name="Normal 118 5 7" xfId="21250" xr:uid="{00000000-0005-0000-0000-000069240000}"/>
    <cellStyle name="Normal 118 6" xfId="3107" xr:uid="{00000000-0005-0000-0000-00006A240000}"/>
    <cellStyle name="Normal 118 6 2" xfId="3108" xr:uid="{00000000-0005-0000-0000-00006B240000}"/>
    <cellStyle name="Normal 118 6 2 2" xfId="3109" xr:uid="{00000000-0005-0000-0000-00006C240000}"/>
    <cellStyle name="Normal 118 6 2 2 2" xfId="7309" xr:uid="{00000000-0005-0000-0000-00006D240000}"/>
    <cellStyle name="Normal 118 6 2 2 2 2" xfId="16672" xr:uid="{00000000-0005-0000-0000-00006E240000}"/>
    <cellStyle name="Normal 118 6 2 2 2 2 2" xfId="33246" xr:uid="{00000000-0005-0000-0000-00006F240000}"/>
    <cellStyle name="Normal 118 6 2 2 2 3" xfId="25199" xr:uid="{00000000-0005-0000-0000-000070240000}"/>
    <cellStyle name="Normal 118 6 2 2 3" xfId="12778" xr:uid="{00000000-0005-0000-0000-000071240000}"/>
    <cellStyle name="Normal 118 6 2 2 3 2" xfId="29303" xr:uid="{00000000-0005-0000-0000-000072240000}"/>
    <cellStyle name="Normal 118 6 2 2 4" xfId="21260" xr:uid="{00000000-0005-0000-0000-000073240000}"/>
    <cellStyle name="Normal 118 6 2 3" xfId="7310" xr:uid="{00000000-0005-0000-0000-000074240000}"/>
    <cellStyle name="Normal 118 6 2 3 2" xfId="16673" xr:uid="{00000000-0005-0000-0000-000075240000}"/>
    <cellStyle name="Normal 118 6 2 3 2 2" xfId="33247" xr:uid="{00000000-0005-0000-0000-000076240000}"/>
    <cellStyle name="Normal 118 6 2 3 3" xfId="25200" xr:uid="{00000000-0005-0000-0000-000077240000}"/>
    <cellStyle name="Normal 118 6 2 4" xfId="12777" xr:uid="{00000000-0005-0000-0000-000078240000}"/>
    <cellStyle name="Normal 118 6 2 4 2" xfId="29302" xr:uid="{00000000-0005-0000-0000-000079240000}"/>
    <cellStyle name="Normal 118 6 2 5" xfId="21259" xr:uid="{00000000-0005-0000-0000-00007A240000}"/>
    <cellStyle name="Normal 118 6 3" xfId="3110" xr:uid="{00000000-0005-0000-0000-00007B240000}"/>
    <cellStyle name="Normal 118 6 3 2" xfId="7311" xr:uid="{00000000-0005-0000-0000-00007C240000}"/>
    <cellStyle name="Normal 118 6 3 2 2" xfId="16674" xr:uid="{00000000-0005-0000-0000-00007D240000}"/>
    <cellStyle name="Normal 118 6 3 2 2 2" xfId="33248" xr:uid="{00000000-0005-0000-0000-00007E240000}"/>
    <cellStyle name="Normal 118 6 3 2 3" xfId="25201" xr:uid="{00000000-0005-0000-0000-00007F240000}"/>
    <cellStyle name="Normal 118 6 3 3" xfId="12779" xr:uid="{00000000-0005-0000-0000-000080240000}"/>
    <cellStyle name="Normal 118 6 3 3 2" xfId="29304" xr:uid="{00000000-0005-0000-0000-000081240000}"/>
    <cellStyle name="Normal 118 6 3 4" xfId="21261" xr:uid="{00000000-0005-0000-0000-000082240000}"/>
    <cellStyle name="Normal 118 6 4" xfId="7312" xr:uid="{00000000-0005-0000-0000-000083240000}"/>
    <cellStyle name="Normal 118 6 4 2" xfId="16675" xr:uid="{00000000-0005-0000-0000-000084240000}"/>
    <cellStyle name="Normal 118 6 4 2 2" xfId="33249" xr:uid="{00000000-0005-0000-0000-000085240000}"/>
    <cellStyle name="Normal 118 6 4 3" xfId="25202" xr:uid="{00000000-0005-0000-0000-000086240000}"/>
    <cellStyle name="Normal 118 6 5" xfId="12776" xr:uid="{00000000-0005-0000-0000-000087240000}"/>
    <cellStyle name="Normal 118 6 5 2" xfId="29301" xr:uid="{00000000-0005-0000-0000-000088240000}"/>
    <cellStyle name="Normal 118 6 6" xfId="21258" xr:uid="{00000000-0005-0000-0000-000089240000}"/>
    <cellStyle name="Normal 118 7" xfId="3111" xr:uid="{00000000-0005-0000-0000-00008A240000}"/>
    <cellStyle name="Normal 118 7 2" xfId="3112" xr:uid="{00000000-0005-0000-0000-00008B240000}"/>
    <cellStyle name="Normal 118 7 2 2" xfId="7313" xr:uid="{00000000-0005-0000-0000-00008C240000}"/>
    <cellStyle name="Normal 118 7 2 2 2" xfId="16676" xr:uid="{00000000-0005-0000-0000-00008D240000}"/>
    <cellStyle name="Normal 118 7 2 2 2 2" xfId="33250" xr:uid="{00000000-0005-0000-0000-00008E240000}"/>
    <cellStyle name="Normal 118 7 2 2 3" xfId="25203" xr:uid="{00000000-0005-0000-0000-00008F240000}"/>
    <cellStyle name="Normal 118 7 2 3" xfId="12781" xr:uid="{00000000-0005-0000-0000-000090240000}"/>
    <cellStyle name="Normal 118 7 2 3 2" xfId="29306" xr:uid="{00000000-0005-0000-0000-000091240000}"/>
    <cellStyle name="Normal 118 7 2 4" xfId="21263" xr:uid="{00000000-0005-0000-0000-000092240000}"/>
    <cellStyle name="Normal 118 7 3" xfId="7314" xr:uid="{00000000-0005-0000-0000-000093240000}"/>
    <cellStyle name="Normal 118 7 3 2" xfId="16677" xr:uid="{00000000-0005-0000-0000-000094240000}"/>
    <cellStyle name="Normal 118 7 3 2 2" xfId="33251" xr:uid="{00000000-0005-0000-0000-000095240000}"/>
    <cellStyle name="Normal 118 7 3 3" xfId="25204" xr:uid="{00000000-0005-0000-0000-000096240000}"/>
    <cellStyle name="Normal 118 7 4" xfId="12780" xr:uid="{00000000-0005-0000-0000-000097240000}"/>
    <cellStyle name="Normal 118 7 4 2" xfId="29305" xr:uid="{00000000-0005-0000-0000-000098240000}"/>
    <cellStyle name="Normal 118 7 5" xfId="21262" xr:uid="{00000000-0005-0000-0000-000099240000}"/>
    <cellStyle name="Normal 118 8" xfId="3113" xr:uid="{00000000-0005-0000-0000-00009A240000}"/>
    <cellStyle name="Normal 118 8 2" xfId="7315" xr:uid="{00000000-0005-0000-0000-00009B240000}"/>
    <cellStyle name="Normal 118 8 2 2" xfId="16678" xr:uid="{00000000-0005-0000-0000-00009C240000}"/>
    <cellStyle name="Normal 118 8 2 2 2" xfId="33252" xr:uid="{00000000-0005-0000-0000-00009D240000}"/>
    <cellStyle name="Normal 118 8 2 3" xfId="25205" xr:uid="{00000000-0005-0000-0000-00009E240000}"/>
    <cellStyle name="Normal 118 8 3" xfId="12782" xr:uid="{00000000-0005-0000-0000-00009F240000}"/>
    <cellStyle name="Normal 118 8 3 2" xfId="29307" xr:uid="{00000000-0005-0000-0000-0000A0240000}"/>
    <cellStyle name="Normal 118 8 4" xfId="21264" xr:uid="{00000000-0005-0000-0000-0000A1240000}"/>
    <cellStyle name="Normal 118 9" xfId="7316" xr:uid="{00000000-0005-0000-0000-0000A2240000}"/>
    <cellStyle name="Normal 118 9 2" xfId="16679" xr:uid="{00000000-0005-0000-0000-0000A3240000}"/>
    <cellStyle name="Normal 118 9 2 2" xfId="33253" xr:uid="{00000000-0005-0000-0000-0000A4240000}"/>
    <cellStyle name="Normal 118 9 3" xfId="25206" xr:uid="{00000000-0005-0000-0000-0000A5240000}"/>
    <cellStyle name="Normal 119" xfId="3114" xr:uid="{00000000-0005-0000-0000-0000A6240000}"/>
    <cellStyle name="Normal 119 10" xfId="12783" xr:uid="{00000000-0005-0000-0000-0000A7240000}"/>
    <cellStyle name="Normal 119 10 2" xfId="29308" xr:uid="{00000000-0005-0000-0000-0000A8240000}"/>
    <cellStyle name="Normal 119 11" xfId="21265" xr:uid="{00000000-0005-0000-0000-0000A9240000}"/>
    <cellStyle name="Normal 119 2" xfId="3115" xr:uid="{00000000-0005-0000-0000-0000AA240000}"/>
    <cellStyle name="Normal 119 2 2" xfId="3116" xr:uid="{00000000-0005-0000-0000-0000AB240000}"/>
    <cellStyle name="Normal 119 2 3" xfId="12784" xr:uid="{00000000-0005-0000-0000-0000AC240000}"/>
    <cellStyle name="Normal 119 2 3 2" xfId="29309" xr:uid="{00000000-0005-0000-0000-0000AD240000}"/>
    <cellStyle name="Normal 119 2 4" xfId="21266" xr:uid="{00000000-0005-0000-0000-0000AE240000}"/>
    <cellStyle name="Normal 119 3" xfId="3117" xr:uid="{00000000-0005-0000-0000-0000AF240000}"/>
    <cellStyle name="Normal 119 3 2" xfId="3118" xr:uid="{00000000-0005-0000-0000-0000B0240000}"/>
    <cellStyle name="Normal 119 3 2 2" xfId="3119" xr:uid="{00000000-0005-0000-0000-0000B1240000}"/>
    <cellStyle name="Normal 119 3 2 2 2" xfId="3120" xr:uid="{00000000-0005-0000-0000-0000B2240000}"/>
    <cellStyle name="Normal 119 3 2 2 2 2" xfId="7317" xr:uid="{00000000-0005-0000-0000-0000B3240000}"/>
    <cellStyle name="Normal 119 3 2 2 2 2 2" xfId="16680" xr:uid="{00000000-0005-0000-0000-0000B4240000}"/>
    <cellStyle name="Normal 119 3 2 2 2 2 2 2" xfId="33254" xr:uid="{00000000-0005-0000-0000-0000B5240000}"/>
    <cellStyle name="Normal 119 3 2 2 2 2 3" xfId="25207" xr:uid="{00000000-0005-0000-0000-0000B6240000}"/>
    <cellStyle name="Normal 119 3 2 2 2 3" xfId="12787" xr:uid="{00000000-0005-0000-0000-0000B7240000}"/>
    <cellStyle name="Normal 119 3 2 2 2 3 2" xfId="29312" xr:uid="{00000000-0005-0000-0000-0000B8240000}"/>
    <cellStyle name="Normal 119 3 2 2 2 4" xfId="21269" xr:uid="{00000000-0005-0000-0000-0000B9240000}"/>
    <cellStyle name="Normal 119 3 2 2 3" xfId="7318" xr:uid="{00000000-0005-0000-0000-0000BA240000}"/>
    <cellStyle name="Normal 119 3 2 2 3 2" xfId="16681" xr:uid="{00000000-0005-0000-0000-0000BB240000}"/>
    <cellStyle name="Normal 119 3 2 2 3 2 2" xfId="33255" xr:uid="{00000000-0005-0000-0000-0000BC240000}"/>
    <cellStyle name="Normal 119 3 2 2 3 3" xfId="25208" xr:uid="{00000000-0005-0000-0000-0000BD240000}"/>
    <cellStyle name="Normal 119 3 2 2 4" xfId="12786" xr:uid="{00000000-0005-0000-0000-0000BE240000}"/>
    <cellStyle name="Normal 119 3 2 2 4 2" xfId="29311" xr:uid="{00000000-0005-0000-0000-0000BF240000}"/>
    <cellStyle name="Normal 119 3 2 2 5" xfId="21268" xr:uid="{00000000-0005-0000-0000-0000C0240000}"/>
    <cellStyle name="Normal 119 3 2 3" xfId="3121" xr:uid="{00000000-0005-0000-0000-0000C1240000}"/>
    <cellStyle name="Normal 119 3 2 3 2" xfId="7319" xr:uid="{00000000-0005-0000-0000-0000C2240000}"/>
    <cellStyle name="Normal 119 3 2 3 2 2" xfId="16682" xr:uid="{00000000-0005-0000-0000-0000C3240000}"/>
    <cellStyle name="Normal 119 3 2 3 2 2 2" xfId="33256" xr:uid="{00000000-0005-0000-0000-0000C4240000}"/>
    <cellStyle name="Normal 119 3 2 3 2 3" xfId="25209" xr:uid="{00000000-0005-0000-0000-0000C5240000}"/>
    <cellStyle name="Normal 119 3 2 3 3" xfId="12788" xr:uid="{00000000-0005-0000-0000-0000C6240000}"/>
    <cellStyle name="Normal 119 3 2 3 3 2" xfId="29313" xr:uid="{00000000-0005-0000-0000-0000C7240000}"/>
    <cellStyle name="Normal 119 3 2 3 4" xfId="21270" xr:uid="{00000000-0005-0000-0000-0000C8240000}"/>
    <cellStyle name="Normal 119 3 2 4" xfId="7320" xr:uid="{00000000-0005-0000-0000-0000C9240000}"/>
    <cellStyle name="Normal 119 3 2 4 2" xfId="16683" xr:uid="{00000000-0005-0000-0000-0000CA240000}"/>
    <cellStyle name="Normal 119 3 2 4 2 2" xfId="33257" xr:uid="{00000000-0005-0000-0000-0000CB240000}"/>
    <cellStyle name="Normal 119 3 2 4 3" xfId="25210" xr:uid="{00000000-0005-0000-0000-0000CC240000}"/>
    <cellStyle name="Normal 119 3 2 5" xfId="12785" xr:uid="{00000000-0005-0000-0000-0000CD240000}"/>
    <cellStyle name="Normal 119 3 2 5 2" xfId="29310" xr:uid="{00000000-0005-0000-0000-0000CE240000}"/>
    <cellStyle name="Normal 119 3 2 6" xfId="21267" xr:uid="{00000000-0005-0000-0000-0000CF240000}"/>
    <cellStyle name="Normal 119 3 3" xfId="3122" xr:uid="{00000000-0005-0000-0000-0000D0240000}"/>
    <cellStyle name="Normal 119 3 3 2" xfId="3123" xr:uid="{00000000-0005-0000-0000-0000D1240000}"/>
    <cellStyle name="Normal 119 3 3 2 2" xfId="7321" xr:uid="{00000000-0005-0000-0000-0000D2240000}"/>
    <cellStyle name="Normal 119 3 3 2 2 2" xfId="16684" xr:uid="{00000000-0005-0000-0000-0000D3240000}"/>
    <cellStyle name="Normal 119 3 3 2 2 2 2" xfId="33258" xr:uid="{00000000-0005-0000-0000-0000D4240000}"/>
    <cellStyle name="Normal 119 3 3 2 2 3" xfId="25211" xr:uid="{00000000-0005-0000-0000-0000D5240000}"/>
    <cellStyle name="Normal 119 3 3 2 3" xfId="12790" xr:uid="{00000000-0005-0000-0000-0000D6240000}"/>
    <cellStyle name="Normal 119 3 3 2 3 2" xfId="29315" xr:uid="{00000000-0005-0000-0000-0000D7240000}"/>
    <cellStyle name="Normal 119 3 3 2 4" xfId="21272" xr:uid="{00000000-0005-0000-0000-0000D8240000}"/>
    <cellStyle name="Normal 119 3 3 3" xfId="7322" xr:uid="{00000000-0005-0000-0000-0000D9240000}"/>
    <cellStyle name="Normal 119 3 3 3 2" xfId="16685" xr:uid="{00000000-0005-0000-0000-0000DA240000}"/>
    <cellStyle name="Normal 119 3 3 3 2 2" xfId="33259" xr:uid="{00000000-0005-0000-0000-0000DB240000}"/>
    <cellStyle name="Normal 119 3 3 3 3" xfId="25212" xr:uid="{00000000-0005-0000-0000-0000DC240000}"/>
    <cellStyle name="Normal 119 3 3 4" xfId="12789" xr:uid="{00000000-0005-0000-0000-0000DD240000}"/>
    <cellStyle name="Normal 119 3 3 4 2" xfId="29314" xr:uid="{00000000-0005-0000-0000-0000DE240000}"/>
    <cellStyle name="Normal 119 3 3 5" xfId="21271" xr:uid="{00000000-0005-0000-0000-0000DF240000}"/>
    <cellStyle name="Normal 119 3 4" xfId="3124" xr:uid="{00000000-0005-0000-0000-0000E0240000}"/>
    <cellStyle name="Normal 119 3 4 2" xfId="7323" xr:uid="{00000000-0005-0000-0000-0000E1240000}"/>
    <cellStyle name="Normal 119 3 4 2 2" xfId="16686" xr:uid="{00000000-0005-0000-0000-0000E2240000}"/>
    <cellStyle name="Normal 119 3 4 2 2 2" xfId="33260" xr:uid="{00000000-0005-0000-0000-0000E3240000}"/>
    <cellStyle name="Normal 119 3 4 2 3" xfId="25213" xr:uid="{00000000-0005-0000-0000-0000E4240000}"/>
    <cellStyle name="Normal 119 3 4 3" xfId="12791" xr:uid="{00000000-0005-0000-0000-0000E5240000}"/>
    <cellStyle name="Normal 119 3 4 3 2" xfId="29316" xr:uid="{00000000-0005-0000-0000-0000E6240000}"/>
    <cellStyle name="Normal 119 3 4 4" xfId="21273" xr:uid="{00000000-0005-0000-0000-0000E7240000}"/>
    <cellStyle name="Normal 119 3 5" xfId="3125" xr:uid="{00000000-0005-0000-0000-0000E8240000}"/>
    <cellStyle name="Normal 119 3 5 2" xfId="12792" xr:uid="{00000000-0005-0000-0000-0000E9240000}"/>
    <cellStyle name="Normal 119 3 5 2 2" xfId="29317" xr:uid="{00000000-0005-0000-0000-0000EA240000}"/>
    <cellStyle name="Normal 119 3 5 3" xfId="21274" xr:uid="{00000000-0005-0000-0000-0000EB240000}"/>
    <cellStyle name="Normal 119 4" xfId="3126" xr:uid="{00000000-0005-0000-0000-0000EC240000}"/>
    <cellStyle name="Normal 119 4 2" xfId="3127" xr:uid="{00000000-0005-0000-0000-0000ED240000}"/>
    <cellStyle name="Normal 119 4 2 2" xfId="3128" xr:uid="{00000000-0005-0000-0000-0000EE240000}"/>
    <cellStyle name="Normal 119 4 2 2 2" xfId="3129" xr:uid="{00000000-0005-0000-0000-0000EF240000}"/>
    <cellStyle name="Normal 119 4 2 2 2 2" xfId="7324" xr:uid="{00000000-0005-0000-0000-0000F0240000}"/>
    <cellStyle name="Normal 119 4 2 2 2 2 2" xfId="16687" xr:uid="{00000000-0005-0000-0000-0000F1240000}"/>
    <cellStyle name="Normal 119 4 2 2 2 2 2 2" xfId="33261" xr:uid="{00000000-0005-0000-0000-0000F2240000}"/>
    <cellStyle name="Normal 119 4 2 2 2 2 3" xfId="25214" xr:uid="{00000000-0005-0000-0000-0000F3240000}"/>
    <cellStyle name="Normal 119 4 2 2 2 3" xfId="12796" xr:uid="{00000000-0005-0000-0000-0000F4240000}"/>
    <cellStyle name="Normal 119 4 2 2 2 3 2" xfId="29321" xr:uid="{00000000-0005-0000-0000-0000F5240000}"/>
    <cellStyle name="Normal 119 4 2 2 2 4" xfId="21278" xr:uid="{00000000-0005-0000-0000-0000F6240000}"/>
    <cellStyle name="Normal 119 4 2 2 3" xfId="7325" xr:uid="{00000000-0005-0000-0000-0000F7240000}"/>
    <cellStyle name="Normal 119 4 2 2 3 2" xfId="16688" xr:uid="{00000000-0005-0000-0000-0000F8240000}"/>
    <cellStyle name="Normal 119 4 2 2 3 2 2" xfId="33262" xr:uid="{00000000-0005-0000-0000-0000F9240000}"/>
    <cellStyle name="Normal 119 4 2 2 3 3" xfId="25215" xr:uid="{00000000-0005-0000-0000-0000FA240000}"/>
    <cellStyle name="Normal 119 4 2 2 4" xfId="12795" xr:uid="{00000000-0005-0000-0000-0000FB240000}"/>
    <cellStyle name="Normal 119 4 2 2 4 2" xfId="29320" xr:uid="{00000000-0005-0000-0000-0000FC240000}"/>
    <cellStyle name="Normal 119 4 2 2 5" xfId="21277" xr:uid="{00000000-0005-0000-0000-0000FD240000}"/>
    <cellStyle name="Normal 119 4 2 3" xfId="3130" xr:uid="{00000000-0005-0000-0000-0000FE240000}"/>
    <cellStyle name="Normal 119 4 2 3 2" xfId="7326" xr:uid="{00000000-0005-0000-0000-0000FF240000}"/>
    <cellStyle name="Normal 119 4 2 3 2 2" xfId="16689" xr:uid="{00000000-0005-0000-0000-000000250000}"/>
    <cellStyle name="Normal 119 4 2 3 2 2 2" xfId="33263" xr:uid="{00000000-0005-0000-0000-000001250000}"/>
    <cellStyle name="Normal 119 4 2 3 2 3" xfId="25216" xr:uid="{00000000-0005-0000-0000-000002250000}"/>
    <cellStyle name="Normal 119 4 2 3 3" xfId="12797" xr:uid="{00000000-0005-0000-0000-000003250000}"/>
    <cellStyle name="Normal 119 4 2 3 3 2" xfId="29322" xr:uid="{00000000-0005-0000-0000-000004250000}"/>
    <cellStyle name="Normal 119 4 2 3 4" xfId="21279" xr:uid="{00000000-0005-0000-0000-000005250000}"/>
    <cellStyle name="Normal 119 4 2 4" xfId="7327" xr:uid="{00000000-0005-0000-0000-000006250000}"/>
    <cellStyle name="Normal 119 4 2 4 2" xfId="16690" xr:uid="{00000000-0005-0000-0000-000007250000}"/>
    <cellStyle name="Normal 119 4 2 4 2 2" xfId="33264" xr:uid="{00000000-0005-0000-0000-000008250000}"/>
    <cellStyle name="Normal 119 4 2 4 3" xfId="25217" xr:uid="{00000000-0005-0000-0000-000009250000}"/>
    <cellStyle name="Normal 119 4 2 5" xfId="12794" xr:uid="{00000000-0005-0000-0000-00000A250000}"/>
    <cellStyle name="Normal 119 4 2 5 2" xfId="29319" xr:uid="{00000000-0005-0000-0000-00000B250000}"/>
    <cellStyle name="Normal 119 4 2 6" xfId="21276" xr:uid="{00000000-0005-0000-0000-00000C250000}"/>
    <cellStyle name="Normal 119 4 3" xfId="3131" xr:uid="{00000000-0005-0000-0000-00000D250000}"/>
    <cellStyle name="Normal 119 4 3 2" xfId="3132" xr:uid="{00000000-0005-0000-0000-00000E250000}"/>
    <cellStyle name="Normal 119 4 3 2 2" xfId="7328" xr:uid="{00000000-0005-0000-0000-00000F250000}"/>
    <cellStyle name="Normal 119 4 3 2 2 2" xfId="16691" xr:uid="{00000000-0005-0000-0000-000010250000}"/>
    <cellStyle name="Normal 119 4 3 2 2 2 2" xfId="33265" xr:uid="{00000000-0005-0000-0000-000011250000}"/>
    <cellStyle name="Normal 119 4 3 2 2 3" xfId="25218" xr:uid="{00000000-0005-0000-0000-000012250000}"/>
    <cellStyle name="Normal 119 4 3 2 3" xfId="12799" xr:uid="{00000000-0005-0000-0000-000013250000}"/>
    <cellStyle name="Normal 119 4 3 2 3 2" xfId="29324" xr:uid="{00000000-0005-0000-0000-000014250000}"/>
    <cellStyle name="Normal 119 4 3 2 4" xfId="21281" xr:uid="{00000000-0005-0000-0000-000015250000}"/>
    <cellStyle name="Normal 119 4 3 3" xfId="7329" xr:uid="{00000000-0005-0000-0000-000016250000}"/>
    <cellStyle name="Normal 119 4 3 3 2" xfId="16692" xr:uid="{00000000-0005-0000-0000-000017250000}"/>
    <cellStyle name="Normal 119 4 3 3 2 2" xfId="33266" xr:uid="{00000000-0005-0000-0000-000018250000}"/>
    <cellStyle name="Normal 119 4 3 3 3" xfId="25219" xr:uid="{00000000-0005-0000-0000-000019250000}"/>
    <cellStyle name="Normal 119 4 3 4" xfId="12798" xr:uid="{00000000-0005-0000-0000-00001A250000}"/>
    <cellStyle name="Normal 119 4 3 4 2" xfId="29323" xr:uid="{00000000-0005-0000-0000-00001B250000}"/>
    <cellStyle name="Normal 119 4 3 5" xfId="21280" xr:uid="{00000000-0005-0000-0000-00001C250000}"/>
    <cellStyle name="Normal 119 4 4" xfId="3133" xr:uid="{00000000-0005-0000-0000-00001D250000}"/>
    <cellStyle name="Normal 119 4 4 2" xfId="7330" xr:uid="{00000000-0005-0000-0000-00001E250000}"/>
    <cellStyle name="Normal 119 4 4 2 2" xfId="16693" xr:uid="{00000000-0005-0000-0000-00001F250000}"/>
    <cellStyle name="Normal 119 4 4 2 2 2" xfId="33267" xr:uid="{00000000-0005-0000-0000-000020250000}"/>
    <cellStyle name="Normal 119 4 4 2 3" xfId="25220" xr:uid="{00000000-0005-0000-0000-000021250000}"/>
    <cellStyle name="Normal 119 4 4 3" xfId="12800" xr:uid="{00000000-0005-0000-0000-000022250000}"/>
    <cellStyle name="Normal 119 4 4 3 2" xfId="29325" xr:uid="{00000000-0005-0000-0000-000023250000}"/>
    <cellStyle name="Normal 119 4 4 4" xfId="21282" xr:uid="{00000000-0005-0000-0000-000024250000}"/>
    <cellStyle name="Normal 119 4 5" xfId="7331" xr:uid="{00000000-0005-0000-0000-000025250000}"/>
    <cellStyle name="Normal 119 4 5 2" xfId="16694" xr:uid="{00000000-0005-0000-0000-000026250000}"/>
    <cellStyle name="Normal 119 4 5 2 2" xfId="33268" xr:uid="{00000000-0005-0000-0000-000027250000}"/>
    <cellStyle name="Normal 119 4 5 3" xfId="25221" xr:uid="{00000000-0005-0000-0000-000028250000}"/>
    <cellStyle name="Normal 119 4 6" xfId="12793" xr:uid="{00000000-0005-0000-0000-000029250000}"/>
    <cellStyle name="Normal 119 4 6 2" xfId="29318" xr:uid="{00000000-0005-0000-0000-00002A250000}"/>
    <cellStyle name="Normal 119 4 7" xfId="21275" xr:uid="{00000000-0005-0000-0000-00002B250000}"/>
    <cellStyle name="Normal 119 5" xfId="3134" xr:uid="{00000000-0005-0000-0000-00002C250000}"/>
    <cellStyle name="Normal 119 5 2" xfId="3135" xr:uid="{00000000-0005-0000-0000-00002D250000}"/>
    <cellStyle name="Normal 119 5 2 2" xfId="3136" xr:uid="{00000000-0005-0000-0000-00002E250000}"/>
    <cellStyle name="Normal 119 5 2 2 2" xfId="3137" xr:uid="{00000000-0005-0000-0000-00002F250000}"/>
    <cellStyle name="Normal 119 5 2 2 2 2" xfId="7332" xr:uid="{00000000-0005-0000-0000-000030250000}"/>
    <cellStyle name="Normal 119 5 2 2 2 2 2" xfId="16695" xr:uid="{00000000-0005-0000-0000-000031250000}"/>
    <cellStyle name="Normal 119 5 2 2 2 2 2 2" xfId="33269" xr:uid="{00000000-0005-0000-0000-000032250000}"/>
    <cellStyle name="Normal 119 5 2 2 2 2 3" xfId="25222" xr:uid="{00000000-0005-0000-0000-000033250000}"/>
    <cellStyle name="Normal 119 5 2 2 2 3" xfId="12804" xr:uid="{00000000-0005-0000-0000-000034250000}"/>
    <cellStyle name="Normal 119 5 2 2 2 3 2" xfId="29329" xr:uid="{00000000-0005-0000-0000-000035250000}"/>
    <cellStyle name="Normal 119 5 2 2 2 4" xfId="21286" xr:uid="{00000000-0005-0000-0000-000036250000}"/>
    <cellStyle name="Normal 119 5 2 2 3" xfId="7333" xr:uid="{00000000-0005-0000-0000-000037250000}"/>
    <cellStyle name="Normal 119 5 2 2 3 2" xfId="16696" xr:uid="{00000000-0005-0000-0000-000038250000}"/>
    <cellStyle name="Normal 119 5 2 2 3 2 2" xfId="33270" xr:uid="{00000000-0005-0000-0000-000039250000}"/>
    <cellStyle name="Normal 119 5 2 2 3 3" xfId="25223" xr:uid="{00000000-0005-0000-0000-00003A250000}"/>
    <cellStyle name="Normal 119 5 2 2 4" xfId="12803" xr:uid="{00000000-0005-0000-0000-00003B250000}"/>
    <cellStyle name="Normal 119 5 2 2 4 2" xfId="29328" xr:uid="{00000000-0005-0000-0000-00003C250000}"/>
    <cellStyle name="Normal 119 5 2 2 5" xfId="21285" xr:uid="{00000000-0005-0000-0000-00003D250000}"/>
    <cellStyle name="Normal 119 5 2 3" xfId="3138" xr:uid="{00000000-0005-0000-0000-00003E250000}"/>
    <cellStyle name="Normal 119 5 2 3 2" xfId="7334" xr:uid="{00000000-0005-0000-0000-00003F250000}"/>
    <cellStyle name="Normal 119 5 2 3 2 2" xfId="16697" xr:uid="{00000000-0005-0000-0000-000040250000}"/>
    <cellStyle name="Normal 119 5 2 3 2 2 2" xfId="33271" xr:uid="{00000000-0005-0000-0000-000041250000}"/>
    <cellStyle name="Normal 119 5 2 3 2 3" xfId="25224" xr:uid="{00000000-0005-0000-0000-000042250000}"/>
    <cellStyle name="Normal 119 5 2 3 3" xfId="12805" xr:uid="{00000000-0005-0000-0000-000043250000}"/>
    <cellStyle name="Normal 119 5 2 3 3 2" xfId="29330" xr:uid="{00000000-0005-0000-0000-000044250000}"/>
    <cellStyle name="Normal 119 5 2 3 4" xfId="21287" xr:uid="{00000000-0005-0000-0000-000045250000}"/>
    <cellStyle name="Normal 119 5 2 4" xfId="7335" xr:uid="{00000000-0005-0000-0000-000046250000}"/>
    <cellStyle name="Normal 119 5 2 4 2" xfId="16698" xr:uid="{00000000-0005-0000-0000-000047250000}"/>
    <cellStyle name="Normal 119 5 2 4 2 2" xfId="33272" xr:uid="{00000000-0005-0000-0000-000048250000}"/>
    <cellStyle name="Normal 119 5 2 4 3" xfId="25225" xr:uid="{00000000-0005-0000-0000-000049250000}"/>
    <cellStyle name="Normal 119 5 2 5" xfId="12802" xr:uid="{00000000-0005-0000-0000-00004A250000}"/>
    <cellStyle name="Normal 119 5 2 5 2" xfId="29327" xr:uid="{00000000-0005-0000-0000-00004B250000}"/>
    <cellStyle name="Normal 119 5 2 6" xfId="21284" xr:uid="{00000000-0005-0000-0000-00004C250000}"/>
    <cellStyle name="Normal 119 5 3" xfId="3139" xr:uid="{00000000-0005-0000-0000-00004D250000}"/>
    <cellStyle name="Normal 119 5 3 2" xfId="3140" xr:uid="{00000000-0005-0000-0000-00004E250000}"/>
    <cellStyle name="Normal 119 5 3 2 2" xfId="7336" xr:uid="{00000000-0005-0000-0000-00004F250000}"/>
    <cellStyle name="Normal 119 5 3 2 2 2" xfId="16699" xr:uid="{00000000-0005-0000-0000-000050250000}"/>
    <cellStyle name="Normal 119 5 3 2 2 2 2" xfId="33273" xr:uid="{00000000-0005-0000-0000-000051250000}"/>
    <cellStyle name="Normal 119 5 3 2 2 3" xfId="25226" xr:uid="{00000000-0005-0000-0000-000052250000}"/>
    <cellStyle name="Normal 119 5 3 2 3" xfId="12807" xr:uid="{00000000-0005-0000-0000-000053250000}"/>
    <cellStyle name="Normal 119 5 3 2 3 2" xfId="29332" xr:uid="{00000000-0005-0000-0000-000054250000}"/>
    <cellStyle name="Normal 119 5 3 2 4" xfId="21289" xr:uid="{00000000-0005-0000-0000-000055250000}"/>
    <cellStyle name="Normal 119 5 3 3" xfId="7337" xr:uid="{00000000-0005-0000-0000-000056250000}"/>
    <cellStyle name="Normal 119 5 3 3 2" xfId="16700" xr:uid="{00000000-0005-0000-0000-000057250000}"/>
    <cellStyle name="Normal 119 5 3 3 2 2" xfId="33274" xr:uid="{00000000-0005-0000-0000-000058250000}"/>
    <cellStyle name="Normal 119 5 3 3 3" xfId="25227" xr:uid="{00000000-0005-0000-0000-000059250000}"/>
    <cellStyle name="Normal 119 5 3 4" xfId="12806" xr:uid="{00000000-0005-0000-0000-00005A250000}"/>
    <cellStyle name="Normal 119 5 3 4 2" xfId="29331" xr:uid="{00000000-0005-0000-0000-00005B250000}"/>
    <cellStyle name="Normal 119 5 3 5" xfId="21288" xr:uid="{00000000-0005-0000-0000-00005C250000}"/>
    <cellStyle name="Normal 119 5 4" xfId="3141" xr:uid="{00000000-0005-0000-0000-00005D250000}"/>
    <cellStyle name="Normal 119 5 4 2" xfId="7338" xr:uid="{00000000-0005-0000-0000-00005E250000}"/>
    <cellStyle name="Normal 119 5 4 2 2" xfId="16701" xr:uid="{00000000-0005-0000-0000-00005F250000}"/>
    <cellStyle name="Normal 119 5 4 2 2 2" xfId="33275" xr:uid="{00000000-0005-0000-0000-000060250000}"/>
    <cellStyle name="Normal 119 5 4 2 3" xfId="25228" xr:uid="{00000000-0005-0000-0000-000061250000}"/>
    <cellStyle name="Normal 119 5 4 3" xfId="12808" xr:uid="{00000000-0005-0000-0000-000062250000}"/>
    <cellStyle name="Normal 119 5 4 3 2" xfId="29333" xr:uid="{00000000-0005-0000-0000-000063250000}"/>
    <cellStyle name="Normal 119 5 4 4" xfId="21290" xr:uid="{00000000-0005-0000-0000-000064250000}"/>
    <cellStyle name="Normal 119 5 5" xfId="7339" xr:uid="{00000000-0005-0000-0000-000065250000}"/>
    <cellStyle name="Normal 119 5 5 2" xfId="16702" xr:uid="{00000000-0005-0000-0000-000066250000}"/>
    <cellStyle name="Normal 119 5 5 2 2" xfId="33276" xr:uid="{00000000-0005-0000-0000-000067250000}"/>
    <cellStyle name="Normal 119 5 5 3" xfId="25229" xr:uid="{00000000-0005-0000-0000-000068250000}"/>
    <cellStyle name="Normal 119 5 6" xfId="12801" xr:uid="{00000000-0005-0000-0000-000069250000}"/>
    <cellStyle name="Normal 119 5 6 2" xfId="29326" xr:uid="{00000000-0005-0000-0000-00006A250000}"/>
    <cellStyle name="Normal 119 5 7" xfId="21283" xr:uid="{00000000-0005-0000-0000-00006B250000}"/>
    <cellStyle name="Normal 119 6" xfId="3142" xr:uid="{00000000-0005-0000-0000-00006C250000}"/>
    <cellStyle name="Normal 119 6 2" xfId="3143" xr:uid="{00000000-0005-0000-0000-00006D250000}"/>
    <cellStyle name="Normal 119 6 2 2" xfId="3144" xr:uid="{00000000-0005-0000-0000-00006E250000}"/>
    <cellStyle name="Normal 119 6 2 2 2" xfId="7340" xr:uid="{00000000-0005-0000-0000-00006F250000}"/>
    <cellStyle name="Normal 119 6 2 2 2 2" xfId="16703" xr:uid="{00000000-0005-0000-0000-000070250000}"/>
    <cellStyle name="Normal 119 6 2 2 2 2 2" xfId="33277" xr:uid="{00000000-0005-0000-0000-000071250000}"/>
    <cellStyle name="Normal 119 6 2 2 2 3" xfId="25230" xr:uid="{00000000-0005-0000-0000-000072250000}"/>
    <cellStyle name="Normal 119 6 2 2 3" xfId="12811" xr:uid="{00000000-0005-0000-0000-000073250000}"/>
    <cellStyle name="Normal 119 6 2 2 3 2" xfId="29336" xr:uid="{00000000-0005-0000-0000-000074250000}"/>
    <cellStyle name="Normal 119 6 2 2 4" xfId="21293" xr:uid="{00000000-0005-0000-0000-000075250000}"/>
    <cellStyle name="Normal 119 6 2 3" xfId="7341" xr:uid="{00000000-0005-0000-0000-000076250000}"/>
    <cellStyle name="Normal 119 6 2 3 2" xfId="16704" xr:uid="{00000000-0005-0000-0000-000077250000}"/>
    <cellStyle name="Normal 119 6 2 3 2 2" xfId="33278" xr:uid="{00000000-0005-0000-0000-000078250000}"/>
    <cellStyle name="Normal 119 6 2 3 3" xfId="25231" xr:uid="{00000000-0005-0000-0000-000079250000}"/>
    <cellStyle name="Normal 119 6 2 4" xfId="12810" xr:uid="{00000000-0005-0000-0000-00007A250000}"/>
    <cellStyle name="Normal 119 6 2 4 2" xfId="29335" xr:uid="{00000000-0005-0000-0000-00007B250000}"/>
    <cellStyle name="Normal 119 6 2 5" xfId="21292" xr:uid="{00000000-0005-0000-0000-00007C250000}"/>
    <cellStyle name="Normal 119 6 3" xfId="3145" xr:uid="{00000000-0005-0000-0000-00007D250000}"/>
    <cellStyle name="Normal 119 6 3 2" xfId="7342" xr:uid="{00000000-0005-0000-0000-00007E250000}"/>
    <cellStyle name="Normal 119 6 3 2 2" xfId="16705" xr:uid="{00000000-0005-0000-0000-00007F250000}"/>
    <cellStyle name="Normal 119 6 3 2 2 2" xfId="33279" xr:uid="{00000000-0005-0000-0000-000080250000}"/>
    <cellStyle name="Normal 119 6 3 2 3" xfId="25232" xr:uid="{00000000-0005-0000-0000-000081250000}"/>
    <cellStyle name="Normal 119 6 3 3" xfId="12812" xr:uid="{00000000-0005-0000-0000-000082250000}"/>
    <cellStyle name="Normal 119 6 3 3 2" xfId="29337" xr:uid="{00000000-0005-0000-0000-000083250000}"/>
    <cellStyle name="Normal 119 6 3 4" xfId="21294" xr:uid="{00000000-0005-0000-0000-000084250000}"/>
    <cellStyle name="Normal 119 6 4" xfId="7343" xr:uid="{00000000-0005-0000-0000-000085250000}"/>
    <cellStyle name="Normal 119 6 4 2" xfId="16706" xr:uid="{00000000-0005-0000-0000-000086250000}"/>
    <cellStyle name="Normal 119 6 4 2 2" xfId="33280" xr:uid="{00000000-0005-0000-0000-000087250000}"/>
    <cellStyle name="Normal 119 6 4 3" xfId="25233" xr:uid="{00000000-0005-0000-0000-000088250000}"/>
    <cellStyle name="Normal 119 6 5" xfId="12809" xr:uid="{00000000-0005-0000-0000-000089250000}"/>
    <cellStyle name="Normal 119 6 5 2" xfId="29334" xr:uid="{00000000-0005-0000-0000-00008A250000}"/>
    <cellStyle name="Normal 119 6 6" xfId="21291" xr:uid="{00000000-0005-0000-0000-00008B250000}"/>
    <cellStyle name="Normal 119 7" xfId="3146" xr:uid="{00000000-0005-0000-0000-00008C250000}"/>
    <cellStyle name="Normal 119 7 2" xfId="3147" xr:uid="{00000000-0005-0000-0000-00008D250000}"/>
    <cellStyle name="Normal 119 7 2 2" xfId="7344" xr:uid="{00000000-0005-0000-0000-00008E250000}"/>
    <cellStyle name="Normal 119 7 2 2 2" xfId="16707" xr:uid="{00000000-0005-0000-0000-00008F250000}"/>
    <cellStyle name="Normal 119 7 2 2 2 2" xfId="33281" xr:uid="{00000000-0005-0000-0000-000090250000}"/>
    <cellStyle name="Normal 119 7 2 2 3" xfId="25234" xr:uid="{00000000-0005-0000-0000-000091250000}"/>
    <cellStyle name="Normal 119 7 2 3" xfId="12814" xr:uid="{00000000-0005-0000-0000-000092250000}"/>
    <cellStyle name="Normal 119 7 2 3 2" xfId="29339" xr:uid="{00000000-0005-0000-0000-000093250000}"/>
    <cellStyle name="Normal 119 7 2 4" xfId="21296" xr:uid="{00000000-0005-0000-0000-000094250000}"/>
    <cellStyle name="Normal 119 7 3" xfId="7345" xr:uid="{00000000-0005-0000-0000-000095250000}"/>
    <cellStyle name="Normal 119 7 3 2" xfId="16708" xr:uid="{00000000-0005-0000-0000-000096250000}"/>
    <cellStyle name="Normal 119 7 3 2 2" xfId="33282" xr:uid="{00000000-0005-0000-0000-000097250000}"/>
    <cellStyle name="Normal 119 7 3 3" xfId="25235" xr:uid="{00000000-0005-0000-0000-000098250000}"/>
    <cellStyle name="Normal 119 7 4" xfId="12813" xr:uid="{00000000-0005-0000-0000-000099250000}"/>
    <cellStyle name="Normal 119 7 4 2" xfId="29338" xr:uid="{00000000-0005-0000-0000-00009A250000}"/>
    <cellStyle name="Normal 119 7 5" xfId="21295" xr:uid="{00000000-0005-0000-0000-00009B250000}"/>
    <cellStyle name="Normal 119 8" xfId="3148" xr:uid="{00000000-0005-0000-0000-00009C250000}"/>
    <cellStyle name="Normal 119 8 2" xfId="7346" xr:uid="{00000000-0005-0000-0000-00009D250000}"/>
    <cellStyle name="Normal 119 8 2 2" xfId="16709" xr:uid="{00000000-0005-0000-0000-00009E250000}"/>
    <cellStyle name="Normal 119 8 2 2 2" xfId="33283" xr:uid="{00000000-0005-0000-0000-00009F250000}"/>
    <cellStyle name="Normal 119 8 2 3" xfId="25236" xr:uid="{00000000-0005-0000-0000-0000A0250000}"/>
    <cellStyle name="Normal 119 8 3" xfId="12815" xr:uid="{00000000-0005-0000-0000-0000A1250000}"/>
    <cellStyle name="Normal 119 8 3 2" xfId="29340" xr:uid="{00000000-0005-0000-0000-0000A2250000}"/>
    <cellStyle name="Normal 119 8 4" xfId="21297" xr:uid="{00000000-0005-0000-0000-0000A3250000}"/>
    <cellStyle name="Normal 119 9" xfId="7347" xr:uid="{00000000-0005-0000-0000-0000A4250000}"/>
    <cellStyle name="Normal 119 9 2" xfId="16710" xr:uid="{00000000-0005-0000-0000-0000A5250000}"/>
    <cellStyle name="Normal 119 9 2 2" xfId="33284" xr:uid="{00000000-0005-0000-0000-0000A6250000}"/>
    <cellStyle name="Normal 119 9 3" xfId="25237" xr:uid="{00000000-0005-0000-0000-0000A7250000}"/>
    <cellStyle name="Normal 12" xfId="408" xr:uid="{00000000-0005-0000-0000-0000A8250000}"/>
    <cellStyle name="Normal 12 10" xfId="3149" xr:uid="{00000000-0005-0000-0000-0000A9250000}"/>
    <cellStyle name="Normal 12 10 2" xfId="29341" xr:uid="{00000000-0005-0000-0000-0000AA250000}"/>
    <cellStyle name="Normal 12 11" xfId="21298" xr:uid="{00000000-0005-0000-0000-0000AB250000}"/>
    <cellStyle name="Normal 12 2" xfId="1597" xr:uid="{00000000-0005-0000-0000-0000AC250000}"/>
    <cellStyle name="Normal 12 2 2" xfId="3151" xr:uid="{00000000-0005-0000-0000-0000AD250000}"/>
    <cellStyle name="Normal 12 2 3" xfId="3150" xr:uid="{00000000-0005-0000-0000-0000AE250000}"/>
    <cellStyle name="Normal 12 2 3 2" xfId="29342" xr:uid="{00000000-0005-0000-0000-0000AF250000}"/>
    <cellStyle name="Normal 12 2 4" xfId="21299" xr:uid="{00000000-0005-0000-0000-0000B0250000}"/>
    <cellStyle name="Normal 12 3" xfId="3152" xr:uid="{00000000-0005-0000-0000-0000B1250000}"/>
    <cellStyle name="Normal 12 3 2" xfId="3153" xr:uid="{00000000-0005-0000-0000-0000B2250000}"/>
    <cellStyle name="Normal 12 3 2 2" xfId="3154" xr:uid="{00000000-0005-0000-0000-0000B3250000}"/>
    <cellStyle name="Normal 12 3 2 2 2" xfId="3155" xr:uid="{00000000-0005-0000-0000-0000B4250000}"/>
    <cellStyle name="Normal 12 3 2 2 2 2" xfId="3156" xr:uid="{00000000-0005-0000-0000-0000B5250000}"/>
    <cellStyle name="Normal 12 3 2 2 2 2 2" xfId="12819" xr:uid="{00000000-0005-0000-0000-0000B6250000}"/>
    <cellStyle name="Normal 12 3 2 2 2 2 2 2" xfId="29346" xr:uid="{00000000-0005-0000-0000-0000B7250000}"/>
    <cellStyle name="Normal 12 3 2 2 2 2 3" xfId="21303" xr:uid="{00000000-0005-0000-0000-0000B8250000}"/>
    <cellStyle name="Normal 12 3 2 2 2 3" xfId="12818" xr:uid="{00000000-0005-0000-0000-0000B9250000}"/>
    <cellStyle name="Normal 12 3 2 2 2 3 2" xfId="29345" xr:uid="{00000000-0005-0000-0000-0000BA250000}"/>
    <cellStyle name="Normal 12 3 2 2 2 4" xfId="21302" xr:uid="{00000000-0005-0000-0000-0000BB250000}"/>
    <cellStyle name="Normal 12 3 2 2 3" xfId="7348" xr:uid="{00000000-0005-0000-0000-0000BC250000}"/>
    <cellStyle name="Normal 12 3 2 2 3 2" xfId="16711" xr:uid="{00000000-0005-0000-0000-0000BD250000}"/>
    <cellStyle name="Normal 12 3 2 2 3 2 2" xfId="33285" xr:uid="{00000000-0005-0000-0000-0000BE250000}"/>
    <cellStyle name="Normal 12 3 2 2 3 3" xfId="25238" xr:uid="{00000000-0005-0000-0000-0000BF250000}"/>
    <cellStyle name="Normal 12 3 2 2 4" xfId="12817" xr:uid="{00000000-0005-0000-0000-0000C0250000}"/>
    <cellStyle name="Normal 12 3 2 2 4 2" xfId="29344" xr:uid="{00000000-0005-0000-0000-0000C1250000}"/>
    <cellStyle name="Normal 12 3 2 2 5" xfId="21301" xr:uid="{00000000-0005-0000-0000-0000C2250000}"/>
    <cellStyle name="Normal 12 3 2 3" xfId="3157" xr:uid="{00000000-0005-0000-0000-0000C3250000}"/>
    <cellStyle name="Normal 12 3 2 3 2" xfId="7349" xr:uid="{00000000-0005-0000-0000-0000C4250000}"/>
    <cellStyle name="Normal 12 3 2 3 2 2" xfId="16712" xr:uid="{00000000-0005-0000-0000-0000C5250000}"/>
    <cellStyle name="Normal 12 3 2 3 2 2 2" xfId="33286" xr:uid="{00000000-0005-0000-0000-0000C6250000}"/>
    <cellStyle name="Normal 12 3 2 3 2 3" xfId="25239" xr:uid="{00000000-0005-0000-0000-0000C7250000}"/>
    <cellStyle name="Normal 12 3 2 3 3" xfId="12820" xr:uid="{00000000-0005-0000-0000-0000C8250000}"/>
    <cellStyle name="Normal 12 3 2 3 3 2" xfId="29347" xr:uid="{00000000-0005-0000-0000-0000C9250000}"/>
    <cellStyle name="Normal 12 3 2 3 4" xfId="21304" xr:uid="{00000000-0005-0000-0000-0000CA250000}"/>
    <cellStyle name="Normal 12 3 2 4" xfId="7350" xr:uid="{00000000-0005-0000-0000-0000CB250000}"/>
    <cellStyle name="Normal 12 3 2 4 2" xfId="16713" xr:uid="{00000000-0005-0000-0000-0000CC250000}"/>
    <cellStyle name="Normal 12 3 2 4 2 2" xfId="33287" xr:uid="{00000000-0005-0000-0000-0000CD250000}"/>
    <cellStyle name="Normal 12 3 2 4 3" xfId="25240" xr:uid="{00000000-0005-0000-0000-0000CE250000}"/>
    <cellStyle name="Normal 12 3 2 5" xfId="12816" xr:uid="{00000000-0005-0000-0000-0000CF250000}"/>
    <cellStyle name="Normal 12 3 2 5 2" xfId="29343" xr:uid="{00000000-0005-0000-0000-0000D0250000}"/>
    <cellStyle name="Normal 12 3 2 6" xfId="21300" xr:uid="{00000000-0005-0000-0000-0000D1250000}"/>
    <cellStyle name="Normal 12 3 3" xfId="3158" xr:uid="{00000000-0005-0000-0000-0000D2250000}"/>
    <cellStyle name="Normal 12 3 3 2" xfId="3159" xr:uid="{00000000-0005-0000-0000-0000D3250000}"/>
    <cellStyle name="Normal 12 3 3 2 2" xfId="7351" xr:uid="{00000000-0005-0000-0000-0000D4250000}"/>
    <cellStyle name="Normal 12 3 3 2 2 2" xfId="16714" xr:uid="{00000000-0005-0000-0000-0000D5250000}"/>
    <cellStyle name="Normal 12 3 3 2 2 2 2" xfId="33288" xr:uid="{00000000-0005-0000-0000-0000D6250000}"/>
    <cellStyle name="Normal 12 3 3 2 2 3" xfId="25241" xr:uid="{00000000-0005-0000-0000-0000D7250000}"/>
    <cellStyle name="Normal 12 3 3 2 3" xfId="12822" xr:uid="{00000000-0005-0000-0000-0000D8250000}"/>
    <cellStyle name="Normal 12 3 3 2 3 2" xfId="29349" xr:uid="{00000000-0005-0000-0000-0000D9250000}"/>
    <cellStyle name="Normal 12 3 3 2 4" xfId="21306" xr:uid="{00000000-0005-0000-0000-0000DA250000}"/>
    <cellStyle name="Normal 12 3 3 3" xfId="7352" xr:uid="{00000000-0005-0000-0000-0000DB250000}"/>
    <cellStyle name="Normal 12 3 3 3 2" xfId="16715" xr:uid="{00000000-0005-0000-0000-0000DC250000}"/>
    <cellStyle name="Normal 12 3 3 3 2 2" xfId="33289" xr:uid="{00000000-0005-0000-0000-0000DD250000}"/>
    <cellStyle name="Normal 12 3 3 3 3" xfId="25242" xr:uid="{00000000-0005-0000-0000-0000DE250000}"/>
    <cellStyle name="Normal 12 3 3 4" xfId="12821" xr:uid="{00000000-0005-0000-0000-0000DF250000}"/>
    <cellStyle name="Normal 12 3 3 4 2" xfId="29348" xr:uid="{00000000-0005-0000-0000-0000E0250000}"/>
    <cellStyle name="Normal 12 3 3 5" xfId="21305" xr:uid="{00000000-0005-0000-0000-0000E1250000}"/>
    <cellStyle name="Normal 12 3 4" xfId="3160" xr:uid="{00000000-0005-0000-0000-0000E2250000}"/>
    <cellStyle name="Normal 12 3 4 2" xfId="7353" xr:uid="{00000000-0005-0000-0000-0000E3250000}"/>
    <cellStyle name="Normal 12 3 4 2 2" xfId="16716" xr:uid="{00000000-0005-0000-0000-0000E4250000}"/>
    <cellStyle name="Normal 12 3 4 2 2 2" xfId="33290" xr:uid="{00000000-0005-0000-0000-0000E5250000}"/>
    <cellStyle name="Normal 12 3 4 2 3" xfId="25243" xr:uid="{00000000-0005-0000-0000-0000E6250000}"/>
    <cellStyle name="Normal 12 3 4 3" xfId="12823" xr:uid="{00000000-0005-0000-0000-0000E7250000}"/>
    <cellStyle name="Normal 12 3 4 3 2" xfId="29350" xr:uid="{00000000-0005-0000-0000-0000E8250000}"/>
    <cellStyle name="Normal 12 3 4 4" xfId="21307" xr:uid="{00000000-0005-0000-0000-0000E9250000}"/>
    <cellStyle name="Normal 12 3 5" xfId="7354" xr:uid="{00000000-0005-0000-0000-0000EA250000}"/>
    <cellStyle name="Normal 12 3 5 2" xfId="16717" xr:uid="{00000000-0005-0000-0000-0000EB250000}"/>
    <cellStyle name="Normal 12 3 5 2 2" xfId="33291" xr:uid="{00000000-0005-0000-0000-0000EC250000}"/>
    <cellStyle name="Normal 12 3 5 3" xfId="25244" xr:uid="{00000000-0005-0000-0000-0000ED250000}"/>
    <cellStyle name="Normal 12 4" xfId="3161" xr:uid="{00000000-0005-0000-0000-0000EE250000}"/>
    <cellStyle name="Normal 12 4 2" xfId="3162" xr:uid="{00000000-0005-0000-0000-0000EF250000}"/>
    <cellStyle name="Normal 12 4 2 2" xfId="3163" xr:uid="{00000000-0005-0000-0000-0000F0250000}"/>
    <cellStyle name="Normal 12 4 2 2 2" xfId="3164" xr:uid="{00000000-0005-0000-0000-0000F1250000}"/>
    <cellStyle name="Normal 12 4 2 2 2 2" xfId="7355" xr:uid="{00000000-0005-0000-0000-0000F2250000}"/>
    <cellStyle name="Normal 12 4 2 2 2 2 2" xfId="16718" xr:uid="{00000000-0005-0000-0000-0000F3250000}"/>
    <cellStyle name="Normal 12 4 2 2 2 2 2 2" xfId="33292" xr:uid="{00000000-0005-0000-0000-0000F4250000}"/>
    <cellStyle name="Normal 12 4 2 2 2 2 3" xfId="25245" xr:uid="{00000000-0005-0000-0000-0000F5250000}"/>
    <cellStyle name="Normal 12 4 2 2 2 3" xfId="12827" xr:uid="{00000000-0005-0000-0000-0000F6250000}"/>
    <cellStyle name="Normal 12 4 2 2 2 3 2" xfId="29354" xr:uid="{00000000-0005-0000-0000-0000F7250000}"/>
    <cellStyle name="Normal 12 4 2 2 2 4" xfId="21311" xr:uid="{00000000-0005-0000-0000-0000F8250000}"/>
    <cellStyle name="Normal 12 4 2 2 3" xfId="7356" xr:uid="{00000000-0005-0000-0000-0000F9250000}"/>
    <cellStyle name="Normal 12 4 2 2 3 2" xfId="16719" xr:uid="{00000000-0005-0000-0000-0000FA250000}"/>
    <cellStyle name="Normal 12 4 2 2 3 2 2" xfId="33293" xr:uid="{00000000-0005-0000-0000-0000FB250000}"/>
    <cellStyle name="Normal 12 4 2 2 3 3" xfId="25246" xr:uid="{00000000-0005-0000-0000-0000FC250000}"/>
    <cellStyle name="Normal 12 4 2 2 4" xfId="12826" xr:uid="{00000000-0005-0000-0000-0000FD250000}"/>
    <cellStyle name="Normal 12 4 2 2 4 2" xfId="29353" xr:uid="{00000000-0005-0000-0000-0000FE250000}"/>
    <cellStyle name="Normal 12 4 2 2 5" xfId="21310" xr:uid="{00000000-0005-0000-0000-0000FF250000}"/>
    <cellStyle name="Normal 12 4 2 3" xfId="3165" xr:uid="{00000000-0005-0000-0000-000000260000}"/>
    <cellStyle name="Normal 12 4 2 3 2" xfId="7357" xr:uid="{00000000-0005-0000-0000-000001260000}"/>
    <cellStyle name="Normal 12 4 2 3 2 2" xfId="16720" xr:uid="{00000000-0005-0000-0000-000002260000}"/>
    <cellStyle name="Normal 12 4 2 3 2 2 2" xfId="33294" xr:uid="{00000000-0005-0000-0000-000003260000}"/>
    <cellStyle name="Normal 12 4 2 3 2 3" xfId="25247" xr:uid="{00000000-0005-0000-0000-000004260000}"/>
    <cellStyle name="Normal 12 4 2 3 3" xfId="12828" xr:uid="{00000000-0005-0000-0000-000005260000}"/>
    <cellStyle name="Normal 12 4 2 3 3 2" xfId="29355" xr:uid="{00000000-0005-0000-0000-000006260000}"/>
    <cellStyle name="Normal 12 4 2 3 4" xfId="21312" xr:uid="{00000000-0005-0000-0000-000007260000}"/>
    <cellStyle name="Normal 12 4 2 4" xfId="7358" xr:uid="{00000000-0005-0000-0000-000008260000}"/>
    <cellStyle name="Normal 12 4 2 4 2" xfId="16721" xr:uid="{00000000-0005-0000-0000-000009260000}"/>
    <cellStyle name="Normal 12 4 2 4 2 2" xfId="33295" xr:uid="{00000000-0005-0000-0000-00000A260000}"/>
    <cellStyle name="Normal 12 4 2 4 3" xfId="25248" xr:uid="{00000000-0005-0000-0000-00000B260000}"/>
    <cellStyle name="Normal 12 4 2 5" xfId="12825" xr:uid="{00000000-0005-0000-0000-00000C260000}"/>
    <cellStyle name="Normal 12 4 2 5 2" xfId="29352" xr:uid="{00000000-0005-0000-0000-00000D260000}"/>
    <cellStyle name="Normal 12 4 2 6" xfId="21309" xr:uid="{00000000-0005-0000-0000-00000E260000}"/>
    <cellStyle name="Normal 12 4 3" xfId="3166" xr:uid="{00000000-0005-0000-0000-00000F260000}"/>
    <cellStyle name="Normal 12 4 3 2" xfId="3167" xr:uid="{00000000-0005-0000-0000-000010260000}"/>
    <cellStyle name="Normal 12 4 3 2 2" xfId="7359" xr:uid="{00000000-0005-0000-0000-000011260000}"/>
    <cellStyle name="Normal 12 4 3 2 2 2" xfId="16722" xr:uid="{00000000-0005-0000-0000-000012260000}"/>
    <cellStyle name="Normal 12 4 3 2 2 2 2" xfId="33296" xr:uid="{00000000-0005-0000-0000-000013260000}"/>
    <cellStyle name="Normal 12 4 3 2 2 3" xfId="25249" xr:uid="{00000000-0005-0000-0000-000014260000}"/>
    <cellStyle name="Normal 12 4 3 2 3" xfId="12830" xr:uid="{00000000-0005-0000-0000-000015260000}"/>
    <cellStyle name="Normal 12 4 3 2 3 2" xfId="29357" xr:uid="{00000000-0005-0000-0000-000016260000}"/>
    <cellStyle name="Normal 12 4 3 2 4" xfId="21314" xr:uid="{00000000-0005-0000-0000-000017260000}"/>
    <cellStyle name="Normal 12 4 3 3" xfId="7360" xr:uid="{00000000-0005-0000-0000-000018260000}"/>
    <cellStyle name="Normal 12 4 3 3 2" xfId="16723" xr:uid="{00000000-0005-0000-0000-000019260000}"/>
    <cellStyle name="Normal 12 4 3 3 2 2" xfId="33297" xr:uid="{00000000-0005-0000-0000-00001A260000}"/>
    <cellStyle name="Normal 12 4 3 3 3" xfId="25250" xr:uid="{00000000-0005-0000-0000-00001B260000}"/>
    <cellStyle name="Normal 12 4 3 4" xfId="12829" xr:uid="{00000000-0005-0000-0000-00001C260000}"/>
    <cellStyle name="Normal 12 4 3 4 2" xfId="29356" xr:uid="{00000000-0005-0000-0000-00001D260000}"/>
    <cellStyle name="Normal 12 4 3 5" xfId="21313" xr:uid="{00000000-0005-0000-0000-00001E260000}"/>
    <cellStyle name="Normal 12 4 4" xfId="3168" xr:uid="{00000000-0005-0000-0000-00001F260000}"/>
    <cellStyle name="Normal 12 4 4 2" xfId="7361" xr:uid="{00000000-0005-0000-0000-000020260000}"/>
    <cellStyle name="Normal 12 4 4 2 2" xfId="16724" xr:uid="{00000000-0005-0000-0000-000021260000}"/>
    <cellStyle name="Normal 12 4 4 2 2 2" xfId="33298" xr:uid="{00000000-0005-0000-0000-000022260000}"/>
    <cellStyle name="Normal 12 4 4 2 3" xfId="25251" xr:uid="{00000000-0005-0000-0000-000023260000}"/>
    <cellStyle name="Normal 12 4 4 3" xfId="12831" xr:uid="{00000000-0005-0000-0000-000024260000}"/>
    <cellStyle name="Normal 12 4 4 3 2" xfId="29358" xr:uid="{00000000-0005-0000-0000-000025260000}"/>
    <cellStyle name="Normal 12 4 4 4" xfId="21315" xr:uid="{00000000-0005-0000-0000-000026260000}"/>
    <cellStyle name="Normal 12 4 5" xfId="7362" xr:uid="{00000000-0005-0000-0000-000027260000}"/>
    <cellStyle name="Normal 12 4 5 2" xfId="16725" xr:uid="{00000000-0005-0000-0000-000028260000}"/>
    <cellStyle name="Normal 12 4 5 2 2" xfId="33299" xr:uid="{00000000-0005-0000-0000-000029260000}"/>
    <cellStyle name="Normal 12 4 5 3" xfId="25252" xr:uid="{00000000-0005-0000-0000-00002A260000}"/>
    <cellStyle name="Normal 12 4 6" xfId="12824" xr:uid="{00000000-0005-0000-0000-00002B260000}"/>
    <cellStyle name="Normal 12 4 6 2" xfId="29351" xr:uid="{00000000-0005-0000-0000-00002C260000}"/>
    <cellStyle name="Normal 12 4 7" xfId="21308" xr:uid="{00000000-0005-0000-0000-00002D260000}"/>
    <cellStyle name="Normal 12 5" xfId="3169" xr:uid="{00000000-0005-0000-0000-00002E260000}"/>
    <cellStyle name="Normal 12 5 2" xfId="3170" xr:uid="{00000000-0005-0000-0000-00002F260000}"/>
    <cellStyle name="Normal 12 5 2 2" xfId="3171" xr:uid="{00000000-0005-0000-0000-000030260000}"/>
    <cellStyle name="Normal 12 5 2 2 2" xfId="3172" xr:uid="{00000000-0005-0000-0000-000031260000}"/>
    <cellStyle name="Normal 12 5 2 2 2 2" xfId="7363" xr:uid="{00000000-0005-0000-0000-000032260000}"/>
    <cellStyle name="Normal 12 5 2 2 2 2 2" xfId="16726" xr:uid="{00000000-0005-0000-0000-000033260000}"/>
    <cellStyle name="Normal 12 5 2 2 2 2 2 2" xfId="33300" xr:uid="{00000000-0005-0000-0000-000034260000}"/>
    <cellStyle name="Normal 12 5 2 2 2 2 3" xfId="25253" xr:uid="{00000000-0005-0000-0000-000035260000}"/>
    <cellStyle name="Normal 12 5 2 2 2 3" xfId="12835" xr:uid="{00000000-0005-0000-0000-000036260000}"/>
    <cellStyle name="Normal 12 5 2 2 2 3 2" xfId="29362" xr:uid="{00000000-0005-0000-0000-000037260000}"/>
    <cellStyle name="Normal 12 5 2 2 2 4" xfId="21319" xr:uid="{00000000-0005-0000-0000-000038260000}"/>
    <cellStyle name="Normal 12 5 2 2 3" xfId="7364" xr:uid="{00000000-0005-0000-0000-000039260000}"/>
    <cellStyle name="Normal 12 5 2 2 3 2" xfId="16727" xr:uid="{00000000-0005-0000-0000-00003A260000}"/>
    <cellStyle name="Normal 12 5 2 2 3 2 2" xfId="33301" xr:uid="{00000000-0005-0000-0000-00003B260000}"/>
    <cellStyle name="Normal 12 5 2 2 3 3" xfId="25254" xr:uid="{00000000-0005-0000-0000-00003C260000}"/>
    <cellStyle name="Normal 12 5 2 2 4" xfId="12834" xr:uid="{00000000-0005-0000-0000-00003D260000}"/>
    <cellStyle name="Normal 12 5 2 2 4 2" xfId="29361" xr:uid="{00000000-0005-0000-0000-00003E260000}"/>
    <cellStyle name="Normal 12 5 2 2 5" xfId="21318" xr:uid="{00000000-0005-0000-0000-00003F260000}"/>
    <cellStyle name="Normal 12 5 2 3" xfId="3173" xr:uid="{00000000-0005-0000-0000-000040260000}"/>
    <cellStyle name="Normal 12 5 2 3 2" xfId="7365" xr:uid="{00000000-0005-0000-0000-000041260000}"/>
    <cellStyle name="Normal 12 5 2 3 2 2" xfId="16728" xr:uid="{00000000-0005-0000-0000-000042260000}"/>
    <cellStyle name="Normal 12 5 2 3 2 2 2" xfId="33302" xr:uid="{00000000-0005-0000-0000-000043260000}"/>
    <cellStyle name="Normal 12 5 2 3 2 3" xfId="25255" xr:uid="{00000000-0005-0000-0000-000044260000}"/>
    <cellStyle name="Normal 12 5 2 3 3" xfId="12836" xr:uid="{00000000-0005-0000-0000-000045260000}"/>
    <cellStyle name="Normal 12 5 2 3 3 2" xfId="29363" xr:uid="{00000000-0005-0000-0000-000046260000}"/>
    <cellStyle name="Normal 12 5 2 3 4" xfId="21320" xr:uid="{00000000-0005-0000-0000-000047260000}"/>
    <cellStyle name="Normal 12 5 2 4" xfId="7366" xr:uid="{00000000-0005-0000-0000-000048260000}"/>
    <cellStyle name="Normal 12 5 2 4 2" xfId="16729" xr:uid="{00000000-0005-0000-0000-000049260000}"/>
    <cellStyle name="Normal 12 5 2 4 2 2" xfId="33303" xr:uid="{00000000-0005-0000-0000-00004A260000}"/>
    <cellStyle name="Normal 12 5 2 4 3" xfId="25256" xr:uid="{00000000-0005-0000-0000-00004B260000}"/>
    <cellStyle name="Normal 12 5 2 5" xfId="12833" xr:uid="{00000000-0005-0000-0000-00004C260000}"/>
    <cellStyle name="Normal 12 5 2 5 2" xfId="29360" xr:uid="{00000000-0005-0000-0000-00004D260000}"/>
    <cellStyle name="Normal 12 5 2 6" xfId="21317" xr:uid="{00000000-0005-0000-0000-00004E260000}"/>
    <cellStyle name="Normal 12 5 3" xfId="3174" xr:uid="{00000000-0005-0000-0000-00004F260000}"/>
    <cellStyle name="Normal 12 5 3 2" xfId="3175" xr:uid="{00000000-0005-0000-0000-000050260000}"/>
    <cellStyle name="Normal 12 5 3 2 2" xfId="7367" xr:uid="{00000000-0005-0000-0000-000051260000}"/>
    <cellStyle name="Normal 12 5 3 2 2 2" xfId="16730" xr:uid="{00000000-0005-0000-0000-000052260000}"/>
    <cellStyle name="Normal 12 5 3 2 2 2 2" xfId="33304" xr:uid="{00000000-0005-0000-0000-000053260000}"/>
    <cellStyle name="Normal 12 5 3 2 2 3" xfId="25257" xr:uid="{00000000-0005-0000-0000-000054260000}"/>
    <cellStyle name="Normal 12 5 3 2 3" xfId="12838" xr:uid="{00000000-0005-0000-0000-000055260000}"/>
    <cellStyle name="Normal 12 5 3 2 3 2" xfId="29365" xr:uid="{00000000-0005-0000-0000-000056260000}"/>
    <cellStyle name="Normal 12 5 3 2 4" xfId="21322" xr:uid="{00000000-0005-0000-0000-000057260000}"/>
    <cellStyle name="Normal 12 5 3 3" xfId="7368" xr:uid="{00000000-0005-0000-0000-000058260000}"/>
    <cellStyle name="Normal 12 5 3 3 2" xfId="16731" xr:uid="{00000000-0005-0000-0000-000059260000}"/>
    <cellStyle name="Normal 12 5 3 3 2 2" xfId="33305" xr:uid="{00000000-0005-0000-0000-00005A260000}"/>
    <cellStyle name="Normal 12 5 3 3 3" xfId="25258" xr:uid="{00000000-0005-0000-0000-00005B260000}"/>
    <cellStyle name="Normal 12 5 3 4" xfId="12837" xr:uid="{00000000-0005-0000-0000-00005C260000}"/>
    <cellStyle name="Normal 12 5 3 4 2" xfId="29364" xr:uid="{00000000-0005-0000-0000-00005D260000}"/>
    <cellStyle name="Normal 12 5 3 5" xfId="21321" xr:uid="{00000000-0005-0000-0000-00005E260000}"/>
    <cellStyle name="Normal 12 5 4" xfId="3176" xr:uid="{00000000-0005-0000-0000-00005F260000}"/>
    <cellStyle name="Normal 12 5 4 2" xfId="7369" xr:uid="{00000000-0005-0000-0000-000060260000}"/>
    <cellStyle name="Normal 12 5 4 2 2" xfId="16732" xr:uid="{00000000-0005-0000-0000-000061260000}"/>
    <cellStyle name="Normal 12 5 4 2 2 2" xfId="33306" xr:uid="{00000000-0005-0000-0000-000062260000}"/>
    <cellStyle name="Normal 12 5 4 2 3" xfId="25259" xr:uid="{00000000-0005-0000-0000-000063260000}"/>
    <cellStyle name="Normal 12 5 4 3" xfId="12839" xr:uid="{00000000-0005-0000-0000-000064260000}"/>
    <cellStyle name="Normal 12 5 4 3 2" xfId="29366" xr:uid="{00000000-0005-0000-0000-000065260000}"/>
    <cellStyle name="Normal 12 5 4 4" xfId="21323" xr:uid="{00000000-0005-0000-0000-000066260000}"/>
    <cellStyle name="Normal 12 5 5" xfId="7370" xr:uid="{00000000-0005-0000-0000-000067260000}"/>
    <cellStyle name="Normal 12 5 5 2" xfId="16733" xr:uid="{00000000-0005-0000-0000-000068260000}"/>
    <cellStyle name="Normal 12 5 5 2 2" xfId="33307" xr:uid="{00000000-0005-0000-0000-000069260000}"/>
    <cellStyle name="Normal 12 5 5 3" xfId="25260" xr:uid="{00000000-0005-0000-0000-00006A260000}"/>
    <cellStyle name="Normal 12 5 6" xfId="12832" xr:uid="{00000000-0005-0000-0000-00006B260000}"/>
    <cellStyle name="Normal 12 5 6 2" xfId="29359" xr:uid="{00000000-0005-0000-0000-00006C260000}"/>
    <cellStyle name="Normal 12 5 7" xfId="21316" xr:uid="{00000000-0005-0000-0000-00006D260000}"/>
    <cellStyle name="Normal 12 6" xfId="3177" xr:uid="{00000000-0005-0000-0000-00006E260000}"/>
    <cellStyle name="Normal 12 6 2" xfId="3178" xr:uid="{00000000-0005-0000-0000-00006F260000}"/>
    <cellStyle name="Normal 12 6 2 2" xfId="3179" xr:uid="{00000000-0005-0000-0000-000070260000}"/>
    <cellStyle name="Normal 12 6 2 2 2" xfId="7371" xr:uid="{00000000-0005-0000-0000-000071260000}"/>
    <cellStyle name="Normal 12 6 2 2 2 2" xfId="16734" xr:uid="{00000000-0005-0000-0000-000072260000}"/>
    <cellStyle name="Normal 12 6 2 2 2 2 2" xfId="33308" xr:uid="{00000000-0005-0000-0000-000073260000}"/>
    <cellStyle name="Normal 12 6 2 2 2 3" xfId="25261" xr:uid="{00000000-0005-0000-0000-000074260000}"/>
    <cellStyle name="Normal 12 6 2 2 3" xfId="12842" xr:uid="{00000000-0005-0000-0000-000075260000}"/>
    <cellStyle name="Normal 12 6 2 2 3 2" xfId="29369" xr:uid="{00000000-0005-0000-0000-000076260000}"/>
    <cellStyle name="Normal 12 6 2 2 4" xfId="21326" xr:uid="{00000000-0005-0000-0000-000077260000}"/>
    <cellStyle name="Normal 12 6 2 3" xfId="7372" xr:uid="{00000000-0005-0000-0000-000078260000}"/>
    <cellStyle name="Normal 12 6 2 3 2" xfId="16735" xr:uid="{00000000-0005-0000-0000-000079260000}"/>
    <cellStyle name="Normal 12 6 2 3 2 2" xfId="33309" xr:uid="{00000000-0005-0000-0000-00007A260000}"/>
    <cellStyle name="Normal 12 6 2 3 3" xfId="25262" xr:uid="{00000000-0005-0000-0000-00007B260000}"/>
    <cellStyle name="Normal 12 6 2 4" xfId="12841" xr:uid="{00000000-0005-0000-0000-00007C260000}"/>
    <cellStyle name="Normal 12 6 2 4 2" xfId="29368" xr:uid="{00000000-0005-0000-0000-00007D260000}"/>
    <cellStyle name="Normal 12 6 2 5" xfId="21325" xr:uid="{00000000-0005-0000-0000-00007E260000}"/>
    <cellStyle name="Normal 12 6 3" xfId="3180" xr:uid="{00000000-0005-0000-0000-00007F260000}"/>
    <cellStyle name="Normal 12 6 3 2" xfId="7373" xr:uid="{00000000-0005-0000-0000-000080260000}"/>
    <cellStyle name="Normal 12 6 3 2 2" xfId="16736" xr:uid="{00000000-0005-0000-0000-000081260000}"/>
    <cellStyle name="Normal 12 6 3 2 2 2" xfId="33310" xr:uid="{00000000-0005-0000-0000-000082260000}"/>
    <cellStyle name="Normal 12 6 3 2 3" xfId="25263" xr:uid="{00000000-0005-0000-0000-000083260000}"/>
    <cellStyle name="Normal 12 6 3 3" xfId="12843" xr:uid="{00000000-0005-0000-0000-000084260000}"/>
    <cellStyle name="Normal 12 6 3 3 2" xfId="29370" xr:uid="{00000000-0005-0000-0000-000085260000}"/>
    <cellStyle name="Normal 12 6 3 4" xfId="21327" xr:uid="{00000000-0005-0000-0000-000086260000}"/>
    <cellStyle name="Normal 12 6 4" xfId="7374" xr:uid="{00000000-0005-0000-0000-000087260000}"/>
    <cellStyle name="Normal 12 6 4 2" xfId="16737" xr:uid="{00000000-0005-0000-0000-000088260000}"/>
    <cellStyle name="Normal 12 6 4 2 2" xfId="33311" xr:uid="{00000000-0005-0000-0000-000089260000}"/>
    <cellStyle name="Normal 12 6 4 3" xfId="25264" xr:uid="{00000000-0005-0000-0000-00008A260000}"/>
    <cellStyle name="Normal 12 6 5" xfId="12840" xr:uid="{00000000-0005-0000-0000-00008B260000}"/>
    <cellStyle name="Normal 12 6 5 2" xfId="29367" xr:uid="{00000000-0005-0000-0000-00008C260000}"/>
    <cellStyle name="Normal 12 6 6" xfId="21324" xr:uid="{00000000-0005-0000-0000-00008D260000}"/>
    <cellStyle name="Normal 12 7" xfId="3181" xr:uid="{00000000-0005-0000-0000-00008E260000}"/>
    <cellStyle name="Normal 12 7 2" xfId="3182" xr:uid="{00000000-0005-0000-0000-00008F260000}"/>
    <cellStyle name="Normal 12 7 2 2" xfId="7375" xr:uid="{00000000-0005-0000-0000-000090260000}"/>
    <cellStyle name="Normal 12 7 2 2 2" xfId="16738" xr:uid="{00000000-0005-0000-0000-000091260000}"/>
    <cellStyle name="Normal 12 7 2 2 2 2" xfId="33312" xr:uid="{00000000-0005-0000-0000-000092260000}"/>
    <cellStyle name="Normal 12 7 2 2 3" xfId="25265" xr:uid="{00000000-0005-0000-0000-000093260000}"/>
    <cellStyle name="Normal 12 7 2 3" xfId="12845" xr:uid="{00000000-0005-0000-0000-000094260000}"/>
    <cellStyle name="Normal 12 7 2 3 2" xfId="29372" xr:uid="{00000000-0005-0000-0000-000095260000}"/>
    <cellStyle name="Normal 12 7 2 4" xfId="21329" xr:uid="{00000000-0005-0000-0000-000096260000}"/>
    <cellStyle name="Normal 12 7 3" xfId="7376" xr:uid="{00000000-0005-0000-0000-000097260000}"/>
    <cellStyle name="Normal 12 7 3 2" xfId="16739" xr:uid="{00000000-0005-0000-0000-000098260000}"/>
    <cellStyle name="Normal 12 7 3 2 2" xfId="33313" xr:uid="{00000000-0005-0000-0000-000099260000}"/>
    <cellStyle name="Normal 12 7 3 3" xfId="25266" xr:uid="{00000000-0005-0000-0000-00009A260000}"/>
    <cellStyle name="Normal 12 7 4" xfId="12844" xr:uid="{00000000-0005-0000-0000-00009B260000}"/>
    <cellStyle name="Normal 12 7 4 2" xfId="29371" xr:uid="{00000000-0005-0000-0000-00009C260000}"/>
    <cellStyle name="Normal 12 7 5" xfId="21328" xr:uid="{00000000-0005-0000-0000-00009D260000}"/>
    <cellStyle name="Normal 12 8" xfId="3183" xr:uid="{00000000-0005-0000-0000-00009E260000}"/>
    <cellStyle name="Normal 12 8 2" xfId="7377" xr:uid="{00000000-0005-0000-0000-00009F260000}"/>
    <cellStyle name="Normal 12 8 2 2" xfId="16740" xr:uid="{00000000-0005-0000-0000-0000A0260000}"/>
    <cellStyle name="Normal 12 8 2 2 2" xfId="33314" xr:uid="{00000000-0005-0000-0000-0000A1260000}"/>
    <cellStyle name="Normal 12 8 2 3" xfId="25267" xr:uid="{00000000-0005-0000-0000-0000A2260000}"/>
    <cellStyle name="Normal 12 8 3" xfId="12846" xr:uid="{00000000-0005-0000-0000-0000A3260000}"/>
    <cellStyle name="Normal 12 8 3 2" xfId="29373" xr:uid="{00000000-0005-0000-0000-0000A4260000}"/>
    <cellStyle name="Normal 12 8 4" xfId="21330" xr:uid="{00000000-0005-0000-0000-0000A5260000}"/>
    <cellStyle name="Normal 12 9" xfId="7378" xr:uid="{00000000-0005-0000-0000-0000A6260000}"/>
    <cellStyle name="Normal 12 9 2" xfId="16741" xr:uid="{00000000-0005-0000-0000-0000A7260000}"/>
    <cellStyle name="Normal 12 9 2 2" xfId="33315" xr:uid="{00000000-0005-0000-0000-0000A8260000}"/>
    <cellStyle name="Normal 12 9 3" xfId="25268" xr:uid="{00000000-0005-0000-0000-0000A9260000}"/>
    <cellStyle name="Normal 120" xfId="3184" xr:uid="{00000000-0005-0000-0000-0000AA260000}"/>
    <cellStyle name="Normal 120 10" xfId="12847" xr:uid="{00000000-0005-0000-0000-0000AB260000}"/>
    <cellStyle name="Normal 120 10 2" xfId="29374" xr:uid="{00000000-0005-0000-0000-0000AC260000}"/>
    <cellStyle name="Normal 120 11" xfId="21331" xr:uid="{00000000-0005-0000-0000-0000AD260000}"/>
    <cellStyle name="Normal 120 2" xfId="3185" xr:uid="{00000000-0005-0000-0000-0000AE260000}"/>
    <cellStyle name="Normal 120 2 2" xfId="3186" xr:uid="{00000000-0005-0000-0000-0000AF260000}"/>
    <cellStyle name="Normal 120 2 3" xfId="12848" xr:uid="{00000000-0005-0000-0000-0000B0260000}"/>
    <cellStyle name="Normal 120 2 3 2" xfId="29375" xr:uid="{00000000-0005-0000-0000-0000B1260000}"/>
    <cellStyle name="Normal 120 2 4" xfId="21332" xr:uid="{00000000-0005-0000-0000-0000B2260000}"/>
    <cellStyle name="Normal 120 3" xfId="3187" xr:uid="{00000000-0005-0000-0000-0000B3260000}"/>
    <cellStyle name="Normal 120 3 2" xfId="3188" xr:uid="{00000000-0005-0000-0000-0000B4260000}"/>
    <cellStyle name="Normal 120 3 2 2" xfId="3189" xr:uid="{00000000-0005-0000-0000-0000B5260000}"/>
    <cellStyle name="Normal 120 3 2 2 2" xfId="3190" xr:uid="{00000000-0005-0000-0000-0000B6260000}"/>
    <cellStyle name="Normal 120 3 2 2 2 2" xfId="7379" xr:uid="{00000000-0005-0000-0000-0000B7260000}"/>
    <cellStyle name="Normal 120 3 2 2 2 2 2" xfId="16742" xr:uid="{00000000-0005-0000-0000-0000B8260000}"/>
    <cellStyle name="Normal 120 3 2 2 2 2 2 2" xfId="33316" xr:uid="{00000000-0005-0000-0000-0000B9260000}"/>
    <cellStyle name="Normal 120 3 2 2 2 2 3" xfId="25269" xr:uid="{00000000-0005-0000-0000-0000BA260000}"/>
    <cellStyle name="Normal 120 3 2 2 2 3" xfId="12851" xr:uid="{00000000-0005-0000-0000-0000BB260000}"/>
    <cellStyle name="Normal 120 3 2 2 2 3 2" xfId="29378" xr:uid="{00000000-0005-0000-0000-0000BC260000}"/>
    <cellStyle name="Normal 120 3 2 2 2 4" xfId="21335" xr:uid="{00000000-0005-0000-0000-0000BD260000}"/>
    <cellStyle name="Normal 120 3 2 2 3" xfId="7380" xr:uid="{00000000-0005-0000-0000-0000BE260000}"/>
    <cellStyle name="Normal 120 3 2 2 3 2" xfId="16743" xr:uid="{00000000-0005-0000-0000-0000BF260000}"/>
    <cellStyle name="Normal 120 3 2 2 3 2 2" xfId="33317" xr:uid="{00000000-0005-0000-0000-0000C0260000}"/>
    <cellStyle name="Normal 120 3 2 2 3 3" xfId="25270" xr:uid="{00000000-0005-0000-0000-0000C1260000}"/>
    <cellStyle name="Normal 120 3 2 2 4" xfId="12850" xr:uid="{00000000-0005-0000-0000-0000C2260000}"/>
    <cellStyle name="Normal 120 3 2 2 4 2" xfId="29377" xr:uid="{00000000-0005-0000-0000-0000C3260000}"/>
    <cellStyle name="Normal 120 3 2 2 5" xfId="21334" xr:uid="{00000000-0005-0000-0000-0000C4260000}"/>
    <cellStyle name="Normal 120 3 2 3" xfId="3191" xr:uid="{00000000-0005-0000-0000-0000C5260000}"/>
    <cellStyle name="Normal 120 3 2 3 2" xfId="7381" xr:uid="{00000000-0005-0000-0000-0000C6260000}"/>
    <cellStyle name="Normal 120 3 2 3 2 2" xfId="16744" xr:uid="{00000000-0005-0000-0000-0000C7260000}"/>
    <cellStyle name="Normal 120 3 2 3 2 2 2" xfId="33318" xr:uid="{00000000-0005-0000-0000-0000C8260000}"/>
    <cellStyle name="Normal 120 3 2 3 2 3" xfId="25271" xr:uid="{00000000-0005-0000-0000-0000C9260000}"/>
    <cellStyle name="Normal 120 3 2 3 3" xfId="12852" xr:uid="{00000000-0005-0000-0000-0000CA260000}"/>
    <cellStyle name="Normal 120 3 2 3 3 2" xfId="29379" xr:uid="{00000000-0005-0000-0000-0000CB260000}"/>
    <cellStyle name="Normal 120 3 2 3 4" xfId="21336" xr:uid="{00000000-0005-0000-0000-0000CC260000}"/>
    <cellStyle name="Normal 120 3 2 4" xfId="7382" xr:uid="{00000000-0005-0000-0000-0000CD260000}"/>
    <cellStyle name="Normal 120 3 2 4 2" xfId="16745" xr:uid="{00000000-0005-0000-0000-0000CE260000}"/>
    <cellStyle name="Normal 120 3 2 4 2 2" xfId="33319" xr:uid="{00000000-0005-0000-0000-0000CF260000}"/>
    <cellStyle name="Normal 120 3 2 4 3" xfId="25272" xr:uid="{00000000-0005-0000-0000-0000D0260000}"/>
    <cellStyle name="Normal 120 3 2 5" xfId="12849" xr:uid="{00000000-0005-0000-0000-0000D1260000}"/>
    <cellStyle name="Normal 120 3 2 5 2" xfId="29376" xr:uid="{00000000-0005-0000-0000-0000D2260000}"/>
    <cellStyle name="Normal 120 3 2 6" xfId="21333" xr:uid="{00000000-0005-0000-0000-0000D3260000}"/>
    <cellStyle name="Normal 120 3 3" xfId="3192" xr:uid="{00000000-0005-0000-0000-0000D4260000}"/>
    <cellStyle name="Normal 120 3 3 2" xfId="3193" xr:uid="{00000000-0005-0000-0000-0000D5260000}"/>
    <cellStyle name="Normal 120 3 3 2 2" xfId="7383" xr:uid="{00000000-0005-0000-0000-0000D6260000}"/>
    <cellStyle name="Normal 120 3 3 2 2 2" xfId="16746" xr:uid="{00000000-0005-0000-0000-0000D7260000}"/>
    <cellStyle name="Normal 120 3 3 2 2 2 2" xfId="33320" xr:uid="{00000000-0005-0000-0000-0000D8260000}"/>
    <cellStyle name="Normal 120 3 3 2 2 3" xfId="25273" xr:uid="{00000000-0005-0000-0000-0000D9260000}"/>
    <cellStyle name="Normal 120 3 3 2 3" xfId="12854" xr:uid="{00000000-0005-0000-0000-0000DA260000}"/>
    <cellStyle name="Normal 120 3 3 2 3 2" xfId="29381" xr:uid="{00000000-0005-0000-0000-0000DB260000}"/>
    <cellStyle name="Normal 120 3 3 2 4" xfId="21338" xr:uid="{00000000-0005-0000-0000-0000DC260000}"/>
    <cellStyle name="Normal 120 3 3 3" xfId="7384" xr:uid="{00000000-0005-0000-0000-0000DD260000}"/>
    <cellStyle name="Normal 120 3 3 3 2" xfId="16747" xr:uid="{00000000-0005-0000-0000-0000DE260000}"/>
    <cellStyle name="Normal 120 3 3 3 2 2" xfId="33321" xr:uid="{00000000-0005-0000-0000-0000DF260000}"/>
    <cellStyle name="Normal 120 3 3 3 3" xfId="25274" xr:uid="{00000000-0005-0000-0000-0000E0260000}"/>
    <cellStyle name="Normal 120 3 3 4" xfId="12853" xr:uid="{00000000-0005-0000-0000-0000E1260000}"/>
    <cellStyle name="Normal 120 3 3 4 2" xfId="29380" xr:uid="{00000000-0005-0000-0000-0000E2260000}"/>
    <cellStyle name="Normal 120 3 3 5" xfId="21337" xr:uid="{00000000-0005-0000-0000-0000E3260000}"/>
    <cellStyle name="Normal 120 3 4" xfId="3194" xr:uid="{00000000-0005-0000-0000-0000E4260000}"/>
    <cellStyle name="Normal 120 3 4 2" xfId="7385" xr:uid="{00000000-0005-0000-0000-0000E5260000}"/>
    <cellStyle name="Normal 120 3 4 2 2" xfId="16748" xr:uid="{00000000-0005-0000-0000-0000E6260000}"/>
    <cellStyle name="Normal 120 3 4 2 2 2" xfId="33322" xr:uid="{00000000-0005-0000-0000-0000E7260000}"/>
    <cellStyle name="Normal 120 3 4 2 3" xfId="25275" xr:uid="{00000000-0005-0000-0000-0000E8260000}"/>
    <cellStyle name="Normal 120 3 4 3" xfId="12855" xr:uid="{00000000-0005-0000-0000-0000E9260000}"/>
    <cellStyle name="Normal 120 3 4 3 2" xfId="29382" xr:uid="{00000000-0005-0000-0000-0000EA260000}"/>
    <cellStyle name="Normal 120 3 4 4" xfId="21339" xr:uid="{00000000-0005-0000-0000-0000EB260000}"/>
    <cellStyle name="Normal 120 3 5" xfId="3195" xr:uid="{00000000-0005-0000-0000-0000EC260000}"/>
    <cellStyle name="Normal 120 3 5 2" xfId="12856" xr:uid="{00000000-0005-0000-0000-0000ED260000}"/>
    <cellStyle name="Normal 120 3 5 2 2" xfId="29383" xr:uid="{00000000-0005-0000-0000-0000EE260000}"/>
    <cellStyle name="Normal 120 3 5 3" xfId="21340" xr:uid="{00000000-0005-0000-0000-0000EF260000}"/>
    <cellStyle name="Normal 120 4" xfId="3196" xr:uid="{00000000-0005-0000-0000-0000F0260000}"/>
    <cellStyle name="Normal 120 4 2" xfId="3197" xr:uid="{00000000-0005-0000-0000-0000F1260000}"/>
    <cellStyle name="Normal 120 4 2 2" xfId="3198" xr:uid="{00000000-0005-0000-0000-0000F2260000}"/>
    <cellStyle name="Normal 120 4 2 2 2" xfId="3199" xr:uid="{00000000-0005-0000-0000-0000F3260000}"/>
    <cellStyle name="Normal 120 4 2 2 2 2" xfId="7386" xr:uid="{00000000-0005-0000-0000-0000F4260000}"/>
    <cellStyle name="Normal 120 4 2 2 2 2 2" xfId="16749" xr:uid="{00000000-0005-0000-0000-0000F5260000}"/>
    <cellStyle name="Normal 120 4 2 2 2 2 2 2" xfId="33323" xr:uid="{00000000-0005-0000-0000-0000F6260000}"/>
    <cellStyle name="Normal 120 4 2 2 2 2 3" xfId="25276" xr:uid="{00000000-0005-0000-0000-0000F7260000}"/>
    <cellStyle name="Normal 120 4 2 2 2 3" xfId="12860" xr:uid="{00000000-0005-0000-0000-0000F8260000}"/>
    <cellStyle name="Normal 120 4 2 2 2 3 2" xfId="29387" xr:uid="{00000000-0005-0000-0000-0000F9260000}"/>
    <cellStyle name="Normal 120 4 2 2 2 4" xfId="21344" xr:uid="{00000000-0005-0000-0000-0000FA260000}"/>
    <cellStyle name="Normal 120 4 2 2 3" xfId="7387" xr:uid="{00000000-0005-0000-0000-0000FB260000}"/>
    <cellStyle name="Normal 120 4 2 2 3 2" xfId="16750" xr:uid="{00000000-0005-0000-0000-0000FC260000}"/>
    <cellStyle name="Normal 120 4 2 2 3 2 2" xfId="33324" xr:uid="{00000000-0005-0000-0000-0000FD260000}"/>
    <cellStyle name="Normal 120 4 2 2 3 3" xfId="25277" xr:uid="{00000000-0005-0000-0000-0000FE260000}"/>
    <cellStyle name="Normal 120 4 2 2 4" xfId="12859" xr:uid="{00000000-0005-0000-0000-0000FF260000}"/>
    <cellStyle name="Normal 120 4 2 2 4 2" xfId="29386" xr:uid="{00000000-0005-0000-0000-000000270000}"/>
    <cellStyle name="Normal 120 4 2 2 5" xfId="21343" xr:uid="{00000000-0005-0000-0000-000001270000}"/>
    <cellStyle name="Normal 120 4 2 3" xfId="3200" xr:uid="{00000000-0005-0000-0000-000002270000}"/>
    <cellStyle name="Normal 120 4 2 3 2" xfId="7388" xr:uid="{00000000-0005-0000-0000-000003270000}"/>
    <cellStyle name="Normal 120 4 2 3 2 2" xfId="16751" xr:uid="{00000000-0005-0000-0000-000004270000}"/>
    <cellStyle name="Normal 120 4 2 3 2 2 2" xfId="33325" xr:uid="{00000000-0005-0000-0000-000005270000}"/>
    <cellStyle name="Normal 120 4 2 3 2 3" xfId="25278" xr:uid="{00000000-0005-0000-0000-000006270000}"/>
    <cellStyle name="Normal 120 4 2 3 3" xfId="12861" xr:uid="{00000000-0005-0000-0000-000007270000}"/>
    <cellStyle name="Normal 120 4 2 3 3 2" xfId="29388" xr:uid="{00000000-0005-0000-0000-000008270000}"/>
    <cellStyle name="Normal 120 4 2 3 4" xfId="21345" xr:uid="{00000000-0005-0000-0000-000009270000}"/>
    <cellStyle name="Normal 120 4 2 4" xfId="7389" xr:uid="{00000000-0005-0000-0000-00000A270000}"/>
    <cellStyle name="Normal 120 4 2 4 2" xfId="16752" xr:uid="{00000000-0005-0000-0000-00000B270000}"/>
    <cellStyle name="Normal 120 4 2 4 2 2" xfId="33326" xr:uid="{00000000-0005-0000-0000-00000C270000}"/>
    <cellStyle name="Normal 120 4 2 4 3" xfId="25279" xr:uid="{00000000-0005-0000-0000-00000D270000}"/>
    <cellStyle name="Normal 120 4 2 5" xfId="12858" xr:uid="{00000000-0005-0000-0000-00000E270000}"/>
    <cellStyle name="Normal 120 4 2 5 2" xfId="29385" xr:uid="{00000000-0005-0000-0000-00000F270000}"/>
    <cellStyle name="Normal 120 4 2 6" xfId="21342" xr:uid="{00000000-0005-0000-0000-000010270000}"/>
    <cellStyle name="Normal 120 4 3" xfId="3201" xr:uid="{00000000-0005-0000-0000-000011270000}"/>
    <cellStyle name="Normal 120 4 3 2" xfId="3202" xr:uid="{00000000-0005-0000-0000-000012270000}"/>
    <cellStyle name="Normal 120 4 3 2 2" xfId="7390" xr:uid="{00000000-0005-0000-0000-000013270000}"/>
    <cellStyle name="Normal 120 4 3 2 2 2" xfId="16753" xr:uid="{00000000-0005-0000-0000-000014270000}"/>
    <cellStyle name="Normal 120 4 3 2 2 2 2" xfId="33327" xr:uid="{00000000-0005-0000-0000-000015270000}"/>
    <cellStyle name="Normal 120 4 3 2 2 3" xfId="25280" xr:uid="{00000000-0005-0000-0000-000016270000}"/>
    <cellStyle name="Normal 120 4 3 2 3" xfId="12863" xr:uid="{00000000-0005-0000-0000-000017270000}"/>
    <cellStyle name="Normal 120 4 3 2 3 2" xfId="29390" xr:uid="{00000000-0005-0000-0000-000018270000}"/>
    <cellStyle name="Normal 120 4 3 2 4" xfId="21347" xr:uid="{00000000-0005-0000-0000-000019270000}"/>
    <cellStyle name="Normal 120 4 3 3" xfId="7391" xr:uid="{00000000-0005-0000-0000-00001A270000}"/>
    <cellStyle name="Normal 120 4 3 3 2" xfId="16754" xr:uid="{00000000-0005-0000-0000-00001B270000}"/>
    <cellStyle name="Normal 120 4 3 3 2 2" xfId="33328" xr:uid="{00000000-0005-0000-0000-00001C270000}"/>
    <cellStyle name="Normal 120 4 3 3 3" xfId="25281" xr:uid="{00000000-0005-0000-0000-00001D270000}"/>
    <cellStyle name="Normal 120 4 3 4" xfId="12862" xr:uid="{00000000-0005-0000-0000-00001E270000}"/>
    <cellStyle name="Normal 120 4 3 4 2" xfId="29389" xr:uid="{00000000-0005-0000-0000-00001F270000}"/>
    <cellStyle name="Normal 120 4 3 5" xfId="21346" xr:uid="{00000000-0005-0000-0000-000020270000}"/>
    <cellStyle name="Normal 120 4 4" xfId="3203" xr:uid="{00000000-0005-0000-0000-000021270000}"/>
    <cellStyle name="Normal 120 4 4 2" xfId="7392" xr:uid="{00000000-0005-0000-0000-000022270000}"/>
    <cellStyle name="Normal 120 4 4 2 2" xfId="16755" xr:uid="{00000000-0005-0000-0000-000023270000}"/>
    <cellStyle name="Normal 120 4 4 2 2 2" xfId="33329" xr:uid="{00000000-0005-0000-0000-000024270000}"/>
    <cellStyle name="Normal 120 4 4 2 3" xfId="25282" xr:uid="{00000000-0005-0000-0000-000025270000}"/>
    <cellStyle name="Normal 120 4 4 3" xfId="12864" xr:uid="{00000000-0005-0000-0000-000026270000}"/>
    <cellStyle name="Normal 120 4 4 3 2" xfId="29391" xr:uid="{00000000-0005-0000-0000-000027270000}"/>
    <cellStyle name="Normal 120 4 4 4" xfId="21348" xr:uid="{00000000-0005-0000-0000-000028270000}"/>
    <cellStyle name="Normal 120 4 5" xfId="7393" xr:uid="{00000000-0005-0000-0000-000029270000}"/>
    <cellStyle name="Normal 120 4 5 2" xfId="16756" xr:uid="{00000000-0005-0000-0000-00002A270000}"/>
    <cellStyle name="Normal 120 4 5 2 2" xfId="33330" xr:uid="{00000000-0005-0000-0000-00002B270000}"/>
    <cellStyle name="Normal 120 4 5 3" xfId="25283" xr:uid="{00000000-0005-0000-0000-00002C270000}"/>
    <cellStyle name="Normal 120 4 6" xfId="12857" xr:uid="{00000000-0005-0000-0000-00002D270000}"/>
    <cellStyle name="Normal 120 4 6 2" xfId="29384" xr:uid="{00000000-0005-0000-0000-00002E270000}"/>
    <cellStyle name="Normal 120 4 7" xfId="21341" xr:uid="{00000000-0005-0000-0000-00002F270000}"/>
    <cellStyle name="Normal 120 5" xfId="3204" xr:uid="{00000000-0005-0000-0000-000030270000}"/>
    <cellStyle name="Normal 120 5 2" xfId="3205" xr:uid="{00000000-0005-0000-0000-000031270000}"/>
    <cellStyle name="Normal 120 5 2 2" xfId="3206" xr:uid="{00000000-0005-0000-0000-000032270000}"/>
    <cellStyle name="Normal 120 5 2 2 2" xfId="3207" xr:uid="{00000000-0005-0000-0000-000033270000}"/>
    <cellStyle name="Normal 120 5 2 2 2 2" xfId="7394" xr:uid="{00000000-0005-0000-0000-000034270000}"/>
    <cellStyle name="Normal 120 5 2 2 2 2 2" xfId="16757" xr:uid="{00000000-0005-0000-0000-000035270000}"/>
    <cellStyle name="Normal 120 5 2 2 2 2 2 2" xfId="33331" xr:uid="{00000000-0005-0000-0000-000036270000}"/>
    <cellStyle name="Normal 120 5 2 2 2 2 3" xfId="25284" xr:uid="{00000000-0005-0000-0000-000037270000}"/>
    <cellStyle name="Normal 120 5 2 2 2 3" xfId="12868" xr:uid="{00000000-0005-0000-0000-000038270000}"/>
    <cellStyle name="Normal 120 5 2 2 2 3 2" xfId="29395" xr:uid="{00000000-0005-0000-0000-000039270000}"/>
    <cellStyle name="Normal 120 5 2 2 2 4" xfId="21352" xr:uid="{00000000-0005-0000-0000-00003A270000}"/>
    <cellStyle name="Normal 120 5 2 2 3" xfId="7395" xr:uid="{00000000-0005-0000-0000-00003B270000}"/>
    <cellStyle name="Normal 120 5 2 2 3 2" xfId="16758" xr:uid="{00000000-0005-0000-0000-00003C270000}"/>
    <cellStyle name="Normal 120 5 2 2 3 2 2" xfId="33332" xr:uid="{00000000-0005-0000-0000-00003D270000}"/>
    <cellStyle name="Normal 120 5 2 2 3 3" xfId="25285" xr:uid="{00000000-0005-0000-0000-00003E270000}"/>
    <cellStyle name="Normal 120 5 2 2 4" xfId="12867" xr:uid="{00000000-0005-0000-0000-00003F270000}"/>
    <cellStyle name="Normal 120 5 2 2 4 2" xfId="29394" xr:uid="{00000000-0005-0000-0000-000040270000}"/>
    <cellStyle name="Normal 120 5 2 2 5" xfId="21351" xr:uid="{00000000-0005-0000-0000-000041270000}"/>
    <cellStyle name="Normal 120 5 2 3" xfId="3208" xr:uid="{00000000-0005-0000-0000-000042270000}"/>
    <cellStyle name="Normal 120 5 2 3 2" xfId="7396" xr:uid="{00000000-0005-0000-0000-000043270000}"/>
    <cellStyle name="Normal 120 5 2 3 2 2" xfId="16759" xr:uid="{00000000-0005-0000-0000-000044270000}"/>
    <cellStyle name="Normal 120 5 2 3 2 2 2" xfId="33333" xr:uid="{00000000-0005-0000-0000-000045270000}"/>
    <cellStyle name="Normal 120 5 2 3 2 3" xfId="25286" xr:uid="{00000000-0005-0000-0000-000046270000}"/>
    <cellStyle name="Normal 120 5 2 3 3" xfId="12869" xr:uid="{00000000-0005-0000-0000-000047270000}"/>
    <cellStyle name="Normal 120 5 2 3 3 2" xfId="29396" xr:uid="{00000000-0005-0000-0000-000048270000}"/>
    <cellStyle name="Normal 120 5 2 3 4" xfId="21353" xr:uid="{00000000-0005-0000-0000-000049270000}"/>
    <cellStyle name="Normal 120 5 2 4" xfId="7397" xr:uid="{00000000-0005-0000-0000-00004A270000}"/>
    <cellStyle name="Normal 120 5 2 4 2" xfId="16760" xr:uid="{00000000-0005-0000-0000-00004B270000}"/>
    <cellStyle name="Normal 120 5 2 4 2 2" xfId="33334" xr:uid="{00000000-0005-0000-0000-00004C270000}"/>
    <cellStyle name="Normal 120 5 2 4 3" xfId="25287" xr:uid="{00000000-0005-0000-0000-00004D270000}"/>
    <cellStyle name="Normal 120 5 2 5" xfId="12866" xr:uid="{00000000-0005-0000-0000-00004E270000}"/>
    <cellStyle name="Normal 120 5 2 5 2" xfId="29393" xr:uid="{00000000-0005-0000-0000-00004F270000}"/>
    <cellStyle name="Normal 120 5 2 6" xfId="21350" xr:uid="{00000000-0005-0000-0000-000050270000}"/>
    <cellStyle name="Normal 120 5 3" xfId="3209" xr:uid="{00000000-0005-0000-0000-000051270000}"/>
    <cellStyle name="Normal 120 5 3 2" xfId="3210" xr:uid="{00000000-0005-0000-0000-000052270000}"/>
    <cellStyle name="Normal 120 5 3 2 2" xfId="7398" xr:uid="{00000000-0005-0000-0000-000053270000}"/>
    <cellStyle name="Normal 120 5 3 2 2 2" xfId="16761" xr:uid="{00000000-0005-0000-0000-000054270000}"/>
    <cellStyle name="Normal 120 5 3 2 2 2 2" xfId="33335" xr:uid="{00000000-0005-0000-0000-000055270000}"/>
    <cellStyle name="Normal 120 5 3 2 2 3" xfId="25288" xr:uid="{00000000-0005-0000-0000-000056270000}"/>
    <cellStyle name="Normal 120 5 3 2 3" xfId="12871" xr:uid="{00000000-0005-0000-0000-000057270000}"/>
    <cellStyle name="Normal 120 5 3 2 3 2" xfId="29398" xr:uid="{00000000-0005-0000-0000-000058270000}"/>
    <cellStyle name="Normal 120 5 3 2 4" xfId="21355" xr:uid="{00000000-0005-0000-0000-000059270000}"/>
    <cellStyle name="Normal 120 5 3 3" xfId="7399" xr:uid="{00000000-0005-0000-0000-00005A270000}"/>
    <cellStyle name="Normal 120 5 3 3 2" xfId="16762" xr:uid="{00000000-0005-0000-0000-00005B270000}"/>
    <cellStyle name="Normal 120 5 3 3 2 2" xfId="33336" xr:uid="{00000000-0005-0000-0000-00005C270000}"/>
    <cellStyle name="Normal 120 5 3 3 3" xfId="25289" xr:uid="{00000000-0005-0000-0000-00005D270000}"/>
    <cellStyle name="Normal 120 5 3 4" xfId="12870" xr:uid="{00000000-0005-0000-0000-00005E270000}"/>
    <cellStyle name="Normal 120 5 3 4 2" xfId="29397" xr:uid="{00000000-0005-0000-0000-00005F270000}"/>
    <cellStyle name="Normal 120 5 3 5" xfId="21354" xr:uid="{00000000-0005-0000-0000-000060270000}"/>
    <cellStyle name="Normal 120 5 4" xfId="3211" xr:uid="{00000000-0005-0000-0000-000061270000}"/>
    <cellStyle name="Normal 120 5 4 2" xfId="7400" xr:uid="{00000000-0005-0000-0000-000062270000}"/>
    <cellStyle name="Normal 120 5 4 2 2" xfId="16763" xr:uid="{00000000-0005-0000-0000-000063270000}"/>
    <cellStyle name="Normal 120 5 4 2 2 2" xfId="33337" xr:uid="{00000000-0005-0000-0000-000064270000}"/>
    <cellStyle name="Normal 120 5 4 2 3" xfId="25290" xr:uid="{00000000-0005-0000-0000-000065270000}"/>
    <cellStyle name="Normal 120 5 4 3" xfId="12872" xr:uid="{00000000-0005-0000-0000-000066270000}"/>
    <cellStyle name="Normal 120 5 4 3 2" xfId="29399" xr:uid="{00000000-0005-0000-0000-000067270000}"/>
    <cellStyle name="Normal 120 5 4 4" xfId="21356" xr:uid="{00000000-0005-0000-0000-000068270000}"/>
    <cellStyle name="Normal 120 5 5" xfId="7401" xr:uid="{00000000-0005-0000-0000-000069270000}"/>
    <cellStyle name="Normal 120 5 5 2" xfId="16764" xr:uid="{00000000-0005-0000-0000-00006A270000}"/>
    <cellStyle name="Normal 120 5 5 2 2" xfId="33338" xr:uid="{00000000-0005-0000-0000-00006B270000}"/>
    <cellStyle name="Normal 120 5 5 3" xfId="25291" xr:uid="{00000000-0005-0000-0000-00006C270000}"/>
    <cellStyle name="Normal 120 5 6" xfId="12865" xr:uid="{00000000-0005-0000-0000-00006D270000}"/>
    <cellStyle name="Normal 120 5 6 2" xfId="29392" xr:uid="{00000000-0005-0000-0000-00006E270000}"/>
    <cellStyle name="Normal 120 5 7" xfId="21349" xr:uid="{00000000-0005-0000-0000-00006F270000}"/>
    <cellStyle name="Normal 120 6" xfId="3212" xr:uid="{00000000-0005-0000-0000-000070270000}"/>
    <cellStyle name="Normal 120 6 2" xfId="3213" xr:uid="{00000000-0005-0000-0000-000071270000}"/>
    <cellStyle name="Normal 120 6 2 2" xfId="3214" xr:uid="{00000000-0005-0000-0000-000072270000}"/>
    <cellStyle name="Normal 120 6 2 2 2" xfId="7402" xr:uid="{00000000-0005-0000-0000-000073270000}"/>
    <cellStyle name="Normal 120 6 2 2 2 2" xfId="16765" xr:uid="{00000000-0005-0000-0000-000074270000}"/>
    <cellStyle name="Normal 120 6 2 2 2 2 2" xfId="33339" xr:uid="{00000000-0005-0000-0000-000075270000}"/>
    <cellStyle name="Normal 120 6 2 2 2 3" xfId="25292" xr:uid="{00000000-0005-0000-0000-000076270000}"/>
    <cellStyle name="Normal 120 6 2 2 3" xfId="12875" xr:uid="{00000000-0005-0000-0000-000077270000}"/>
    <cellStyle name="Normal 120 6 2 2 3 2" xfId="29402" xr:uid="{00000000-0005-0000-0000-000078270000}"/>
    <cellStyle name="Normal 120 6 2 2 4" xfId="21359" xr:uid="{00000000-0005-0000-0000-000079270000}"/>
    <cellStyle name="Normal 120 6 2 3" xfId="7403" xr:uid="{00000000-0005-0000-0000-00007A270000}"/>
    <cellStyle name="Normal 120 6 2 3 2" xfId="16766" xr:uid="{00000000-0005-0000-0000-00007B270000}"/>
    <cellStyle name="Normal 120 6 2 3 2 2" xfId="33340" xr:uid="{00000000-0005-0000-0000-00007C270000}"/>
    <cellStyle name="Normal 120 6 2 3 3" xfId="25293" xr:uid="{00000000-0005-0000-0000-00007D270000}"/>
    <cellStyle name="Normal 120 6 2 4" xfId="12874" xr:uid="{00000000-0005-0000-0000-00007E270000}"/>
    <cellStyle name="Normal 120 6 2 4 2" xfId="29401" xr:uid="{00000000-0005-0000-0000-00007F270000}"/>
    <cellStyle name="Normal 120 6 2 5" xfId="21358" xr:uid="{00000000-0005-0000-0000-000080270000}"/>
    <cellStyle name="Normal 120 6 3" xfId="3215" xr:uid="{00000000-0005-0000-0000-000081270000}"/>
    <cellStyle name="Normal 120 6 3 2" xfId="7404" xr:uid="{00000000-0005-0000-0000-000082270000}"/>
    <cellStyle name="Normal 120 6 3 2 2" xfId="16767" xr:uid="{00000000-0005-0000-0000-000083270000}"/>
    <cellStyle name="Normal 120 6 3 2 2 2" xfId="33341" xr:uid="{00000000-0005-0000-0000-000084270000}"/>
    <cellStyle name="Normal 120 6 3 2 3" xfId="25294" xr:uid="{00000000-0005-0000-0000-000085270000}"/>
    <cellStyle name="Normal 120 6 3 3" xfId="12876" xr:uid="{00000000-0005-0000-0000-000086270000}"/>
    <cellStyle name="Normal 120 6 3 3 2" xfId="29403" xr:uid="{00000000-0005-0000-0000-000087270000}"/>
    <cellStyle name="Normal 120 6 3 4" xfId="21360" xr:uid="{00000000-0005-0000-0000-000088270000}"/>
    <cellStyle name="Normal 120 6 4" xfId="7405" xr:uid="{00000000-0005-0000-0000-000089270000}"/>
    <cellStyle name="Normal 120 6 4 2" xfId="16768" xr:uid="{00000000-0005-0000-0000-00008A270000}"/>
    <cellStyle name="Normal 120 6 4 2 2" xfId="33342" xr:uid="{00000000-0005-0000-0000-00008B270000}"/>
    <cellStyle name="Normal 120 6 4 3" xfId="25295" xr:uid="{00000000-0005-0000-0000-00008C270000}"/>
    <cellStyle name="Normal 120 6 5" xfId="12873" xr:uid="{00000000-0005-0000-0000-00008D270000}"/>
    <cellStyle name="Normal 120 6 5 2" xfId="29400" xr:uid="{00000000-0005-0000-0000-00008E270000}"/>
    <cellStyle name="Normal 120 6 6" xfId="21357" xr:uid="{00000000-0005-0000-0000-00008F270000}"/>
    <cellStyle name="Normal 120 7" xfId="3216" xr:uid="{00000000-0005-0000-0000-000090270000}"/>
    <cellStyle name="Normal 120 7 2" xfId="3217" xr:uid="{00000000-0005-0000-0000-000091270000}"/>
    <cellStyle name="Normal 120 7 2 2" xfId="7406" xr:uid="{00000000-0005-0000-0000-000092270000}"/>
    <cellStyle name="Normal 120 7 2 2 2" xfId="16769" xr:uid="{00000000-0005-0000-0000-000093270000}"/>
    <cellStyle name="Normal 120 7 2 2 2 2" xfId="33343" xr:uid="{00000000-0005-0000-0000-000094270000}"/>
    <cellStyle name="Normal 120 7 2 2 3" xfId="25296" xr:uid="{00000000-0005-0000-0000-000095270000}"/>
    <cellStyle name="Normal 120 7 2 3" xfId="12878" xr:uid="{00000000-0005-0000-0000-000096270000}"/>
    <cellStyle name="Normal 120 7 2 3 2" xfId="29405" xr:uid="{00000000-0005-0000-0000-000097270000}"/>
    <cellStyle name="Normal 120 7 2 4" xfId="21362" xr:uid="{00000000-0005-0000-0000-000098270000}"/>
    <cellStyle name="Normal 120 7 3" xfId="7407" xr:uid="{00000000-0005-0000-0000-000099270000}"/>
    <cellStyle name="Normal 120 7 3 2" xfId="16770" xr:uid="{00000000-0005-0000-0000-00009A270000}"/>
    <cellStyle name="Normal 120 7 3 2 2" xfId="33344" xr:uid="{00000000-0005-0000-0000-00009B270000}"/>
    <cellStyle name="Normal 120 7 3 3" xfId="25297" xr:uid="{00000000-0005-0000-0000-00009C270000}"/>
    <cellStyle name="Normal 120 7 4" xfId="12877" xr:uid="{00000000-0005-0000-0000-00009D270000}"/>
    <cellStyle name="Normal 120 7 4 2" xfId="29404" xr:uid="{00000000-0005-0000-0000-00009E270000}"/>
    <cellStyle name="Normal 120 7 5" xfId="21361" xr:uid="{00000000-0005-0000-0000-00009F270000}"/>
    <cellStyle name="Normal 120 8" xfId="3218" xr:uid="{00000000-0005-0000-0000-0000A0270000}"/>
    <cellStyle name="Normal 120 8 2" xfId="7408" xr:uid="{00000000-0005-0000-0000-0000A1270000}"/>
    <cellStyle name="Normal 120 8 2 2" xfId="16771" xr:uid="{00000000-0005-0000-0000-0000A2270000}"/>
    <cellStyle name="Normal 120 8 2 2 2" xfId="33345" xr:uid="{00000000-0005-0000-0000-0000A3270000}"/>
    <cellStyle name="Normal 120 8 2 3" xfId="25298" xr:uid="{00000000-0005-0000-0000-0000A4270000}"/>
    <cellStyle name="Normal 120 8 3" xfId="12879" xr:uid="{00000000-0005-0000-0000-0000A5270000}"/>
    <cellStyle name="Normal 120 8 3 2" xfId="29406" xr:uid="{00000000-0005-0000-0000-0000A6270000}"/>
    <cellStyle name="Normal 120 8 4" xfId="21363" xr:uid="{00000000-0005-0000-0000-0000A7270000}"/>
    <cellStyle name="Normal 120 9" xfId="7409" xr:uid="{00000000-0005-0000-0000-0000A8270000}"/>
    <cellStyle name="Normal 120 9 2" xfId="16772" xr:uid="{00000000-0005-0000-0000-0000A9270000}"/>
    <cellStyle name="Normal 120 9 2 2" xfId="33346" xr:uid="{00000000-0005-0000-0000-0000AA270000}"/>
    <cellStyle name="Normal 120 9 3" xfId="25299" xr:uid="{00000000-0005-0000-0000-0000AB270000}"/>
    <cellStyle name="Normal 121" xfId="3219" xr:uid="{00000000-0005-0000-0000-0000AC270000}"/>
    <cellStyle name="Normal 121 2" xfId="3220" xr:uid="{00000000-0005-0000-0000-0000AD270000}"/>
    <cellStyle name="Normal 121 2 2" xfId="3221" xr:uid="{00000000-0005-0000-0000-0000AE270000}"/>
    <cellStyle name="Normal 121 2 2 2" xfId="3222" xr:uid="{00000000-0005-0000-0000-0000AF270000}"/>
    <cellStyle name="Normal 121 2 2 2 2" xfId="7410" xr:uid="{00000000-0005-0000-0000-0000B0270000}"/>
    <cellStyle name="Normal 121 2 2 2 2 2" xfId="16773" xr:uid="{00000000-0005-0000-0000-0000B1270000}"/>
    <cellStyle name="Normal 121 2 2 2 2 2 2" xfId="33347" xr:uid="{00000000-0005-0000-0000-0000B2270000}"/>
    <cellStyle name="Normal 121 2 2 2 2 3" xfId="25300" xr:uid="{00000000-0005-0000-0000-0000B3270000}"/>
    <cellStyle name="Normal 121 2 2 2 3" xfId="12882" xr:uid="{00000000-0005-0000-0000-0000B4270000}"/>
    <cellStyle name="Normal 121 2 2 2 3 2" xfId="29409" xr:uid="{00000000-0005-0000-0000-0000B5270000}"/>
    <cellStyle name="Normal 121 2 2 2 4" xfId="21366" xr:uid="{00000000-0005-0000-0000-0000B6270000}"/>
    <cellStyle name="Normal 121 2 2 3" xfId="7411" xr:uid="{00000000-0005-0000-0000-0000B7270000}"/>
    <cellStyle name="Normal 121 2 2 3 2" xfId="16774" xr:uid="{00000000-0005-0000-0000-0000B8270000}"/>
    <cellStyle name="Normal 121 2 2 3 2 2" xfId="33348" xr:uid="{00000000-0005-0000-0000-0000B9270000}"/>
    <cellStyle name="Normal 121 2 2 3 3" xfId="25301" xr:uid="{00000000-0005-0000-0000-0000BA270000}"/>
    <cellStyle name="Normal 121 2 2 4" xfId="12881" xr:uid="{00000000-0005-0000-0000-0000BB270000}"/>
    <cellStyle name="Normal 121 2 2 4 2" xfId="29408" xr:uid="{00000000-0005-0000-0000-0000BC270000}"/>
    <cellStyle name="Normal 121 2 2 5" xfId="21365" xr:uid="{00000000-0005-0000-0000-0000BD270000}"/>
    <cellStyle name="Normal 121 2 3" xfId="3223" xr:uid="{00000000-0005-0000-0000-0000BE270000}"/>
    <cellStyle name="Normal 121 2 3 2" xfId="7412" xr:uid="{00000000-0005-0000-0000-0000BF270000}"/>
    <cellStyle name="Normal 121 2 3 2 2" xfId="16775" xr:uid="{00000000-0005-0000-0000-0000C0270000}"/>
    <cellStyle name="Normal 121 2 3 2 2 2" xfId="33349" xr:uid="{00000000-0005-0000-0000-0000C1270000}"/>
    <cellStyle name="Normal 121 2 3 2 3" xfId="25302" xr:uid="{00000000-0005-0000-0000-0000C2270000}"/>
    <cellStyle name="Normal 121 2 3 3" xfId="12883" xr:uid="{00000000-0005-0000-0000-0000C3270000}"/>
    <cellStyle name="Normal 121 2 3 3 2" xfId="29410" xr:uid="{00000000-0005-0000-0000-0000C4270000}"/>
    <cellStyle name="Normal 121 2 3 4" xfId="21367" xr:uid="{00000000-0005-0000-0000-0000C5270000}"/>
    <cellStyle name="Normal 121 2 4" xfId="7413" xr:uid="{00000000-0005-0000-0000-0000C6270000}"/>
    <cellStyle name="Normal 121 2 4 2" xfId="16776" xr:uid="{00000000-0005-0000-0000-0000C7270000}"/>
    <cellStyle name="Normal 121 2 4 2 2" xfId="33350" xr:uid="{00000000-0005-0000-0000-0000C8270000}"/>
    <cellStyle name="Normal 121 2 4 3" xfId="25303" xr:uid="{00000000-0005-0000-0000-0000C9270000}"/>
    <cellStyle name="Normal 121 2 5" xfId="12880" xr:uid="{00000000-0005-0000-0000-0000CA270000}"/>
    <cellStyle name="Normal 121 2 5 2" xfId="29407" xr:uid="{00000000-0005-0000-0000-0000CB270000}"/>
    <cellStyle name="Normal 121 2 6" xfId="21364" xr:uid="{00000000-0005-0000-0000-0000CC270000}"/>
    <cellStyle name="Normal 121 3" xfId="3224" xr:uid="{00000000-0005-0000-0000-0000CD270000}"/>
    <cellStyle name="Normal 121 3 2" xfId="3225" xr:uid="{00000000-0005-0000-0000-0000CE270000}"/>
    <cellStyle name="Normal 121 3 2 2" xfId="7414" xr:uid="{00000000-0005-0000-0000-0000CF270000}"/>
    <cellStyle name="Normal 121 3 2 2 2" xfId="16777" xr:uid="{00000000-0005-0000-0000-0000D0270000}"/>
    <cellStyle name="Normal 121 3 2 2 2 2" xfId="33351" xr:uid="{00000000-0005-0000-0000-0000D1270000}"/>
    <cellStyle name="Normal 121 3 2 2 3" xfId="25304" xr:uid="{00000000-0005-0000-0000-0000D2270000}"/>
    <cellStyle name="Normal 121 3 2 3" xfId="12885" xr:uid="{00000000-0005-0000-0000-0000D3270000}"/>
    <cellStyle name="Normal 121 3 2 3 2" xfId="29412" xr:uid="{00000000-0005-0000-0000-0000D4270000}"/>
    <cellStyle name="Normal 121 3 2 4" xfId="21369" xr:uid="{00000000-0005-0000-0000-0000D5270000}"/>
    <cellStyle name="Normal 121 3 3" xfId="7415" xr:uid="{00000000-0005-0000-0000-0000D6270000}"/>
    <cellStyle name="Normal 121 3 3 2" xfId="16778" xr:uid="{00000000-0005-0000-0000-0000D7270000}"/>
    <cellStyle name="Normal 121 3 3 2 2" xfId="33352" xr:uid="{00000000-0005-0000-0000-0000D8270000}"/>
    <cellStyle name="Normal 121 3 3 3" xfId="25305" xr:uid="{00000000-0005-0000-0000-0000D9270000}"/>
    <cellStyle name="Normal 121 3 4" xfId="12884" xr:uid="{00000000-0005-0000-0000-0000DA270000}"/>
    <cellStyle name="Normal 121 3 4 2" xfId="29411" xr:uid="{00000000-0005-0000-0000-0000DB270000}"/>
    <cellStyle name="Normal 121 3 5" xfId="21368" xr:uid="{00000000-0005-0000-0000-0000DC270000}"/>
    <cellStyle name="Normal 121 4" xfId="3226" xr:uid="{00000000-0005-0000-0000-0000DD270000}"/>
    <cellStyle name="Normal 121 4 2" xfId="7416" xr:uid="{00000000-0005-0000-0000-0000DE270000}"/>
    <cellStyle name="Normal 121 4 2 2" xfId="16779" xr:uid="{00000000-0005-0000-0000-0000DF270000}"/>
    <cellStyle name="Normal 121 4 2 2 2" xfId="33353" xr:uid="{00000000-0005-0000-0000-0000E0270000}"/>
    <cellStyle name="Normal 121 4 2 3" xfId="25306" xr:uid="{00000000-0005-0000-0000-0000E1270000}"/>
    <cellStyle name="Normal 121 4 3" xfId="12886" xr:uid="{00000000-0005-0000-0000-0000E2270000}"/>
    <cellStyle name="Normal 121 4 3 2" xfId="29413" xr:uid="{00000000-0005-0000-0000-0000E3270000}"/>
    <cellStyle name="Normal 121 4 4" xfId="21370" xr:uid="{00000000-0005-0000-0000-0000E4270000}"/>
    <cellStyle name="Normal 121 5" xfId="7417" xr:uid="{00000000-0005-0000-0000-0000E5270000}"/>
    <cellStyle name="Normal 121 5 2" xfId="16780" xr:uid="{00000000-0005-0000-0000-0000E6270000}"/>
    <cellStyle name="Normal 121 5 2 2" xfId="33354" xr:uid="{00000000-0005-0000-0000-0000E7270000}"/>
    <cellStyle name="Normal 121 5 3" xfId="25307" xr:uid="{00000000-0005-0000-0000-0000E8270000}"/>
    <cellStyle name="Normal 122" xfId="3227" xr:uid="{00000000-0005-0000-0000-0000E9270000}"/>
    <cellStyle name="Normal 122 2" xfId="3228" xr:uid="{00000000-0005-0000-0000-0000EA270000}"/>
    <cellStyle name="Normal 122 2 2" xfId="3229" xr:uid="{00000000-0005-0000-0000-0000EB270000}"/>
    <cellStyle name="Normal 122 2 2 2" xfId="3230" xr:uid="{00000000-0005-0000-0000-0000EC270000}"/>
    <cellStyle name="Normal 122 2 2 2 2" xfId="7418" xr:uid="{00000000-0005-0000-0000-0000ED270000}"/>
    <cellStyle name="Normal 122 2 2 2 2 2" xfId="16781" xr:uid="{00000000-0005-0000-0000-0000EE270000}"/>
    <cellStyle name="Normal 122 2 2 2 2 2 2" xfId="33355" xr:uid="{00000000-0005-0000-0000-0000EF270000}"/>
    <cellStyle name="Normal 122 2 2 2 2 3" xfId="25308" xr:uid="{00000000-0005-0000-0000-0000F0270000}"/>
    <cellStyle name="Normal 122 2 2 2 3" xfId="12889" xr:uid="{00000000-0005-0000-0000-0000F1270000}"/>
    <cellStyle name="Normal 122 2 2 2 3 2" xfId="29416" xr:uid="{00000000-0005-0000-0000-0000F2270000}"/>
    <cellStyle name="Normal 122 2 2 2 4" xfId="21373" xr:uid="{00000000-0005-0000-0000-0000F3270000}"/>
    <cellStyle name="Normal 122 2 2 3" xfId="7419" xr:uid="{00000000-0005-0000-0000-0000F4270000}"/>
    <cellStyle name="Normal 122 2 2 3 2" xfId="16782" xr:uid="{00000000-0005-0000-0000-0000F5270000}"/>
    <cellStyle name="Normal 122 2 2 3 2 2" xfId="33356" xr:uid="{00000000-0005-0000-0000-0000F6270000}"/>
    <cellStyle name="Normal 122 2 2 3 3" xfId="25309" xr:uid="{00000000-0005-0000-0000-0000F7270000}"/>
    <cellStyle name="Normal 122 2 2 4" xfId="12888" xr:uid="{00000000-0005-0000-0000-0000F8270000}"/>
    <cellStyle name="Normal 122 2 2 4 2" xfId="29415" xr:uid="{00000000-0005-0000-0000-0000F9270000}"/>
    <cellStyle name="Normal 122 2 2 5" xfId="21372" xr:uid="{00000000-0005-0000-0000-0000FA270000}"/>
    <cellStyle name="Normal 122 2 3" xfId="3231" xr:uid="{00000000-0005-0000-0000-0000FB270000}"/>
    <cellStyle name="Normal 122 2 3 2" xfId="7420" xr:uid="{00000000-0005-0000-0000-0000FC270000}"/>
    <cellStyle name="Normal 122 2 3 2 2" xfId="16783" xr:uid="{00000000-0005-0000-0000-0000FD270000}"/>
    <cellStyle name="Normal 122 2 3 2 2 2" xfId="33357" xr:uid="{00000000-0005-0000-0000-0000FE270000}"/>
    <cellStyle name="Normal 122 2 3 2 3" xfId="25310" xr:uid="{00000000-0005-0000-0000-0000FF270000}"/>
    <cellStyle name="Normal 122 2 3 3" xfId="12890" xr:uid="{00000000-0005-0000-0000-000000280000}"/>
    <cellStyle name="Normal 122 2 3 3 2" xfId="29417" xr:uid="{00000000-0005-0000-0000-000001280000}"/>
    <cellStyle name="Normal 122 2 3 4" xfId="21374" xr:uid="{00000000-0005-0000-0000-000002280000}"/>
    <cellStyle name="Normal 122 2 4" xfId="7421" xr:uid="{00000000-0005-0000-0000-000003280000}"/>
    <cellStyle name="Normal 122 2 4 2" xfId="16784" xr:uid="{00000000-0005-0000-0000-000004280000}"/>
    <cellStyle name="Normal 122 2 4 2 2" xfId="33358" xr:uid="{00000000-0005-0000-0000-000005280000}"/>
    <cellStyle name="Normal 122 2 4 3" xfId="25311" xr:uid="{00000000-0005-0000-0000-000006280000}"/>
    <cellStyle name="Normal 122 2 5" xfId="12887" xr:uid="{00000000-0005-0000-0000-000007280000}"/>
    <cellStyle name="Normal 122 2 5 2" xfId="29414" xr:uid="{00000000-0005-0000-0000-000008280000}"/>
    <cellStyle name="Normal 122 2 6" xfId="21371" xr:uid="{00000000-0005-0000-0000-000009280000}"/>
    <cellStyle name="Normal 122 3" xfId="3232" xr:uid="{00000000-0005-0000-0000-00000A280000}"/>
    <cellStyle name="Normal 122 3 2" xfId="3233" xr:uid="{00000000-0005-0000-0000-00000B280000}"/>
    <cellStyle name="Normal 122 3 2 2" xfId="7422" xr:uid="{00000000-0005-0000-0000-00000C280000}"/>
    <cellStyle name="Normal 122 3 2 2 2" xfId="16785" xr:uid="{00000000-0005-0000-0000-00000D280000}"/>
    <cellStyle name="Normal 122 3 2 2 2 2" xfId="33359" xr:uid="{00000000-0005-0000-0000-00000E280000}"/>
    <cellStyle name="Normal 122 3 2 2 3" xfId="25312" xr:uid="{00000000-0005-0000-0000-00000F280000}"/>
    <cellStyle name="Normal 122 3 2 3" xfId="12892" xr:uid="{00000000-0005-0000-0000-000010280000}"/>
    <cellStyle name="Normal 122 3 2 3 2" xfId="29419" xr:uid="{00000000-0005-0000-0000-000011280000}"/>
    <cellStyle name="Normal 122 3 2 4" xfId="21376" xr:uid="{00000000-0005-0000-0000-000012280000}"/>
    <cellStyle name="Normal 122 3 3" xfId="7423" xr:uid="{00000000-0005-0000-0000-000013280000}"/>
    <cellStyle name="Normal 122 3 3 2" xfId="16786" xr:uid="{00000000-0005-0000-0000-000014280000}"/>
    <cellStyle name="Normal 122 3 3 2 2" xfId="33360" xr:uid="{00000000-0005-0000-0000-000015280000}"/>
    <cellStyle name="Normal 122 3 3 3" xfId="25313" xr:uid="{00000000-0005-0000-0000-000016280000}"/>
    <cellStyle name="Normal 122 3 4" xfId="12891" xr:uid="{00000000-0005-0000-0000-000017280000}"/>
    <cellStyle name="Normal 122 3 4 2" xfId="29418" xr:uid="{00000000-0005-0000-0000-000018280000}"/>
    <cellStyle name="Normal 122 3 5" xfId="21375" xr:uid="{00000000-0005-0000-0000-000019280000}"/>
    <cellStyle name="Normal 122 4" xfId="3234" xr:uid="{00000000-0005-0000-0000-00001A280000}"/>
    <cellStyle name="Normal 122 4 2" xfId="7424" xr:uid="{00000000-0005-0000-0000-00001B280000}"/>
    <cellStyle name="Normal 122 4 2 2" xfId="16787" xr:uid="{00000000-0005-0000-0000-00001C280000}"/>
    <cellStyle name="Normal 122 4 2 2 2" xfId="33361" xr:uid="{00000000-0005-0000-0000-00001D280000}"/>
    <cellStyle name="Normal 122 4 2 3" xfId="25314" xr:uid="{00000000-0005-0000-0000-00001E280000}"/>
    <cellStyle name="Normal 122 4 3" xfId="12893" xr:uid="{00000000-0005-0000-0000-00001F280000}"/>
    <cellStyle name="Normal 122 4 3 2" xfId="29420" xr:uid="{00000000-0005-0000-0000-000020280000}"/>
    <cellStyle name="Normal 122 4 4" xfId="21377" xr:uid="{00000000-0005-0000-0000-000021280000}"/>
    <cellStyle name="Normal 122 5" xfId="3235" xr:uid="{00000000-0005-0000-0000-000022280000}"/>
    <cellStyle name="Normal 122 5 2" xfId="12894" xr:uid="{00000000-0005-0000-0000-000023280000}"/>
    <cellStyle name="Normal 122 5 2 2" xfId="29421" xr:uid="{00000000-0005-0000-0000-000024280000}"/>
    <cellStyle name="Normal 122 5 3" xfId="21378" xr:uid="{00000000-0005-0000-0000-000025280000}"/>
    <cellStyle name="Normal 123" xfId="3236" xr:uid="{00000000-0005-0000-0000-000026280000}"/>
    <cellStyle name="Normal 123 2" xfId="3237" xr:uid="{00000000-0005-0000-0000-000027280000}"/>
    <cellStyle name="Normal 123 2 2" xfId="7425" xr:uid="{00000000-0005-0000-0000-000028280000}"/>
    <cellStyle name="Normal 123 2 2 2" xfId="16788" xr:uid="{00000000-0005-0000-0000-000029280000}"/>
    <cellStyle name="Normal 123 2 2 2 2" xfId="33362" xr:uid="{00000000-0005-0000-0000-00002A280000}"/>
    <cellStyle name="Normal 123 2 2 3" xfId="25315" xr:uid="{00000000-0005-0000-0000-00002B280000}"/>
    <cellStyle name="Normal 123 2 3" xfId="12896" xr:uid="{00000000-0005-0000-0000-00002C280000}"/>
    <cellStyle name="Normal 123 2 3 2" xfId="29423" xr:uid="{00000000-0005-0000-0000-00002D280000}"/>
    <cellStyle name="Normal 123 2 4" xfId="21380" xr:uid="{00000000-0005-0000-0000-00002E280000}"/>
    <cellStyle name="Normal 123 3" xfId="3238" xr:uid="{00000000-0005-0000-0000-00002F280000}"/>
    <cellStyle name="Normal 123 3 2" xfId="12897" xr:uid="{00000000-0005-0000-0000-000030280000}"/>
    <cellStyle name="Normal 123 3 2 2" xfId="29424" xr:uid="{00000000-0005-0000-0000-000031280000}"/>
    <cellStyle name="Normal 123 3 3" xfId="21381" xr:uid="{00000000-0005-0000-0000-000032280000}"/>
    <cellStyle name="Normal 123 4" xfId="12895" xr:uid="{00000000-0005-0000-0000-000033280000}"/>
    <cellStyle name="Normal 123 4 2" xfId="29422" xr:uid="{00000000-0005-0000-0000-000034280000}"/>
    <cellStyle name="Normal 123 5" xfId="21379" xr:uid="{00000000-0005-0000-0000-000035280000}"/>
    <cellStyle name="Normal 124" xfId="3239" xr:uid="{00000000-0005-0000-0000-000036280000}"/>
    <cellStyle name="Normal 124 2" xfId="3240" xr:uid="{00000000-0005-0000-0000-000037280000}"/>
    <cellStyle name="Normal 124 3" xfId="12898" xr:uid="{00000000-0005-0000-0000-000038280000}"/>
    <cellStyle name="Normal 124 3 2" xfId="29425" xr:uid="{00000000-0005-0000-0000-000039280000}"/>
    <cellStyle name="Normal 124 4" xfId="21382" xr:uid="{00000000-0005-0000-0000-00003A280000}"/>
    <cellStyle name="Normal 125" xfId="3241" xr:uid="{00000000-0005-0000-0000-00003B280000}"/>
    <cellStyle name="Normal 125 2" xfId="7426" xr:uid="{00000000-0005-0000-0000-00003C280000}"/>
    <cellStyle name="Normal 125 2 2" xfId="16789" xr:uid="{00000000-0005-0000-0000-00003D280000}"/>
    <cellStyle name="Normal 125 2 2 2" xfId="33363" xr:uid="{00000000-0005-0000-0000-00003E280000}"/>
    <cellStyle name="Normal 125 2 3" xfId="25316" xr:uid="{00000000-0005-0000-0000-00003F280000}"/>
    <cellStyle name="Normal 125 3" xfId="12899" xr:uid="{00000000-0005-0000-0000-000040280000}"/>
    <cellStyle name="Normal 125 3 2" xfId="29426" xr:uid="{00000000-0005-0000-0000-000041280000}"/>
    <cellStyle name="Normal 125 4" xfId="21383" xr:uid="{00000000-0005-0000-0000-000042280000}"/>
    <cellStyle name="Normal 126" xfId="3242" xr:uid="{00000000-0005-0000-0000-000043280000}"/>
    <cellStyle name="Normal 126 2" xfId="7427" xr:uid="{00000000-0005-0000-0000-000044280000}"/>
    <cellStyle name="Normal 127" xfId="3243" xr:uid="{00000000-0005-0000-0000-000045280000}"/>
    <cellStyle name="Normal 127 2" xfId="12900" xr:uid="{00000000-0005-0000-0000-000046280000}"/>
    <cellStyle name="Normal 127 2 2" xfId="29427" xr:uid="{00000000-0005-0000-0000-000047280000}"/>
    <cellStyle name="Normal 127 3" xfId="21384" xr:uid="{00000000-0005-0000-0000-000048280000}"/>
    <cellStyle name="Normal 128" xfId="3244" xr:uid="{00000000-0005-0000-0000-000049280000}"/>
    <cellStyle name="Normal 128 2" xfId="12901" xr:uid="{00000000-0005-0000-0000-00004A280000}"/>
    <cellStyle name="Normal 128 2 2" xfId="29428" xr:uid="{00000000-0005-0000-0000-00004B280000}"/>
    <cellStyle name="Normal 128 3" xfId="21385" xr:uid="{00000000-0005-0000-0000-00004C280000}"/>
    <cellStyle name="Normal 129" xfId="3245" xr:uid="{00000000-0005-0000-0000-00004D280000}"/>
    <cellStyle name="Normal 129 2" xfId="3246" xr:uid="{00000000-0005-0000-0000-00004E280000}"/>
    <cellStyle name="Normal 129 3" xfId="7428" xr:uid="{00000000-0005-0000-0000-00004F280000}"/>
    <cellStyle name="Normal 129 3 2" xfId="16790" xr:uid="{00000000-0005-0000-0000-000050280000}"/>
    <cellStyle name="Normal 129 3 2 2" xfId="33364" xr:uid="{00000000-0005-0000-0000-000051280000}"/>
    <cellStyle name="Normal 129 3 3" xfId="25317" xr:uid="{00000000-0005-0000-0000-000052280000}"/>
    <cellStyle name="Normal 13" xfId="1557" xr:uid="{00000000-0005-0000-0000-000053280000}"/>
    <cellStyle name="Normal 13 10" xfId="3247" xr:uid="{00000000-0005-0000-0000-000054280000}"/>
    <cellStyle name="Normal 13 10 2" xfId="29429" xr:uid="{00000000-0005-0000-0000-000055280000}"/>
    <cellStyle name="Normal 13 11" xfId="21386" xr:uid="{00000000-0005-0000-0000-000056280000}"/>
    <cellStyle name="Normal 13 2" xfId="1604" xr:uid="{00000000-0005-0000-0000-000057280000}"/>
    <cellStyle name="Normal 13 2 2" xfId="3249" xr:uid="{00000000-0005-0000-0000-000058280000}"/>
    <cellStyle name="Normal 13 2 3" xfId="3248" xr:uid="{00000000-0005-0000-0000-000059280000}"/>
    <cellStyle name="Normal 13 2 3 2" xfId="29430" xr:uid="{00000000-0005-0000-0000-00005A280000}"/>
    <cellStyle name="Normal 13 2 4" xfId="21387" xr:uid="{00000000-0005-0000-0000-00005B280000}"/>
    <cellStyle name="Normal 13 3" xfId="3250" xr:uid="{00000000-0005-0000-0000-00005C280000}"/>
    <cellStyle name="Normal 13 3 2" xfId="3251" xr:uid="{00000000-0005-0000-0000-00005D280000}"/>
    <cellStyle name="Normal 13 3 2 2" xfId="3252" xr:uid="{00000000-0005-0000-0000-00005E280000}"/>
    <cellStyle name="Normal 13 3 2 2 2" xfId="3253" xr:uid="{00000000-0005-0000-0000-00005F280000}"/>
    <cellStyle name="Normal 13 3 2 2 2 2" xfId="3254" xr:uid="{00000000-0005-0000-0000-000060280000}"/>
    <cellStyle name="Normal 13 3 2 2 2 2 2" xfId="12905" xr:uid="{00000000-0005-0000-0000-000061280000}"/>
    <cellStyle name="Normal 13 3 2 2 2 2 2 2" xfId="29434" xr:uid="{00000000-0005-0000-0000-000062280000}"/>
    <cellStyle name="Normal 13 3 2 2 2 2 3" xfId="21391" xr:uid="{00000000-0005-0000-0000-000063280000}"/>
    <cellStyle name="Normal 13 3 2 2 2 3" xfId="12904" xr:uid="{00000000-0005-0000-0000-000064280000}"/>
    <cellStyle name="Normal 13 3 2 2 2 3 2" xfId="29433" xr:uid="{00000000-0005-0000-0000-000065280000}"/>
    <cellStyle name="Normal 13 3 2 2 2 4" xfId="21390" xr:uid="{00000000-0005-0000-0000-000066280000}"/>
    <cellStyle name="Normal 13 3 2 2 3" xfId="7429" xr:uid="{00000000-0005-0000-0000-000067280000}"/>
    <cellStyle name="Normal 13 3 2 2 3 2" xfId="16791" xr:uid="{00000000-0005-0000-0000-000068280000}"/>
    <cellStyle name="Normal 13 3 2 2 3 2 2" xfId="33365" xr:uid="{00000000-0005-0000-0000-000069280000}"/>
    <cellStyle name="Normal 13 3 2 2 3 3" xfId="25318" xr:uid="{00000000-0005-0000-0000-00006A280000}"/>
    <cellStyle name="Normal 13 3 2 2 4" xfId="12903" xr:uid="{00000000-0005-0000-0000-00006B280000}"/>
    <cellStyle name="Normal 13 3 2 2 4 2" xfId="29432" xr:uid="{00000000-0005-0000-0000-00006C280000}"/>
    <cellStyle name="Normal 13 3 2 2 5" xfId="21389" xr:uid="{00000000-0005-0000-0000-00006D280000}"/>
    <cellStyle name="Normal 13 3 2 3" xfId="3255" xr:uid="{00000000-0005-0000-0000-00006E280000}"/>
    <cellStyle name="Normal 13 3 2 3 2" xfId="7430" xr:uid="{00000000-0005-0000-0000-00006F280000}"/>
    <cellStyle name="Normal 13 3 2 3 2 2" xfId="16792" xr:uid="{00000000-0005-0000-0000-000070280000}"/>
    <cellStyle name="Normal 13 3 2 3 2 2 2" xfId="33366" xr:uid="{00000000-0005-0000-0000-000071280000}"/>
    <cellStyle name="Normal 13 3 2 3 2 3" xfId="25319" xr:uid="{00000000-0005-0000-0000-000072280000}"/>
    <cellStyle name="Normal 13 3 2 3 3" xfId="12906" xr:uid="{00000000-0005-0000-0000-000073280000}"/>
    <cellStyle name="Normal 13 3 2 3 3 2" xfId="29435" xr:uid="{00000000-0005-0000-0000-000074280000}"/>
    <cellStyle name="Normal 13 3 2 3 4" xfId="21392" xr:uid="{00000000-0005-0000-0000-000075280000}"/>
    <cellStyle name="Normal 13 3 2 4" xfId="7431" xr:uid="{00000000-0005-0000-0000-000076280000}"/>
    <cellStyle name="Normal 13 3 2 4 2" xfId="16793" xr:uid="{00000000-0005-0000-0000-000077280000}"/>
    <cellStyle name="Normal 13 3 2 4 2 2" xfId="33367" xr:uid="{00000000-0005-0000-0000-000078280000}"/>
    <cellStyle name="Normal 13 3 2 4 3" xfId="25320" xr:uid="{00000000-0005-0000-0000-000079280000}"/>
    <cellStyle name="Normal 13 3 2 5" xfId="12902" xr:uid="{00000000-0005-0000-0000-00007A280000}"/>
    <cellStyle name="Normal 13 3 2 5 2" xfId="29431" xr:uid="{00000000-0005-0000-0000-00007B280000}"/>
    <cellStyle name="Normal 13 3 2 6" xfId="21388" xr:uid="{00000000-0005-0000-0000-00007C280000}"/>
    <cellStyle name="Normal 13 3 3" xfId="3256" xr:uid="{00000000-0005-0000-0000-00007D280000}"/>
    <cellStyle name="Normal 13 3 3 2" xfId="3257" xr:uid="{00000000-0005-0000-0000-00007E280000}"/>
    <cellStyle name="Normal 13 3 3 2 2" xfId="7432" xr:uid="{00000000-0005-0000-0000-00007F280000}"/>
    <cellStyle name="Normal 13 3 3 2 2 2" xfId="16794" xr:uid="{00000000-0005-0000-0000-000080280000}"/>
    <cellStyle name="Normal 13 3 3 2 2 2 2" xfId="33368" xr:uid="{00000000-0005-0000-0000-000081280000}"/>
    <cellStyle name="Normal 13 3 3 2 2 3" xfId="25321" xr:uid="{00000000-0005-0000-0000-000082280000}"/>
    <cellStyle name="Normal 13 3 3 2 3" xfId="12908" xr:uid="{00000000-0005-0000-0000-000083280000}"/>
    <cellStyle name="Normal 13 3 3 2 3 2" xfId="29437" xr:uid="{00000000-0005-0000-0000-000084280000}"/>
    <cellStyle name="Normal 13 3 3 2 4" xfId="21394" xr:uid="{00000000-0005-0000-0000-000085280000}"/>
    <cellStyle name="Normal 13 3 3 3" xfId="7433" xr:uid="{00000000-0005-0000-0000-000086280000}"/>
    <cellStyle name="Normal 13 3 3 3 2" xfId="16795" xr:uid="{00000000-0005-0000-0000-000087280000}"/>
    <cellStyle name="Normal 13 3 3 3 2 2" xfId="33369" xr:uid="{00000000-0005-0000-0000-000088280000}"/>
    <cellStyle name="Normal 13 3 3 3 3" xfId="25322" xr:uid="{00000000-0005-0000-0000-000089280000}"/>
    <cellStyle name="Normal 13 3 3 4" xfId="12907" xr:uid="{00000000-0005-0000-0000-00008A280000}"/>
    <cellStyle name="Normal 13 3 3 4 2" xfId="29436" xr:uid="{00000000-0005-0000-0000-00008B280000}"/>
    <cellStyle name="Normal 13 3 3 5" xfId="21393" xr:uid="{00000000-0005-0000-0000-00008C280000}"/>
    <cellStyle name="Normal 13 3 4" xfId="3258" xr:uid="{00000000-0005-0000-0000-00008D280000}"/>
    <cellStyle name="Normal 13 3 4 2" xfId="7434" xr:uid="{00000000-0005-0000-0000-00008E280000}"/>
    <cellStyle name="Normal 13 3 4 2 2" xfId="16796" xr:uid="{00000000-0005-0000-0000-00008F280000}"/>
    <cellStyle name="Normal 13 3 4 2 2 2" xfId="33370" xr:uid="{00000000-0005-0000-0000-000090280000}"/>
    <cellStyle name="Normal 13 3 4 2 3" xfId="25323" xr:uid="{00000000-0005-0000-0000-000091280000}"/>
    <cellStyle name="Normal 13 3 4 3" xfId="12909" xr:uid="{00000000-0005-0000-0000-000092280000}"/>
    <cellStyle name="Normal 13 3 4 3 2" xfId="29438" xr:uid="{00000000-0005-0000-0000-000093280000}"/>
    <cellStyle name="Normal 13 3 4 4" xfId="21395" xr:uid="{00000000-0005-0000-0000-000094280000}"/>
    <cellStyle name="Normal 13 3 5" xfId="7435" xr:uid="{00000000-0005-0000-0000-000095280000}"/>
    <cellStyle name="Normal 13 3 5 2" xfId="16797" xr:uid="{00000000-0005-0000-0000-000096280000}"/>
    <cellStyle name="Normal 13 3 5 2 2" xfId="33371" xr:uid="{00000000-0005-0000-0000-000097280000}"/>
    <cellStyle name="Normal 13 3 5 3" xfId="25324" xr:uid="{00000000-0005-0000-0000-000098280000}"/>
    <cellStyle name="Normal 13 4" xfId="3259" xr:uid="{00000000-0005-0000-0000-000099280000}"/>
    <cellStyle name="Normal 13 4 2" xfId="3260" xr:uid="{00000000-0005-0000-0000-00009A280000}"/>
    <cellStyle name="Normal 13 4 2 2" xfId="3261" xr:uid="{00000000-0005-0000-0000-00009B280000}"/>
    <cellStyle name="Normal 13 4 2 2 2" xfId="3262" xr:uid="{00000000-0005-0000-0000-00009C280000}"/>
    <cellStyle name="Normal 13 4 2 2 2 2" xfId="7436" xr:uid="{00000000-0005-0000-0000-00009D280000}"/>
    <cellStyle name="Normal 13 4 2 2 2 2 2" xfId="16798" xr:uid="{00000000-0005-0000-0000-00009E280000}"/>
    <cellStyle name="Normal 13 4 2 2 2 2 2 2" xfId="33372" xr:uid="{00000000-0005-0000-0000-00009F280000}"/>
    <cellStyle name="Normal 13 4 2 2 2 2 3" xfId="25325" xr:uid="{00000000-0005-0000-0000-0000A0280000}"/>
    <cellStyle name="Normal 13 4 2 2 2 3" xfId="12913" xr:uid="{00000000-0005-0000-0000-0000A1280000}"/>
    <cellStyle name="Normal 13 4 2 2 2 3 2" xfId="29442" xr:uid="{00000000-0005-0000-0000-0000A2280000}"/>
    <cellStyle name="Normal 13 4 2 2 2 4" xfId="21399" xr:uid="{00000000-0005-0000-0000-0000A3280000}"/>
    <cellStyle name="Normal 13 4 2 2 3" xfId="7437" xr:uid="{00000000-0005-0000-0000-0000A4280000}"/>
    <cellStyle name="Normal 13 4 2 2 3 2" xfId="16799" xr:uid="{00000000-0005-0000-0000-0000A5280000}"/>
    <cellStyle name="Normal 13 4 2 2 3 2 2" xfId="33373" xr:uid="{00000000-0005-0000-0000-0000A6280000}"/>
    <cellStyle name="Normal 13 4 2 2 3 3" xfId="25326" xr:uid="{00000000-0005-0000-0000-0000A7280000}"/>
    <cellStyle name="Normal 13 4 2 2 4" xfId="12912" xr:uid="{00000000-0005-0000-0000-0000A8280000}"/>
    <cellStyle name="Normal 13 4 2 2 4 2" xfId="29441" xr:uid="{00000000-0005-0000-0000-0000A9280000}"/>
    <cellStyle name="Normal 13 4 2 2 5" xfId="21398" xr:uid="{00000000-0005-0000-0000-0000AA280000}"/>
    <cellStyle name="Normal 13 4 2 3" xfId="3263" xr:uid="{00000000-0005-0000-0000-0000AB280000}"/>
    <cellStyle name="Normal 13 4 2 3 2" xfId="7438" xr:uid="{00000000-0005-0000-0000-0000AC280000}"/>
    <cellStyle name="Normal 13 4 2 3 2 2" xfId="16800" xr:uid="{00000000-0005-0000-0000-0000AD280000}"/>
    <cellStyle name="Normal 13 4 2 3 2 2 2" xfId="33374" xr:uid="{00000000-0005-0000-0000-0000AE280000}"/>
    <cellStyle name="Normal 13 4 2 3 2 3" xfId="25327" xr:uid="{00000000-0005-0000-0000-0000AF280000}"/>
    <cellStyle name="Normal 13 4 2 3 3" xfId="12914" xr:uid="{00000000-0005-0000-0000-0000B0280000}"/>
    <cellStyle name="Normal 13 4 2 3 3 2" xfId="29443" xr:uid="{00000000-0005-0000-0000-0000B1280000}"/>
    <cellStyle name="Normal 13 4 2 3 4" xfId="21400" xr:uid="{00000000-0005-0000-0000-0000B2280000}"/>
    <cellStyle name="Normal 13 4 2 4" xfId="7439" xr:uid="{00000000-0005-0000-0000-0000B3280000}"/>
    <cellStyle name="Normal 13 4 2 4 2" xfId="16801" xr:uid="{00000000-0005-0000-0000-0000B4280000}"/>
    <cellStyle name="Normal 13 4 2 4 2 2" xfId="33375" xr:uid="{00000000-0005-0000-0000-0000B5280000}"/>
    <cellStyle name="Normal 13 4 2 4 3" xfId="25328" xr:uid="{00000000-0005-0000-0000-0000B6280000}"/>
    <cellStyle name="Normal 13 4 2 5" xfId="12911" xr:uid="{00000000-0005-0000-0000-0000B7280000}"/>
    <cellStyle name="Normal 13 4 2 5 2" xfId="29440" xr:uid="{00000000-0005-0000-0000-0000B8280000}"/>
    <cellStyle name="Normal 13 4 2 6" xfId="21397" xr:uid="{00000000-0005-0000-0000-0000B9280000}"/>
    <cellStyle name="Normal 13 4 3" xfId="3264" xr:uid="{00000000-0005-0000-0000-0000BA280000}"/>
    <cellStyle name="Normal 13 4 3 2" xfId="3265" xr:uid="{00000000-0005-0000-0000-0000BB280000}"/>
    <cellStyle name="Normal 13 4 3 2 2" xfId="7440" xr:uid="{00000000-0005-0000-0000-0000BC280000}"/>
    <cellStyle name="Normal 13 4 3 2 2 2" xfId="16802" xr:uid="{00000000-0005-0000-0000-0000BD280000}"/>
    <cellStyle name="Normal 13 4 3 2 2 2 2" xfId="33376" xr:uid="{00000000-0005-0000-0000-0000BE280000}"/>
    <cellStyle name="Normal 13 4 3 2 2 3" xfId="25329" xr:uid="{00000000-0005-0000-0000-0000BF280000}"/>
    <cellStyle name="Normal 13 4 3 2 3" xfId="12916" xr:uid="{00000000-0005-0000-0000-0000C0280000}"/>
    <cellStyle name="Normal 13 4 3 2 3 2" xfId="29445" xr:uid="{00000000-0005-0000-0000-0000C1280000}"/>
    <cellStyle name="Normal 13 4 3 2 4" xfId="21402" xr:uid="{00000000-0005-0000-0000-0000C2280000}"/>
    <cellStyle name="Normal 13 4 3 3" xfId="7441" xr:uid="{00000000-0005-0000-0000-0000C3280000}"/>
    <cellStyle name="Normal 13 4 3 3 2" xfId="16803" xr:uid="{00000000-0005-0000-0000-0000C4280000}"/>
    <cellStyle name="Normal 13 4 3 3 2 2" xfId="33377" xr:uid="{00000000-0005-0000-0000-0000C5280000}"/>
    <cellStyle name="Normal 13 4 3 3 3" xfId="25330" xr:uid="{00000000-0005-0000-0000-0000C6280000}"/>
    <cellStyle name="Normal 13 4 3 4" xfId="12915" xr:uid="{00000000-0005-0000-0000-0000C7280000}"/>
    <cellStyle name="Normal 13 4 3 4 2" xfId="29444" xr:uid="{00000000-0005-0000-0000-0000C8280000}"/>
    <cellStyle name="Normal 13 4 3 5" xfId="21401" xr:uid="{00000000-0005-0000-0000-0000C9280000}"/>
    <cellStyle name="Normal 13 4 4" xfId="3266" xr:uid="{00000000-0005-0000-0000-0000CA280000}"/>
    <cellStyle name="Normal 13 4 4 2" xfId="7442" xr:uid="{00000000-0005-0000-0000-0000CB280000}"/>
    <cellStyle name="Normal 13 4 4 2 2" xfId="16804" xr:uid="{00000000-0005-0000-0000-0000CC280000}"/>
    <cellStyle name="Normal 13 4 4 2 2 2" xfId="33378" xr:uid="{00000000-0005-0000-0000-0000CD280000}"/>
    <cellStyle name="Normal 13 4 4 2 3" xfId="25331" xr:uid="{00000000-0005-0000-0000-0000CE280000}"/>
    <cellStyle name="Normal 13 4 4 3" xfId="12917" xr:uid="{00000000-0005-0000-0000-0000CF280000}"/>
    <cellStyle name="Normal 13 4 4 3 2" xfId="29446" xr:uid="{00000000-0005-0000-0000-0000D0280000}"/>
    <cellStyle name="Normal 13 4 4 4" xfId="21403" xr:uid="{00000000-0005-0000-0000-0000D1280000}"/>
    <cellStyle name="Normal 13 4 5" xfId="7443" xr:uid="{00000000-0005-0000-0000-0000D2280000}"/>
    <cellStyle name="Normal 13 4 5 2" xfId="16805" xr:uid="{00000000-0005-0000-0000-0000D3280000}"/>
    <cellStyle name="Normal 13 4 5 2 2" xfId="33379" xr:uid="{00000000-0005-0000-0000-0000D4280000}"/>
    <cellStyle name="Normal 13 4 5 3" xfId="25332" xr:uid="{00000000-0005-0000-0000-0000D5280000}"/>
    <cellStyle name="Normal 13 4 6" xfId="12910" xr:uid="{00000000-0005-0000-0000-0000D6280000}"/>
    <cellStyle name="Normal 13 4 6 2" xfId="29439" xr:uid="{00000000-0005-0000-0000-0000D7280000}"/>
    <cellStyle name="Normal 13 4 7" xfId="21396" xr:uid="{00000000-0005-0000-0000-0000D8280000}"/>
    <cellStyle name="Normal 13 5" xfId="3267" xr:uid="{00000000-0005-0000-0000-0000D9280000}"/>
    <cellStyle name="Normal 13 5 2" xfId="3268" xr:uid="{00000000-0005-0000-0000-0000DA280000}"/>
    <cellStyle name="Normal 13 5 2 2" xfId="3269" xr:uid="{00000000-0005-0000-0000-0000DB280000}"/>
    <cellStyle name="Normal 13 5 2 2 2" xfId="3270" xr:uid="{00000000-0005-0000-0000-0000DC280000}"/>
    <cellStyle name="Normal 13 5 2 2 2 2" xfId="7444" xr:uid="{00000000-0005-0000-0000-0000DD280000}"/>
    <cellStyle name="Normal 13 5 2 2 2 2 2" xfId="16806" xr:uid="{00000000-0005-0000-0000-0000DE280000}"/>
    <cellStyle name="Normal 13 5 2 2 2 2 2 2" xfId="33380" xr:uid="{00000000-0005-0000-0000-0000DF280000}"/>
    <cellStyle name="Normal 13 5 2 2 2 2 3" xfId="25333" xr:uid="{00000000-0005-0000-0000-0000E0280000}"/>
    <cellStyle name="Normal 13 5 2 2 2 3" xfId="12921" xr:uid="{00000000-0005-0000-0000-0000E1280000}"/>
    <cellStyle name="Normal 13 5 2 2 2 3 2" xfId="29450" xr:uid="{00000000-0005-0000-0000-0000E2280000}"/>
    <cellStyle name="Normal 13 5 2 2 2 4" xfId="21407" xr:uid="{00000000-0005-0000-0000-0000E3280000}"/>
    <cellStyle name="Normal 13 5 2 2 3" xfId="7445" xr:uid="{00000000-0005-0000-0000-0000E4280000}"/>
    <cellStyle name="Normal 13 5 2 2 3 2" xfId="16807" xr:uid="{00000000-0005-0000-0000-0000E5280000}"/>
    <cellStyle name="Normal 13 5 2 2 3 2 2" xfId="33381" xr:uid="{00000000-0005-0000-0000-0000E6280000}"/>
    <cellStyle name="Normal 13 5 2 2 3 3" xfId="25334" xr:uid="{00000000-0005-0000-0000-0000E7280000}"/>
    <cellStyle name="Normal 13 5 2 2 4" xfId="12920" xr:uid="{00000000-0005-0000-0000-0000E8280000}"/>
    <cellStyle name="Normal 13 5 2 2 4 2" xfId="29449" xr:uid="{00000000-0005-0000-0000-0000E9280000}"/>
    <cellStyle name="Normal 13 5 2 2 5" xfId="21406" xr:uid="{00000000-0005-0000-0000-0000EA280000}"/>
    <cellStyle name="Normal 13 5 2 3" xfId="3271" xr:uid="{00000000-0005-0000-0000-0000EB280000}"/>
    <cellStyle name="Normal 13 5 2 3 2" xfId="7446" xr:uid="{00000000-0005-0000-0000-0000EC280000}"/>
    <cellStyle name="Normal 13 5 2 3 2 2" xfId="16808" xr:uid="{00000000-0005-0000-0000-0000ED280000}"/>
    <cellStyle name="Normal 13 5 2 3 2 2 2" xfId="33382" xr:uid="{00000000-0005-0000-0000-0000EE280000}"/>
    <cellStyle name="Normal 13 5 2 3 2 3" xfId="25335" xr:uid="{00000000-0005-0000-0000-0000EF280000}"/>
    <cellStyle name="Normal 13 5 2 3 3" xfId="12922" xr:uid="{00000000-0005-0000-0000-0000F0280000}"/>
    <cellStyle name="Normal 13 5 2 3 3 2" xfId="29451" xr:uid="{00000000-0005-0000-0000-0000F1280000}"/>
    <cellStyle name="Normal 13 5 2 3 4" xfId="21408" xr:uid="{00000000-0005-0000-0000-0000F2280000}"/>
    <cellStyle name="Normal 13 5 2 4" xfId="7447" xr:uid="{00000000-0005-0000-0000-0000F3280000}"/>
    <cellStyle name="Normal 13 5 2 4 2" xfId="16809" xr:uid="{00000000-0005-0000-0000-0000F4280000}"/>
    <cellStyle name="Normal 13 5 2 4 2 2" xfId="33383" xr:uid="{00000000-0005-0000-0000-0000F5280000}"/>
    <cellStyle name="Normal 13 5 2 4 3" xfId="25336" xr:uid="{00000000-0005-0000-0000-0000F6280000}"/>
    <cellStyle name="Normal 13 5 2 5" xfId="12919" xr:uid="{00000000-0005-0000-0000-0000F7280000}"/>
    <cellStyle name="Normal 13 5 2 5 2" xfId="29448" xr:uid="{00000000-0005-0000-0000-0000F8280000}"/>
    <cellStyle name="Normal 13 5 2 6" xfId="21405" xr:uid="{00000000-0005-0000-0000-0000F9280000}"/>
    <cellStyle name="Normal 13 5 3" xfId="3272" xr:uid="{00000000-0005-0000-0000-0000FA280000}"/>
    <cellStyle name="Normal 13 5 3 2" xfId="3273" xr:uid="{00000000-0005-0000-0000-0000FB280000}"/>
    <cellStyle name="Normal 13 5 3 2 2" xfId="7448" xr:uid="{00000000-0005-0000-0000-0000FC280000}"/>
    <cellStyle name="Normal 13 5 3 2 2 2" xfId="16810" xr:uid="{00000000-0005-0000-0000-0000FD280000}"/>
    <cellStyle name="Normal 13 5 3 2 2 2 2" xfId="33384" xr:uid="{00000000-0005-0000-0000-0000FE280000}"/>
    <cellStyle name="Normal 13 5 3 2 2 3" xfId="25337" xr:uid="{00000000-0005-0000-0000-0000FF280000}"/>
    <cellStyle name="Normal 13 5 3 2 3" xfId="12924" xr:uid="{00000000-0005-0000-0000-000000290000}"/>
    <cellStyle name="Normal 13 5 3 2 3 2" xfId="29453" xr:uid="{00000000-0005-0000-0000-000001290000}"/>
    <cellStyle name="Normal 13 5 3 2 4" xfId="21410" xr:uid="{00000000-0005-0000-0000-000002290000}"/>
    <cellStyle name="Normal 13 5 3 3" xfId="7449" xr:uid="{00000000-0005-0000-0000-000003290000}"/>
    <cellStyle name="Normal 13 5 3 3 2" xfId="16811" xr:uid="{00000000-0005-0000-0000-000004290000}"/>
    <cellStyle name="Normal 13 5 3 3 2 2" xfId="33385" xr:uid="{00000000-0005-0000-0000-000005290000}"/>
    <cellStyle name="Normal 13 5 3 3 3" xfId="25338" xr:uid="{00000000-0005-0000-0000-000006290000}"/>
    <cellStyle name="Normal 13 5 3 4" xfId="12923" xr:uid="{00000000-0005-0000-0000-000007290000}"/>
    <cellStyle name="Normal 13 5 3 4 2" xfId="29452" xr:uid="{00000000-0005-0000-0000-000008290000}"/>
    <cellStyle name="Normal 13 5 3 5" xfId="21409" xr:uid="{00000000-0005-0000-0000-000009290000}"/>
    <cellStyle name="Normal 13 5 4" xfId="3274" xr:uid="{00000000-0005-0000-0000-00000A290000}"/>
    <cellStyle name="Normal 13 5 4 2" xfId="7450" xr:uid="{00000000-0005-0000-0000-00000B290000}"/>
    <cellStyle name="Normal 13 5 4 2 2" xfId="16812" xr:uid="{00000000-0005-0000-0000-00000C290000}"/>
    <cellStyle name="Normal 13 5 4 2 2 2" xfId="33386" xr:uid="{00000000-0005-0000-0000-00000D290000}"/>
    <cellStyle name="Normal 13 5 4 2 3" xfId="25339" xr:uid="{00000000-0005-0000-0000-00000E290000}"/>
    <cellStyle name="Normal 13 5 4 3" xfId="12925" xr:uid="{00000000-0005-0000-0000-00000F290000}"/>
    <cellStyle name="Normal 13 5 4 3 2" xfId="29454" xr:uid="{00000000-0005-0000-0000-000010290000}"/>
    <cellStyle name="Normal 13 5 4 4" xfId="21411" xr:uid="{00000000-0005-0000-0000-000011290000}"/>
    <cellStyle name="Normal 13 5 5" xfId="7451" xr:uid="{00000000-0005-0000-0000-000012290000}"/>
    <cellStyle name="Normal 13 5 5 2" xfId="16813" xr:uid="{00000000-0005-0000-0000-000013290000}"/>
    <cellStyle name="Normal 13 5 5 2 2" xfId="33387" xr:uid="{00000000-0005-0000-0000-000014290000}"/>
    <cellStyle name="Normal 13 5 5 3" xfId="25340" xr:uid="{00000000-0005-0000-0000-000015290000}"/>
    <cellStyle name="Normal 13 5 6" xfId="12918" xr:uid="{00000000-0005-0000-0000-000016290000}"/>
    <cellStyle name="Normal 13 5 6 2" xfId="29447" xr:uid="{00000000-0005-0000-0000-000017290000}"/>
    <cellStyle name="Normal 13 5 7" xfId="21404" xr:uid="{00000000-0005-0000-0000-000018290000}"/>
    <cellStyle name="Normal 13 6" xfId="3275" xr:uid="{00000000-0005-0000-0000-000019290000}"/>
    <cellStyle name="Normal 13 6 2" xfId="3276" xr:uid="{00000000-0005-0000-0000-00001A290000}"/>
    <cellStyle name="Normal 13 6 2 2" xfId="3277" xr:uid="{00000000-0005-0000-0000-00001B290000}"/>
    <cellStyle name="Normal 13 6 2 2 2" xfId="7452" xr:uid="{00000000-0005-0000-0000-00001C290000}"/>
    <cellStyle name="Normal 13 6 2 2 2 2" xfId="16814" xr:uid="{00000000-0005-0000-0000-00001D290000}"/>
    <cellStyle name="Normal 13 6 2 2 2 2 2" xfId="33388" xr:uid="{00000000-0005-0000-0000-00001E290000}"/>
    <cellStyle name="Normal 13 6 2 2 2 3" xfId="25341" xr:uid="{00000000-0005-0000-0000-00001F290000}"/>
    <cellStyle name="Normal 13 6 2 2 3" xfId="12928" xr:uid="{00000000-0005-0000-0000-000020290000}"/>
    <cellStyle name="Normal 13 6 2 2 3 2" xfId="29457" xr:uid="{00000000-0005-0000-0000-000021290000}"/>
    <cellStyle name="Normal 13 6 2 2 4" xfId="21414" xr:uid="{00000000-0005-0000-0000-000022290000}"/>
    <cellStyle name="Normal 13 6 2 3" xfId="7453" xr:uid="{00000000-0005-0000-0000-000023290000}"/>
    <cellStyle name="Normal 13 6 2 3 2" xfId="16815" xr:uid="{00000000-0005-0000-0000-000024290000}"/>
    <cellStyle name="Normal 13 6 2 3 2 2" xfId="33389" xr:uid="{00000000-0005-0000-0000-000025290000}"/>
    <cellStyle name="Normal 13 6 2 3 3" xfId="25342" xr:uid="{00000000-0005-0000-0000-000026290000}"/>
    <cellStyle name="Normal 13 6 2 4" xfId="12927" xr:uid="{00000000-0005-0000-0000-000027290000}"/>
    <cellStyle name="Normal 13 6 2 4 2" xfId="29456" xr:uid="{00000000-0005-0000-0000-000028290000}"/>
    <cellStyle name="Normal 13 6 2 5" xfId="21413" xr:uid="{00000000-0005-0000-0000-000029290000}"/>
    <cellStyle name="Normal 13 6 3" xfId="3278" xr:uid="{00000000-0005-0000-0000-00002A290000}"/>
    <cellStyle name="Normal 13 6 3 2" xfId="7454" xr:uid="{00000000-0005-0000-0000-00002B290000}"/>
    <cellStyle name="Normal 13 6 3 2 2" xfId="16816" xr:uid="{00000000-0005-0000-0000-00002C290000}"/>
    <cellStyle name="Normal 13 6 3 2 2 2" xfId="33390" xr:uid="{00000000-0005-0000-0000-00002D290000}"/>
    <cellStyle name="Normal 13 6 3 2 3" xfId="25343" xr:uid="{00000000-0005-0000-0000-00002E290000}"/>
    <cellStyle name="Normal 13 6 3 3" xfId="12929" xr:uid="{00000000-0005-0000-0000-00002F290000}"/>
    <cellStyle name="Normal 13 6 3 3 2" xfId="29458" xr:uid="{00000000-0005-0000-0000-000030290000}"/>
    <cellStyle name="Normal 13 6 3 4" xfId="21415" xr:uid="{00000000-0005-0000-0000-000031290000}"/>
    <cellStyle name="Normal 13 6 4" xfId="7455" xr:uid="{00000000-0005-0000-0000-000032290000}"/>
    <cellStyle name="Normal 13 6 4 2" xfId="16817" xr:uid="{00000000-0005-0000-0000-000033290000}"/>
    <cellStyle name="Normal 13 6 4 2 2" xfId="33391" xr:uid="{00000000-0005-0000-0000-000034290000}"/>
    <cellStyle name="Normal 13 6 4 3" xfId="25344" xr:uid="{00000000-0005-0000-0000-000035290000}"/>
    <cellStyle name="Normal 13 6 5" xfId="12926" xr:uid="{00000000-0005-0000-0000-000036290000}"/>
    <cellStyle name="Normal 13 6 5 2" xfId="29455" xr:uid="{00000000-0005-0000-0000-000037290000}"/>
    <cellStyle name="Normal 13 6 6" xfId="21412" xr:uid="{00000000-0005-0000-0000-000038290000}"/>
    <cellStyle name="Normal 13 7" xfId="3279" xr:uid="{00000000-0005-0000-0000-000039290000}"/>
    <cellStyle name="Normal 13 7 2" xfId="3280" xr:uid="{00000000-0005-0000-0000-00003A290000}"/>
    <cellStyle name="Normal 13 7 2 2" xfId="7456" xr:uid="{00000000-0005-0000-0000-00003B290000}"/>
    <cellStyle name="Normal 13 7 2 2 2" xfId="16818" xr:uid="{00000000-0005-0000-0000-00003C290000}"/>
    <cellStyle name="Normal 13 7 2 2 2 2" xfId="33392" xr:uid="{00000000-0005-0000-0000-00003D290000}"/>
    <cellStyle name="Normal 13 7 2 2 3" xfId="25345" xr:uid="{00000000-0005-0000-0000-00003E290000}"/>
    <cellStyle name="Normal 13 7 2 3" xfId="12931" xr:uid="{00000000-0005-0000-0000-00003F290000}"/>
    <cellStyle name="Normal 13 7 2 3 2" xfId="29460" xr:uid="{00000000-0005-0000-0000-000040290000}"/>
    <cellStyle name="Normal 13 7 2 4" xfId="21417" xr:uid="{00000000-0005-0000-0000-000041290000}"/>
    <cellStyle name="Normal 13 7 3" xfId="7457" xr:uid="{00000000-0005-0000-0000-000042290000}"/>
    <cellStyle name="Normal 13 7 3 2" xfId="16819" xr:uid="{00000000-0005-0000-0000-000043290000}"/>
    <cellStyle name="Normal 13 7 3 2 2" xfId="33393" xr:uid="{00000000-0005-0000-0000-000044290000}"/>
    <cellStyle name="Normal 13 7 3 3" xfId="25346" xr:uid="{00000000-0005-0000-0000-000045290000}"/>
    <cellStyle name="Normal 13 7 4" xfId="12930" xr:uid="{00000000-0005-0000-0000-000046290000}"/>
    <cellStyle name="Normal 13 7 4 2" xfId="29459" xr:uid="{00000000-0005-0000-0000-000047290000}"/>
    <cellStyle name="Normal 13 7 5" xfId="21416" xr:uid="{00000000-0005-0000-0000-000048290000}"/>
    <cellStyle name="Normal 13 8" xfId="3281" xr:uid="{00000000-0005-0000-0000-000049290000}"/>
    <cellStyle name="Normal 13 8 2" xfId="7458" xr:uid="{00000000-0005-0000-0000-00004A290000}"/>
    <cellStyle name="Normal 13 8 2 2" xfId="16820" xr:uid="{00000000-0005-0000-0000-00004B290000}"/>
    <cellStyle name="Normal 13 8 2 2 2" xfId="33394" xr:uid="{00000000-0005-0000-0000-00004C290000}"/>
    <cellStyle name="Normal 13 8 2 3" xfId="25347" xr:uid="{00000000-0005-0000-0000-00004D290000}"/>
    <cellStyle name="Normal 13 8 3" xfId="12932" xr:uid="{00000000-0005-0000-0000-00004E290000}"/>
    <cellStyle name="Normal 13 8 3 2" xfId="29461" xr:uid="{00000000-0005-0000-0000-00004F290000}"/>
    <cellStyle name="Normal 13 8 4" xfId="21418" xr:uid="{00000000-0005-0000-0000-000050290000}"/>
    <cellStyle name="Normal 13 9" xfId="7459" xr:uid="{00000000-0005-0000-0000-000051290000}"/>
    <cellStyle name="Normal 13 9 2" xfId="16821" xr:uid="{00000000-0005-0000-0000-000052290000}"/>
    <cellStyle name="Normal 13 9 2 2" xfId="33395" xr:uid="{00000000-0005-0000-0000-000053290000}"/>
    <cellStyle name="Normal 13 9 3" xfId="25348" xr:uid="{00000000-0005-0000-0000-000054290000}"/>
    <cellStyle name="Normal 130" xfId="7460" xr:uid="{00000000-0005-0000-0000-000055290000}"/>
    <cellStyle name="Normal 130 2" xfId="16822" xr:uid="{00000000-0005-0000-0000-000056290000}"/>
    <cellStyle name="Normal 130 2 2" xfId="33396" xr:uid="{00000000-0005-0000-0000-000057290000}"/>
    <cellStyle name="Normal 130 3" xfId="25349" xr:uid="{00000000-0005-0000-0000-000058290000}"/>
    <cellStyle name="Normal 131" xfId="7461" xr:uid="{00000000-0005-0000-0000-000059290000}"/>
    <cellStyle name="Normal 132" xfId="6611" xr:uid="{00000000-0005-0000-0000-00005A290000}"/>
    <cellStyle name="Normal 132 2" xfId="6620" xr:uid="{00000000-0005-0000-0000-00005B290000}"/>
    <cellStyle name="Normal 132 3" xfId="16024" xr:uid="{00000000-0005-0000-0000-00005C290000}"/>
    <cellStyle name="Normal 132 3 2" xfId="32596" xr:uid="{00000000-0005-0000-0000-00005D290000}"/>
    <cellStyle name="Normal 132 4" xfId="24549" xr:uid="{00000000-0005-0000-0000-00005E290000}"/>
    <cellStyle name="Normal 133" xfId="6616" xr:uid="{00000000-0005-0000-0000-00005F290000}"/>
    <cellStyle name="Normal 134" xfId="2000" xr:uid="{00000000-0005-0000-0000-000060290000}"/>
    <cellStyle name="Normal 134 2" xfId="11525" xr:uid="{00000000-0005-0000-0000-000061290000}"/>
    <cellStyle name="Normal 134 2 2" xfId="28346" xr:uid="{00000000-0005-0000-0000-000062290000}"/>
    <cellStyle name="Normal 134 3" xfId="20002" xr:uid="{00000000-0005-0000-0000-000063290000}"/>
    <cellStyle name="Normal 135" xfId="10400" xr:uid="{00000000-0005-0000-0000-000064290000}"/>
    <cellStyle name="Normal 135 2" xfId="19746" xr:uid="{00000000-0005-0000-0000-000065290000}"/>
    <cellStyle name="Normal 135 2 2" xfId="36323" xr:uid="{00000000-0005-0000-0000-000066290000}"/>
    <cellStyle name="Normal 135 3" xfId="28276" xr:uid="{00000000-0005-0000-0000-000067290000}"/>
    <cellStyle name="Normal 136" xfId="10412" xr:uid="{00000000-0005-0000-0000-000068290000}"/>
    <cellStyle name="Normal 136 2" xfId="28326" xr:uid="{00000000-0005-0000-0000-000069290000}"/>
    <cellStyle name="Normal 137" xfId="10415" xr:uid="{00000000-0005-0000-0000-00006A290000}"/>
    <cellStyle name="Normal 138" xfId="10418" xr:uid="{00000000-0005-0000-0000-00006B290000}"/>
    <cellStyle name="Normal 139" xfId="10421" xr:uid="{00000000-0005-0000-0000-00006C290000}"/>
    <cellStyle name="Normal 14" xfId="1577" xr:uid="{00000000-0005-0000-0000-00006D290000}"/>
    <cellStyle name="Normal 14 10" xfId="3282" xr:uid="{00000000-0005-0000-0000-00006E290000}"/>
    <cellStyle name="Normal 14 10 2" xfId="29462" xr:uid="{00000000-0005-0000-0000-00006F290000}"/>
    <cellStyle name="Normal 14 11" xfId="21419" xr:uid="{00000000-0005-0000-0000-000070290000}"/>
    <cellStyle name="Normal 14 2" xfId="1606" xr:uid="{00000000-0005-0000-0000-000071290000}"/>
    <cellStyle name="Normal 14 2 2" xfId="3284" xr:uid="{00000000-0005-0000-0000-000072290000}"/>
    <cellStyle name="Normal 14 2 3" xfId="3283" xr:uid="{00000000-0005-0000-0000-000073290000}"/>
    <cellStyle name="Normal 14 2 3 2" xfId="29463" xr:uid="{00000000-0005-0000-0000-000074290000}"/>
    <cellStyle name="Normal 14 2 4" xfId="21420" xr:uid="{00000000-0005-0000-0000-000075290000}"/>
    <cellStyle name="Normal 14 3" xfId="3285" xr:uid="{00000000-0005-0000-0000-000076290000}"/>
    <cellStyle name="Normal 14 3 2" xfId="3286" xr:uid="{00000000-0005-0000-0000-000077290000}"/>
    <cellStyle name="Normal 14 3 2 2" xfId="3287" xr:uid="{00000000-0005-0000-0000-000078290000}"/>
    <cellStyle name="Normal 14 3 2 2 2" xfId="3288" xr:uid="{00000000-0005-0000-0000-000079290000}"/>
    <cellStyle name="Normal 14 3 2 2 2 2" xfId="7462" xr:uid="{00000000-0005-0000-0000-00007A290000}"/>
    <cellStyle name="Normal 14 3 2 2 2 2 2" xfId="16823" xr:uid="{00000000-0005-0000-0000-00007B290000}"/>
    <cellStyle name="Normal 14 3 2 2 2 2 2 2" xfId="33397" xr:uid="{00000000-0005-0000-0000-00007C290000}"/>
    <cellStyle name="Normal 14 3 2 2 2 2 3" xfId="25350" xr:uid="{00000000-0005-0000-0000-00007D290000}"/>
    <cellStyle name="Normal 14 3 2 2 2 3" xfId="12935" xr:uid="{00000000-0005-0000-0000-00007E290000}"/>
    <cellStyle name="Normal 14 3 2 2 2 3 2" xfId="29466" xr:uid="{00000000-0005-0000-0000-00007F290000}"/>
    <cellStyle name="Normal 14 3 2 2 2 4" xfId="21423" xr:uid="{00000000-0005-0000-0000-000080290000}"/>
    <cellStyle name="Normal 14 3 2 2 3" xfId="7463" xr:uid="{00000000-0005-0000-0000-000081290000}"/>
    <cellStyle name="Normal 14 3 2 2 3 2" xfId="16824" xr:uid="{00000000-0005-0000-0000-000082290000}"/>
    <cellStyle name="Normal 14 3 2 2 3 2 2" xfId="33398" xr:uid="{00000000-0005-0000-0000-000083290000}"/>
    <cellStyle name="Normal 14 3 2 2 3 3" xfId="25351" xr:uid="{00000000-0005-0000-0000-000084290000}"/>
    <cellStyle name="Normal 14 3 2 2 4" xfId="12934" xr:uid="{00000000-0005-0000-0000-000085290000}"/>
    <cellStyle name="Normal 14 3 2 2 4 2" xfId="29465" xr:uid="{00000000-0005-0000-0000-000086290000}"/>
    <cellStyle name="Normal 14 3 2 2 5" xfId="21422" xr:uid="{00000000-0005-0000-0000-000087290000}"/>
    <cellStyle name="Normal 14 3 2 3" xfId="3289" xr:uid="{00000000-0005-0000-0000-000088290000}"/>
    <cellStyle name="Normal 14 3 2 3 2" xfId="7464" xr:uid="{00000000-0005-0000-0000-000089290000}"/>
    <cellStyle name="Normal 14 3 2 3 2 2" xfId="16825" xr:uid="{00000000-0005-0000-0000-00008A290000}"/>
    <cellStyle name="Normal 14 3 2 3 2 2 2" xfId="33399" xr:uid="{00000000-0005-0000-0000-00008B290000}"/>
    <cellStyle name="Normal 14 3 2 3 2 3" xfId="25352" xr:uid="{00000000-0005-0000-0000-00008C290000}"/>
    <cellStyle name="Normal 14 3 2 3 3" xfId="12936" xr:uid="{00000000-0005-0000-0000-00008D290000}"/>
    <cellStyle name="Normal 14 3 2 3 3 2" xfId="29467" xr:uid="{00000000-0005-0000-0000-00008E290000}"/>
    <cellStyle name="Normal 14 3 2 3 4" xfId="21424" xr:uid="{00000000-0005-0000-0000-00008F290000}"/>
    <cellStyle name="Normal 14 3 2 4" xfId="7465" xr:uid="{00000000-0005-0000-0000-000090290000}"/>
    <cellStyle name="Normal 14 3 2 4 2" xfId="16826" xr:uid="{00000000-0005-0000-0000-000091290000}"/>
    <cellStyle name="Normal 14 3 2 4 2 2" xfId="33400" xr:uid="{00000000-0005-0000-0000-000092290000}"/>
    <cellStyle name="Normal 14 3 2 4 3" xfId="25353" xr:uid="{00000000-0005-0000-0000-000093290000}"/>
    <cellStyle name="Normal 14 3 2 5" xfId="12933" xr:uid="{00000000-0005-0000-0000-000094290000}"/>
    <cellStyle name="Normal 14 3 2 5 2" xfId="29464" xr:uid="{00000000-0005-0000-0000-000095290000}"/>
    <cellStyle name="Normal 14 3 2 6" xfId="21421" xr:uid="{00000000-0005-0000-0000-000096290000}"/>
    <cellStyle name="Normal 14 3 3" xfId="3290" xr:uid="{00000000-0005-0000-0000-000097290000}"/>
    <cellStyle name="Normal 14 3 3 2" xfId="3291" xr:uid="{00000000-0005-0000-0000-000098290000}"/>
    <cellStyle name="Normal 14 3 3 2 2" xfId="7466" xr:uid="{00000000-0005-0000-0000-000099290000}"/>
    <cellStyle name="Normal 14 3 3 2 2 2" xfId="16827" xr:uid="{00000000-0005-0000-0000-00009A290000}"/>
    <cellStyle name="Normal 14 3 3 2 2 2 2" xfId="33401" xr:uid="{00000000-0005-0000-0000-00009B290000}"/>
    <cellStyle name="Normal 14 3 3 2 2 3" xfId="25354" xr:uid="{00000000-0005-0000-0000-00009C290000}"/>
    <cellStyle name="Normal 14 3 3 2 3" xfId="12938" xr:uid="{00000000-0005-0000-0000-00009D290000}"/>
    <cellStyle name="Normal 14 3 3 2 3 2" xfId="29469" xr:uid="{00000000-0005-0000-0000-00009E290000}"/>
    <cellStyle name="Normal 14 3 3 2 4" xfId="21426" xr:uid="{00000000-0005-0000-0000-00009F290000}"/>
    <cellStyle name="Normal 14 3 3 3" xfId="7467" xr:uid="{00000000-0005-0000-0000-0000A0290000}"/>
    <cellStyle name="Normal 14 3 3 3 2" xfId="16828" xr:uid="{00000000-0005-0000-0000-0000A1290000}"/>
    <cellStyle name="Normal 14 3 3 3 2 2" xfId="33402" xr:uid="{00000000-0005-0000-0000-0000A2290000}"/>
    <cellStyle name="Normal 14 3 3 3 3" xfId="25355" xr:uid="{00000000-0005-0000-0000-0000A3290000}"/>
    <cellStyle name="Normal 14 3 3 4" xfId="12937" xr:uid="{00000000-0005-0000-0000-0000A4290000}"/>
    <cellStyle name="Normal 14 3 3 4 2" xfId="29468" xr:uid="{00000000-0005-0000-0000-0000A5290000}"/>
    <cellStyle name="Normal 14 3 3 5" xfId="21425" xr:uid="{00000000-0005-0000-0000-0000A6290000}"/>
    <cellStyle name="Normal 14 3 4" xfId="3292" xr:uid="{00000000-0005-0000-0000-0000A7290000}"/>
    <cellStyle name="Normal 14 3 4 2" xfId="7468" xr:uid="{00000000-0005-0000-0000-0000A8290000}"/>
    <cellStyle name="Normal 14 3 4 2 2" xfId="16829" xr:uid="{00000000-0005-0000-0000-0000A9290000}"/>
    <cellStyle name="Normal 14 3 4 2 2 2" xfId="33403" xr:uid="{00000000-0005-0000-0000-0000AA290000}"/>
    <cellStyle name="Normal 14 3 4 2 3" xfId="25356" xr:uid="{00000000-0005-0000-0000-0000AB290000}"/>
    <cellStyle name="Normal 14 3 4 3" xfId="12939" xr:uid="{00000000-0005-0000-0000-0000AC290000}"/>
    <cellStyle name="Normal 14 3 4 3 2" xfId="29470" xr:uid="{00000000-0005-0000-0000-0000AD290000}"/>
    <cellStyle name="Normal 14 3 4 4" xfId="21427" xr:uid="{00000000-0005-0000-0000-0000AE290000}"/>
    <cellStyle name="Normal 14 3 5" xfId="3293" xr:uid="{00000000-0005-0000-0000-0000AF290000}"/>
    <cellStyle name="Normal 14 3 5 2" xfId="12940" xr:uid="{00000000-0005-0000-0000-0000B0290000}"/>
    <cellStyle name="Normal 14 3 5 2 2" xfId="29471" xr:uid="{00000000-0005-0000-0000-0000B1290000}"/>
    <cellStyle name="Normal 14 3 5 3" xfId="21428" xr:uid="{00000000-0005-0000-0000-0000B2290000}"/>
    <cellStyle name="Normal 14 4" xfId="3294" xr:uid="{00000000-0005-0000-0000-0000B3290000}"/>
    <cellStyle name="Normal 14 4 2" xfId="3295" xr:uid="{00000000-0005-0000-0000-0000B4290000}"/>
    <cellStyle name="Normal 14 4 2 2" xfId="3296" xr:uid="{00000000-0005-0000-0000-0000B5290000}"/>
    <cellStyle name="Normal 14 4 2 2 2" xfId="3297" xr:uid="{00000000-0005-0000-0000-0000B6290000}"/>
    <cellStyle name="Normal 14 4 2 2 2 2" xfId="7469" xr:uid="{00000000-0005-0000-0000-0000B7290000}"/>
    <cellStyle name="Normal 14 4 2 2 2 2 2" xfId="16830" xr:uid="{00000000-0005-0000-0000-0000B8290000}"/>
    <cellStyle name="Normal 14 4 2 2 2 2 2 2" xfId="33404" xr:uid="{00000000-0005-0000-0000-0000B9290000}"/>
    <cellStyle name="Normal 14 4 2 2 2 2 3" xfId="25357" xr:uid="{00000000-0005-0000-0000-0000BA290000}"/>
    <cellStyle name="Normal 14 4 2 2 2 3" xfId="12944" xr:uid="{00000000-0005-0000-0000-0000BB290000}"/>
    <cellStyle name="Normal 14 4 2 2 2 3 2" xfId="29475" xr:uid="{00000000-0005-0000-0000-0000BC290000}"/>
    <cellStyle name="Normal 14 4 2 2 2 4" xfId="21432" xr:uid="{00000000-0005-0000-0000-0000BD290000}"/>
    <cellStyle name="Normal 14 4 2 2 3" xfId="7470" xr:uid="{00000000-0005-0000-0000-0000BE290000}"/>
    <cellStyle name="Normal 14 4 2 2 3 2" xfId="16831" xr:uid="{00000000-0005-0000-0000-0000BF290000}"/>
    <cellStyle name="Normal 14 4 2 2 3 2 2" xfId="33405" xr:uid="{00000000-0005-0000-0000-0000C0290000}"/>
    <cellStyle name="Normal 14 4 2 2 3 3" xfId="25358" xr:uid="{00000000-0005-0000-0000-0000C1290000}"/>
    <cellStyle name="Normal 14 4 2 2 4" xfId="12943" xr:uid="{00000000-0005-0000-0000-0000C2290000}"/>
    <cellStyle name="Normal 14 4 2 2 4 2" xfId="29474" xr:uid="{00000000-0005-0000-0000-0000C3290000}"/>
    <cellStyle name="Normal 14 4 2 2 5" xfId="21431" xr:uid="{00000000-0005-0000-0000-0000C4290000}"/>
    <cellStyle name="Normal 14 4 2 3" xfId="3298" xr:uid="{00000000-0005-0000-0000-0000C5290000}"/>
    <cellStyle name="Normal 14 4 2 3 2" xfId="7471" xr:uid="{00000000-0005-0000-0000-0000C6290000}"/>
    <cellStyle name="Normal 14 4 2 3 2 2" xfId="16832" xr:uid="{00000000-0005-0000-0000-0000C7290000}"/>
    <cellStyle name="Normal 14 4 2 3 2 2 2" xfId="33406" xr:uid="{00000000-0005-0000-0000-0000C8290000}"/>
    <cellStyle name="Normal 14 4 2 3 2 3" xfId="25359" xr:uid="{00000000-0005-0000-0000-0000C9290000}"/>
    <cellStyle name="Normal 14 4 2 3 3" xfId="12945" xr:uid="{00000000-0005-0000-0000-0000CA290000}"/>
    <cellStyle name="Normal 14 4 2 3 3 2" xfId="29476" xr:uid="{00000000-0005-0000-0000-0000CB290000}"/>
    <cellStyle name="Normal 14 4 2 3 4" xfId="21433" xr:uid="{00000000-0005-0000-0000-0000CC290000}"/>
    <cellStyle name="Normal 14 4 2 4" xfId="7472" xr:uid="{00000000-0005-0000-0000-0000CD290000}"/>
    <cellStyle name="Normal 14 4 2 4 2" xfId="16833" xr:uid="{00000000-0005-0000-0000-0000CE290000}"/>
    <cellStyle name="Normal 14 4 2 4 2 2" xfId="33407" xr:uid="{00000000-0005-0000-0000-0000CF290000}"/>
    <cellStyle name="Normal 14 4 2 4 3" xfId="25360" xr:uid="{00000000-0005-0000-0000-0000D0290000}"/>
    <cellStyle name="Normal 14 4 2 5" xfId="12942" xr:uid="{00000000-0005-0000-0000-0000D1290000}"/>
    <cellStyle name="Normal 14 4 2 5 2" xfId="29473" xr:uid="{00000000-0005-0000-0000-0000D2290000}"/>
    <cellStyle name="Normal 14 4 2 6" xfId="21430" xr:uid="{00000000-0005-0000-0000-0000D3290000}"/>
    <cellStyle name="Normal 14 4 3" xfId="3299" xr:uid="{00000000-0005-0000-0000-0000D4290000}"/>
    <cellStyle name="Normal 14 4 3 2" xfId="3300" xr:uid="{00000000-0005-0000-0000-0000D5290000}"/>
    <cellStyle name="Normal 14 4 3 2 2" xfId="7473" xr:uid="{00000000-0005-0000-0000-0000D6290000}"/>
    <cellStyle name="Normal 14 4 3 2 2 2" xfId="16834" xr:uid="{00000000-0005-0000-0000-0000D7290000}"/>
    <cellStyle name="Normal 14 4 3 2 2 2 2" xfId="33408" xr:uid="{00000000-0005-0000-0000-0000D8290000}"/>
    <cellStyle name="Normal 14 4 3 2 2 3" xfId="25361" xr:uid="{00000000-0005-0000-0000-0000D9290000}"/>
    <cellStyle name="Normal 14 4 3 2 3" xfId="12947" xr:uid="{00000000-0005-0000-0000-0000DA290000}"/>
    <cellStyle name="Normal 14 4 3 2 3 2" xfId="29478" xr:uid="{00000000-0005-0000-0000-0000DB290000}"/>
    <cellStyle name="Normal 14 4 3 2 4" xfId="21435" xr:uid="{00000000-0005-0000-0000-0000DC290000}"/>
    <cellStyle name="Normal 14 4 3 3" xfId="7474" xr:uid="{00000000-0005-0000-0000-0000DD290000}"/>
    <cellStyle name="Normal 14 4 3 3 2" xfId="16835" xr:uid="{00000000-0005-0000-0000-0000DE290000}"/>
    <cellStyle name="Normal 14 4 3 3 2 2" xfId="33409" xr:uid="{00000000-0005-0000-0000-0000DF290000}"/>
    <cellStyle name="Normal 14 4 3 3 3" xfId="25362" xr:uid="{00000000-0005-0000-0000-0000E0290000}"/>
    <cellStyle name="Normal 14 4 3 4" xfId="12946" xr:uid="{00000000-0005-0000-0000-0000E1290000}"/>
    <cellStyle name="Normal 14 4 3 4 2" xfId="29477" xr:uid="{00000000-0005-0000-0000-0000E2290000}"/>
    <cellStyle name="Normal 14 4 3 5" xfId="21434" xr:uid="{00000000-0005-0000-0000-0000E3290000}"/>
    <cellStyle name="Normal 14 4 4" xfId="3301" xr:uid="{00000000-0005-0000-0000-0000E4290000}"/>
    <cellStyle name="Normal 14 4 4 2" xfId="7475" xr:uid="{00000000-0005-0000-0000-0000E5290000}"/>
    <cellStyle name="Normal 14 4 4 2 2" xfId="16836" xr:uid="{00000000-0005-0000-0000-0000E6290000}"/>
    <cellStyle name="Normal 14 4 4 2 2 2" xfId="33410" xr:uid="{00000000-0005-0000-0000-0000E7290000}"/>
    <cellStyle name="Normal 14 4 4 2 3" xfId="25363" xr:uid="{00000000-0005-0000-0000-0000E8290000}"/>
    <cellStyle name="Normal 14 4 4 3" xfId="12948" xr:uid="{00000000-0005-0000-0000-0000E9290000}"/>
    <cellStyle name="Normal 14 4 4 3 2" xfId="29479" xr:uid="{00000000-0005-0000-0000-0000EA290000}"/>
    <cellStyle name="Normal 14 4 4 4" xfId="21436" xr:uid="{00000000-0005-0000-0000-0000EB290000}"/>
    <cellStyle name="Normal 14 4 5" xfId="7476" xr:uid="{00000000-0005-0000-0000-0000EC290000}"/>
    <cellStyle name="Normal 14 4 5 2" xfId="16837" xr:uid="{00000000-0005-0000-0000-0000ED290000}"/>
    <cellStyle name="Normal 14 4 5 2 2" xfId="33411" xr:uid="{00000000-0005-0000-0000-0000EE290000}"/>
    <cellStyle name="Normal 14 4 5 3" xfId="25364" xr:uid="{00000000-0005-0000-0000-0000EF290000}"/>
    <cellStyle name="Normal 14 4 6" xfId="12941" xr:uid="{00000000-0005-0000-0000-0000F0290000}"/>
    <cellStyle name="Normal 14 4 6 2" xfId="29472" xr:uid="{00000000-0005-0000-0000-0000F1290000}"/>
    <cellStyle name="Normal 14 4 7" xfId="21429" xr:uid="{00000000-0005-0000-0000-0000F2290000}"/>
    <cellStyle name="Normal 14 5" xfId="3302" xr:uid="{00000000-0005-0000-0000-0000F3290000}"/>
    <cellStyle name="Normal 14 5 2" xfId="3303" xr:uid="{00000000-0005-0000-0000-0000F4290000}"/>
    <cellStyle name="Normal 14 5 2 2" xfId="3304" xr:uid="{00000000-0005-0000-0000-0000F5290000}"/>
    <cellStyle name="Normal 14 5 2 2 2" xfId="3305" xr:uid="{00000000-0005-0000-0000-0000F6290000}"/>
    <cellStyle name="Normal 14 5 2 2 2 2" xfId="7477" xr:uid="{00000000-0005-0000-0000-0000F7290000}"/>
    <cellStyle name="Normal 14 5 2 2 2 2 2" xfId="16838" xr:uid="{00000000-0005-0000-0000-0000F8290000}"/>
    <cellStyle name="Normal 14 5 2 2 2 2 2 2" xfId="33412" xr:uid="{00000000-0005-0000-0000-0000F9290000}"/>
    <cellStyle name="Normal 14 5 2 2 2 2 3" xfId="25365" xr:uid="{00000000-0005-0000-0000-0000FA290000}"/>
    <cellStyle name="Normal 14 5 2 2 2 3" xfId="12952" xr:uid="{00000000-0005-0000-0000-0000FB290000}"/>
    <cellStyle name="Normal 14 5 2 2 2 3 2" xfId="29483" xr:uid="{00000000-0005-0000-0000-0000FC290000}"/>
    <cellStyle name="Normal 14 5 2 2 2 4" xfId="21440" xr:uid="{00000000-0005-0000-0000-0000FD290000}"/>
    <cellStyle name="Normal 14 5 2 2 3" xfId="7478" xr:uid="{00000000-0005-0000-0000-0000FE290000}"/>
    <cellStyle name="Normal 14 5 2 2 3 2" xfId="16839" xr:uid="{00000000-0005-0000-0000-0000FF290000}"/>
    <cellStyle name="Normal 14 5 2 2 3 2 2" xfId="33413" xr:uid="{00000000-0005-0000-0000-0000002A0000}"/>
    <cellStyle name="Normal 14 5 2 2 3 3" xfId="25366" xr:uid="{00000000-0005-0000-0000-0000012A0000}"/>
    <cellStyle name="Normal 14 5 2 2 4" xfId="12951" xr:uid="{00000000-0005-0000-0000-0000022A0000}"/>
    <cellStyle name="Normal 14 5 2 2 4 2" xfId="29482" xr:uid="{00000000-0005-0000-0000-0000032A0000}"/>
    <cellStyle name="Normal 14 5 2 2 5" xfId="21439" xr:uid="{00000000-0005-0000-0000-0000042A0000}"/>
    <cellStyle name="Normal 14 5 2 3" xfId="3306" xr:uid="{00000000-0005-0000-0000-0000052A0000}"/>
    <cellStyle name="Normal 14 5 2 3 2" xfId="7479" xr:uid="{00000000-0005-0000-0000-0000062A0000}"/>
    <cellStyle name="Normal 14 5 2 3 2 2" xfId="16840" xr:uid="{00000000-0005-0000-0000-0000072A0000}"/>
    <cellStyle name="Normal 14 5 2 3 2 2 2" xfId="33414" xr:uid="{00000000-0005-0000-0000-0000082A0000}"/>
    <cellStyle name="Normal 14 5 2 3 2 3" xfId="25367" xr:uid="{00000000-0005-0000-0000-0000092A0000}"/>
    <cellStyle name="Normal 14 5 2 3 3" xfId="12953" xr:uid="{00000000-0005-0000-0000-00000A2A0000}"/>
    <cellStyle name="Normal 14 5 2 3 3 2" xfId="29484" xr:uid="{00000000-0005-0000-0000-00000B2A0000}"/>
    <cellStyle name="Normal 14 5 2 3 4" xfId="21441" xr:uid="{00000000-0005-0000-0000-00000C2A0000}"/>
    <cellStyle name="Normal 14 5 2 4" xfId="7480" xr:uid="{00000000-0005-0000-0000-00000D2A0000}"/>
    <cellStyle name="Normal 14 5 2 4 2" xfId="16841" xr:uid="{00000000-0005-0000-0000-00000E2A0000}"/>
    <cellStyle name="Normal 14 5 2 4 2 2" xfId="33415" xr:uid="{00000000-0005-0000-0000-00000F2A0000}"/>
    <cellStyle name="Normal 14 5 2 4 3" xfId="25368" xr:uid="{00000000-0005-0000-0000-0000102A0000}"/>
    <cellStyle name="Normal 14 5 2 5" xfId="12950" xr:uid="{00000000-0005-0000-0000-0000112A0000}"/>
    <cellStyle name="Normal 14 5 2 5 2" xfId="29481" xr:uid="{00000000-0005-0000-0000-0000122A0000}"/>
    <cellStyle name="Normal 14 5 2 6" xfId="21438" xr:uid="{00000000-0005-0000-0000-0000132A0000}"/>
    <cellStyle name="Normal 14 5 3" xfId="3307" xr:uid="{00000000-0005-0000-0000-0000142A0000}"/>
    <cellStyle name="Normal 14 5 3 2" xfId="3308" xr:uid="{00000000-0005-0000-0000-0000152A0000}"/>
    <cellStyle name="Normal 14 5 3 2 2" xfId="7481" xr:uid="{00000000-0005-0000-0000-0000162A0000}"/>
    <cellStyle name="Normal 14 5 3 2 2 2" xfId="16842" xr:uid="{00000000-0005-0000-0000-0000172A0000}"/>
    <cellStyle name="Normal 14 5 3 2 2 2 2" xfId="33416" xr:uid="{00000000-0005-0000-0000-0000182A0000}"/>
    <cellStyle name="Normal 14 5 3 2 2 3" xfId="25369" xr:uid="{00000000-0005-0000-0000-0000192A0000}"/>
    <cellStyle name="Normal 14 5 3 2 3" xfId="12955" xr:uid="{00000000-0005-0000-0000-00001A2A0000}"/>
    <cellStyle name="Normal 14 5 3 2 3 2" xfId="29486" xr:uid="{00000000-0005-0000-0000-00001B2A0000}"/>
    <cellStyle name="Normal 14 5 3 2 4" xfId="21443" xr:uid="{00000000-0005-0000-0000-00001C2A0000}"/>
    <cellStyle name="Normal 14 5 3 3" xfId="7482" xr:uid="{00000000-0005-0000-0000-00001D2A0000}"/>
    <cellStyle name="Normal 14 5 3 3 2" xfId="16843" xr:uid="{00000000-0005-0000-0000-00001E2A0000}"/>
    <cellStyle name="Normal 14 5 3 3 2 2" xfId="33417" xr:uid="{00000000-0005-0000-0000-00001F2A0000}"/>
    <cellStyle name="Normal 14 5 3 3 3" xfId="25370" xr:uid="{00000000-0005-0000-0000-0000202A0000}"/>
    <cellStyle name="Normal 14 5 3 4" xfId="12954" xr:uid="{00000000-0005-0000-0000-0000212A0000}"/>
    <cellStyle name="Normal 14 5 3 4 2" xfId="29485" xr:uid="{00000000-0005-0000-0000-0000222A0000}"/>
    <cellStyle name="Normal 14 5 3 5" xfId="21442" xr:uid="{00000000-0005-0000-0000-0000232A0000}"/>
    <cellStyle name="Normal 14 5 4" xfId="3309" xr:uid="{00000000-0005-0000-0000-0000242A0000}"/>
    <cellStyle name="Normal 14 5 4 2" xfId="7483" xr:uid="{00000000-0005-0000-0000-0000252A0000}"/>
    <cellStyle name="Normal 14 5 4 2 2" xfId="16844" xr:uid="{00000000-0005-0000-0000-0000262A0000}"/>
    <cellStyle name="Normal 14 5 4 2 2 2" xfId="33418" xr:uid="{00000000-0005-0000-0000-0000272A0000}"/>
    <cellStyle name="Normal 14 5 4 2 3" xfId="25371" xr:uid="{00000000-0005-0000-0000-0000282A0000}"/>
    <cellStyle name="Normal 14 5 4 3" xfId="12956" xr:uid="{00000000-0005-0000-0000-0000292A0000}"/>
    <cellStyle name="Normal 14 5 4 3 2" xfId="29487" xr:uid="{00000000-0005-0000-0000-00002A2A0000}"/>
    <cellStyle name="Normal 14 5 4 4" xfId="21444" xr:uid="{00000000-0005-0000-0000-00002B2A0000}"/>
    <cellStyle name="Normal 14 5 5" xfId="7484" xr:uid="{00000000-0005-0000-0000-00002C2A0000}"/>
    <cellStyle name="Normal 14 5 5 2" xfId="16845" xr:uid="{00000000-0005-0000-0000-00002D2A0000}"/>
    <cellStyle name="Normal 14 5 5 2 2" xfId="33419" xr:uid="{00000000-0005-0000-0000-00002E2A0000}"/>
    <cellStyle name="Normal 14 5 5 3" xfId="25372" xr:uid="{00000000-0005-0000-0000-00002F2A0000}"/>
    <cellStyle name="Normal 14 5 6" xfId="12949" xr:uid="{00000000-0005-0000-0000-0000302A0000}"/>
    <cellStyle name="Normal 14 5 6 2" xfId="29480" xr:uid="{00000000-0005-0000-0000-0000312A0000}"/>
    <cellStyle name="Normal 14 5 7" xfId="21437" xr:uid="{00000000-0005-0000-0000-0000322A0000}"/>
    <cellStyle name="Normal 14 6" xfId="3310" xr:uid="{00000000-0005-0000-0000-0000332A0000}"/>
    <cellStyle name="Normal 14 6 2" xfId="3311" xr:uid="{00000000-0005-0000-0000-0000342A0000}"/>
    <cellStyle name="Normal 14 6 2 2" xfId="3312" xr:uid="{00000000-0005-0000-0000-0000352A0000}"/>
    <cellStyle name="Normal 14 6 2 2 2" xfId="7485" xr:uid="{00000000-0005-0000-0000-0000362A0000}"/>
    <cellStyle name="Normal 14 6 2 2 2 2" xfId="16846" xr:uid="{00000000-0005-0000-0000-0000372A0000}"/>
    <cellStyle name="Normal 14 6 2 2 2 2 2" xfId="33420" xr:uid="{00000000-0005-0000-0000-0000382A0000}"/>
    <cellStyle name="Normal 14 6 2 2 2 3" xfId="25373" xr:uid="{00000000-0005-0000-0000-0000392A0000}"/>
    <cellStyle name="Normal 14 6 2 2 3" xfId="12959" xr:uid="{00000000-0005-0000-0000-00003A2A0000}"/>
    <cellStyle name="Normal 14 6 2 2 3 2" xfId="29490" xr:uid="{00000000-0005-0000-0000-00003B2A0000}"/>
    <cellStyle name="Normal 14 6 2 2 4" xfId="21447" xr:uid="{00000000-0005-0000-0000-00003C2A0000}"/>
    <cellStyle name="Normal 14 6 2 3" xfId="7486" xr:uid="{00000000-0005-0000-0000-00003D2A0000}"/>
    <cellStyle name="Normal 14 6 2 3 2" xfId="16847" xr:uid="{00000000-0005-0000-0000-00003E2A0000}"/>
    <cellStyle name="Normal 14 6 2 3 2 2" xfId="33421" xr:uid="{00000000-0005-0000-0000-00003F2A0000}"/>
    <cellStyle name="Normal 14 6 2 3 3" xfId="25374" xr:uid="{00000000-0005-0000-0000-0000402A0000}"/>
    <cellStyle name="Normal 14 6 2 4" xfId="12958" xr:uid="{00000000-0005-0000-0000-0000412A0000}"/>
    <cellStyle name="Normal 14 6 2 4 2" xfId="29489" xr:uid="{00000000-0005-0000-0000-0000422A0000}"/>
    <cellStyle name="Normal 14 6 2 5" xfId="21446" xr:uid="{00000000-0005-0000-0000-0000432A0000}"/>
    <cellStyle name="Normal 14 6 3" xfId="3313" xr:uid="{00000000-0005-0000-0000-0000442A0000}"/>
    <cellStyle name="Normal 14 6 3 2" xfId="7487" xr:uid="{00000000-0005-0000-0000-0000452A0000}"/>
    <cellStyle name="Normal 14 6 3 2 2" xfId="16848" xr:uid="{00000000-0005-0000-0000-0000462A0000}"/>
    <cellStyle name="Normal 14 6 3 2 2 2" xfId="33422" xr:uid="{00000000-0005-0000-0000-0000472A0000}"/>
    <cellStyle name="Normal 14 6 3 2 3" xfId="25375" xr:uid="{00000000-0005-0000-0000-0000482A0000}"/>
    <cellStyle name="Normal 14 6 3 3" xfId="12960" xr:uid="{00000000-0005-0000-0000-0000492A0000}"/>
    <cellStyle name="Normal 14 6 3 3 2" xfId="29491" xr:uid="{00000000-0005-0000-0000-00004A2A0000}"/>
    <cellStyle name="Normal 14 6 3 4" xfId="21448" xr:uid="{00000000-0005-0000-0000-00004B2A0000}"/>
    <cellStyle name="Normal 14 6 4" xfId="7488" xr:uid="{00000000-0005-0000-0000-00004C2A0000}"/>
    <cellStyle name="Normal 14 6 4 2" xfId="16849" xr:uid="{00000000-0005-0000-0000-00004D2A0000}"/>
    <cellStyle name="Normal 14 6 4 2 2" xfId="33423" xr:uid="{00000000-0005-0000-0000-00004E2A0000}"/>
    <cellStyle name="Normal 14 6 4 3" xfId="25376" xr:uid="{00000000-0005-0000-0000-00004F2A0000}"/>
    <cellStyle name="Normal 14 6 5" xfId="12957" xr:uid="{00000000-0005-0000-0000-0000502A0000}"/>
    <cellStyle name="Normal 14 6 5 2" xfId="29488" xr:uid="{00000000-0005-0000-0000-0000512A0000}"/>
    <cellStyle name="Normal 14 6 6" xfId="21445" xr:uid="{00000000-0005-0000-0000-0000522A0000}"/>
    <cellStyle name="Normal 14 7" xfId="3314" xr:uid="{00000000-0005-0000-0000-0000532A0000}"/>
    <cellStyle name="Normal 14 7 2" xfId="3315" xr:uid="{00000000-0005-0000-0000-0000542A0000}"/>
    <cellStyle name="Normal 14 7 2 2" xfId="7489" xr:uid="{00000000-0005-0000-0000-0000552A0000}"/>
    <cellStyle name="Normal 14 7 2 2 2" xfId="16850" xr:uid="{00000000-0005-0000-0000-0000562A0000}"/>
    <cellStyle name="Normal 14 7 2 2 2 2" xfId="33424" xr:uid="{00000000-0005-0000-0000-0000572A0000}"/>
    <cellStyle name="Normal 14 7 2 2 3" xfId="25377" xr:uid="{00000000-0005-0000-0000-0000582A0000}"/>
    <cellStyle name="Normal 14 7 2 3" xfId="12962" xr:uid="{00000000-0005-0000-0000-0000592A0000}"/>
    <cellStyle name="Normal 14 7 2 3 2" xfId="29493" xr:uid="{00000000-0005-0000-0000-00005A2A0000}"/>
    <cellStyle name="Normal 14 7 2 4" xfId="21450" xr:uid="{00000000-0005-0000-0000-00005B2A0000}"/>
    <cellStyle name="Normal 14 7 3" xfId="7490" xr:uid="{00000000-0005-0000-0000-00005C2A0000}"/>
    <cellStyle name="Normal 14 7 3 2" xfId="16851" xr:uid="{00000000-0005-0000-0000-00005D2A0000}"/>
    <cellStyle name="Normal 14 7 3 2 2" xfId="33425" xr:uid="{00000000-0005-0000-0000-00005E2A0000}"/>
    <cellStyle name="Normal 14 7 3 3" xfId="25378" xr:uid="{00000000-0005-0000-0000-00005F2A0000}"/>
    <cellStyle name="Normal 14 7 4" xfId="12961" xr:uid="{00000000-0005-0000-0000-0000602A0000}"/>
    <cellStyle name="Normal 14 7 4 2" xfId="29492" xr:uid="{00000000-0005-0000-0000-0000612A0000}"/>
    <cellStyle name="Normal 14 7 5" xfId="21449" xr:uid="{00000000-0005-0000-0000-0000622A0000}"/>
    <cellStyle name="Normal 14 8" xfId="3316" xr:uid="{00000000-0005-0000-0000-0000632A0000}"/>
    <cellStyle name="Normal 14 8 2" xfId="7491" xr:uid="{00000000-0005-0000-0000-0000642A0000}"/>
    <cellStyle name="Normal 14 8 2 2" xfId="16852" xr:uid="{00000000-0005-0000-0000-0000652A0000}"/>
    <cellStyle name="Normal 14 8 2 2 2" xfId="33426" xr:uid="{00000000-0005-0000-0000-0000662A0000}"/>
    <cellStyle name="Normal 14 8 2 3" xfId="25379" xr:uid="{00000000-0005-0000-0000-0000672A0000}"/>
    <cellStyle name="Normal 14 8 3" xfId="12963" xr:uid="{00000000-0005-0000-0000-0000682A0000}"/>
    <cellStyle name="Normal 14 8 3 2" xfId="29494" xr:uid="{00000000-0005-0000-0000-0000692A0000}"/>
    <cellStyle name="Normal 14 8 4" xfId="21451" xr:uid="{00000000-0005-0000-0000-00006A2A0000}"/>
    <cellStyle name="Normal 14 9" xfId="7492" xr:uid="{00000000-0005-0000-0000-00006B2A0000}"/>
    <cellStyle name="Normal 14 9 2" xfId="16853" xr:uid="{00000000-0005-0000-0000-00006C2A0000}"/>
    <cellStyle name="Normal 14 9 2 2" xfId="33427" xr:uid="{00000000-0005-0000-0000-00006D2A0000}"/>
    <cellStyle name="Normal 14 9 3" xfId="25380" xr:uid="{00000000-0005-0000-0000-00006E2A0000}"/>
    <cellStyle name="Normal 140" xfId="10424" xr:uid="{00000000-0005-0000-0000-00006F2A0000}"/>
    <cellStyle name="Normal 141" xfId="10427" xr:uid="{00000000-0005-0000-0000-0000702A0000}"/>
    <cellStyle name="Normal 141 2" xfId="19814" xr:uid="{00000000-0005-0000-0000-0000712A0000}"/>
    <cellStyle name="Normal 142" xfId="10430" xr:uid="{00000000-0005-0000-0000-0000722A0000}"/>
    <cellStyle name="Normal 143" xfId="10433" xr:uid="{00000000-0005-0000-0000-0000732A0000}"/>
    <cellStyle name="Normal 144" xfId="10436" xr:uid="{00000000-0005-0000-0000-0000742A0000}"/>
    <cellStyle name="Normal 145" xfId="10439" xr:uid="{00000000-0005-0000-0000-0000752A0000}"/>
    <cellStyle name="Normal 146" xfId="10442" xr:uid="{00000000-0005-0000-0000-0000762A0000}"/>
    <cellStyle name="Normal 147" xfId="10445" xr:uid="{00000000-0005-0000-0000-0000772A0000}"/>
    <cellStyle name="Normal 148" xfId="10448" xr:uid="{00000000-0005-0000-0000-0000782A0000}"/>
    <cellStyle name="Normal 149" xfId="10451" xr:uid="{00000000-0005-0000-0000-0000792A0000}"/>
    <cellStyle name="Normal 15" xfId="1575" xr:uid="{00000000-0005-0000-0000-00007A2A0000}"/>
    <cellStyle name="Normal 15 10" xfId="3317" xr:uid="{00000000-0005-0000-0000-00007B2A0000}"/>
    <cellStyle name="Normal 15 10 2" xfId="29495" xr:uid="{00000000-0005-0000-0000-00007C2A0000}"/>
    <cellStyle name="Normal 15 11" xfId="21452" xr:uid="{00000000-0005-0000-0000-00007D2A0000}"/>
    <cellStyle name="Normal 15 2" xfId="1605" xr:uid="{00000000-0005-0000-0000-00007E2A0000}"/>
    <cellStyle name="Normal 15 2 2" xfId="3319" xr:uid="{00000000-0005-0000-0000-00007F2A0000}"/>
    <cellStyle name="Normal 15 2 3" xfId="3318" xr:uid="{00000000-0005-0000-0000-0000802A0000}"/>
    <cellStyle name="Normal 15 2 3 2" xfId="29496" xr:uid="{00000000-0005-0000-0000-0000812A0000}"/>
    <cellStyle name="Normal 15 2 4" xfId="21453" xr:uid="{00000000-0005-0000-0000-0000822A0000}"/>
    <cellStyle name="Normal 15 3" xfId="3320" xr:uid="{00000000-0005-0000-0000-0000832A0000}"/>
    <cellStyle name="Normal 15 3 2" xfId="3321" xr:uid="{00000000-0005-0000-0000-0000842A0000}"/>
    <cellStyle name="Normal 15 3 2 2" xfId="3322" xr:uid="{00000000-0005-0000-0000-0000852A0000}"/>
    <cellStyle name="Normal 15 3 2 2 2" xfId="3323" xr:uid="{00000000-0005-0000-0000-0000862A0000}"/>
    <cellStyle name="Normal 15 3 2 2 2 2" xfId="7493" xr:uid="{00000000-0005-0000-0000-0000872A0000}"/>
    <cellStyle name="Normal 15 3 2 2 2 2 2" xfId="16854" xr:uid="{00000000-0005-0000-0000-0000882A0000}"/>
    <cellStyle name="Normal 15 3 2 2 2 2 2 2" xfId="33428" xr:uid="{00000000-0005-0000-0000-0000892A0000}"/>
    <cellStyle name="Normal 15 3 2 2 2 2 3" xfId="25381" xr:uid="{00000000-0005-0000-0000-00008A2A0000}"/>
    <cellStyle name="Normal 15 3 2 2 2 3" xfId="12966" xr:uid="{00000000-0005-0000-0000-00008B2A0000}"/>
    <cellStyle name="Normal 15 3 2 2 2 3 2" xfId="29499" xr:uid="{00000000-0005-0000-0000-00008C2A0000}"/>
    <cellStyle name="Normal 15 3 2 2 2 4" xfId="21456" xr:uid="{00000000-0005-0000-0000-00008D2A0000}"/>
    <cellStyle name="Normal 15 3 2 2 3" xfId="7494" xr:uid="{00000000-0005-0000-0000-00008E2A0000}"/>
    <cellStyle name="Normal 15 3 2 2 3 2" xfId="16855" xr:uid="{00000000-0005-0000-0000-00008F2A0000}"/>
    <cellStyle name="Normal 15 3 2 2 3 2 2" xfId="33429" xr:uid="{00000000-0005-0000-0000-0000902A0000}"/>
    <cellStyle name="Normal 15 3 2 2 3 3" xfId="25382" xr:uid="{00000000-0005-0000-0000-0000912A0000}"/>
    <cellStyle name="Normal 15 3 2 2 4" xfId="12965" xr:uid="{00000000-0005-0000-0000-0000922A0000}"/>
    <cellStyle name="Normal 15 3 2 2 4 2" xfId="29498" xr:uid="{00000000-0005-0000-0000-0000932A0000}"/>
    <cellStyle name="Normal 15 3 2 2 5" xfId="21455" xr:uid="{00000000-0005-0000-0000-0000942A0000}"/>
    <cellStyle name="Normal 15 3 2 3" xfId="3324" xr:uid="{00000000-0005-0000-0000-0000952A0000}"/>
    <cellStyle name="Normal 15 3 2 3 2" xfId="7495" xr:uid="{00000000-0005-0000-0000-0000962A0000}"/>
    <cellStyle name="Normal 15 3 2 3 2 2" xfId="16856" xr:uid="{00000000-0005-0000-0000-0000972A0000}"/>
    <cellStyle name="Normal 15 3 2 3 2 2 2" xfId="33430" xr:uid="{00000000-0005-0000-0000-0000982A0000}"/>
    <cellStyle name="Normal 15 3 2 3 2 3" xfId="25383" xr:uid="{00000000-0005-0000-0000-0000992A0000}"/>
    <cellStyle name="Normal 15 3 2 3 3" xfId="12967" xr:uid="{00000000-0005-0000-0000-00009A2A0000}"/>
    <cellStyle name="Normal 15 3 2 3 3 2" xfId="29500" xr:uid="{00000000-0005-0000-0000-00009B2A0000}"/>
    <cellStyle name="Normal 15 3 2 3 4" xfId="21457" xr:uid="{00000000-0005-0000-0000-00009C2A0000}"/>
    <cellStyle name="Normal 15 3 2 4" xfId="7496" xr:uid="{00000000-0005-0000-0000-00009D2A0000}"/>
    <cellStyle name="Normal 15 3 2 4 2" xfId="16857" xr:uid="{00000000-0005-0000-0000-00009E2A0000}"/>
    <cellStyle name="Normal 15 3 2 4 2 2" xfId="33431" xr:uid="{00000000-0005-0000-0000-00009F2A0000}"/>
    <cellStyle name="Normal 15 3 2 4 3" xfId="25384" xr:uid="{00000000-0005-0000-0000-0000A02A0000}"/>
    <cellStyle name="Normal 15 3 2 5" xfId="12964" xr:uid="{00000000-0005-0000-0000-0000A12A0000}"/>
    <cellStyle name="Normal 15 3 2 5 2" xfId="29497" xr:uid="{00000000-0005-0000-0000-0000A22A0000}"/>
    <cellStyle name="Normal 15 3 2 6" xfId="21454" xr:uid="{00000000-0005-0000-0000-0000A32A0000}"/>
    <cellStyle name="Normal 15 3 3" xfId="3325" xr:uid="{00000000-0005-0000-0000-0000A42A0000}"/>
    <cellStyle name="Normal 15 3 3 2" xfId="3326" xr:uid="{00000000-0005-0000-0000-0000A52A0000}"/>
    <cellStyle name="Normal 15 3 3 2 2" xfId="7497" xr:uid="{00000000-0005-0000-0000-0000A62A0000}"/>
    <cellStyle name="Normal 15 3 3 2 2 2" xfId="16858" xr:uid="{00000000-0005-0000-0000-0000A72A0000}"/>
    <cellStyle name="Normal 15 3 3 2 2 2 2" xfId="33432" xr:uid="{00000000-0005-0000-0000-0000A82A0000}"/>
    <cellStyle name="Normal 15 3 3 2 2 3" xfId="25385" xr:uid="{00000000-0005-0000-0000-0000A92A0000}"/>
    <cellStyle name="Normal 15 3 3 2 3" xfId="12969" xr:uid="{00000000-0005-0000-0000-0000AA2A0000}"/>
    <cellStyle name="Normal 15 3 3 2 3 2" xfId="29502" xr:uid="{00000000-0005-0000-0000-0000AB2A0000}"/>
    <cellStyle name="Normal 15 3 3 2 4" xfId="21459" xr:uid="{00000000-0005-0000-0000-0000AC2A0000}"/>
    <cellStyle name="Normal 15 3 3 3" xfId="7498" xr:uid="{00000000-0005-0000-0000-0000AD2A0000}"/>
    <cellStyle name="Normal 15 3 3 3 2" xfId="16859" xr:uid="{00000000-0005-0000-0000-0000AE2A0000}"/>
    <cellStyle name="Normal 15 3 3 3 2 2" xfId="33433" xr:uid="{00000000-0005-0000-0000-0000AF2A0000}"/>
    <cellStyle name="Normal 15 3 3 3 3" xfId="25386" xr:uid="{00000000-0005-0000-0000-0000B02A0000}"/>
    <cellStyle name="Normal 15 3 3 4" xfId="12968" xr:uid="{00000000-0005-0000-0000-0000B12A0000}"/>
    <cellStyle name="Normal 15 3 3 4 2" xfId="29501" xr:uid="{00000000-0005-0000-0000-0000B22A0000}"/>
    <cellStyle name="Normal 15 3 3 5" xfId="21458" xr:uid="{00000000-0005-0000-0000-0000B32A0000}"/>
    <cellStyle name="Normal 15 3 4" xfId="3327" xr:uid="{00000000-0005-0000-0000-0000B42A0000}"/>
    <cellStyle name="Normal 15 3 4 2" xfId="7499" xr:uid="{00000000-0005-0000-0000-0000B52A0000}"/>
    <cellStyle name="Normal 15 3 4 2 2" xfId="16860" xr:uid="{00000000-0005-0000-0000-0000B62A0000}"/>
    <cellStyle name="Normal 15 3 4 2 2 2" xfId="33434" xr:uid="{00000000-0005-0000-0000-0000B72A0000}"/>
    <cellStyle name="Normal 15 3 4 2 3" xfId="25387" xr:uid="{00000000-0005-0000-0000-0000B82A0000}"/>
    <cellStyle name="Normal 15 3 4 3" xfId="12970" xr:uid="{00000000-0005-0000-0000-0000B92A0000}"/>
    <cellStyle name="Normal 15 3 4 3 2" xfId="29503" xr:uid="{00000000-0005-0000-0000-0000BA2A0000}"/>
    <cellStyle name="Normal 15 3 4 4" xfId="21460" xr:uid="{00000000-0005-0000-0000-0000BB2A0000}"/>
    <cellStyle name="Normal 15 3 5" xfId="3328" xr:uid="{00000000-0005-0000-0000-0000BC2A0000}"/>
    <cellStyle name="Normal 15 3 5 2" xfId="12971" xr:uid="{00000000-0005-0000-0000-0000BD2A0000}"/>
    <cellStyle name="Normal 15 3 5 2 2" xfId="29504" xr:uid="{00000000-0005-0000-0000-0000BE2A0000}"/>
    <cellStyle name="Normal 15 3 5 3" xfId="21461" xr:uid="{00000000-0005-0000-0000-0000BF2A0000}"/>
    <cellStyle name="Normal 15 4" xfId="3329" xr:uid="{00000000-0005-0000-0000-0000C02A0000}"/>
    <cellStyle name="Normal 15 4 2" xfId="3330" xr:uid="{00000000-0005-0000-0000-0000C12A0000}"/>
    <cellStyle name="Normal 15 4 2 2" xfId="3331" xr:uid="{00000000-0005-0000-0000-0000C22A0000}"/>
    <cellStyle name="Normal 15 4 2 2 2" xfId="3332" xr:uid="{00000000-0005-0000-0000-0000C32A0000}"/>
    <cellStyle name="Normal 15 4 2 2 2 2" xfId="7500" xr:uid="{00000000-0005-0000-0000-0000C42A0000}"/>
    <cellStyle name="Normal 15 4 2 2 2 2 2" xfId="16861" xr:uid="{00000000-0005-0000-0000-0000C52A0000}"/>
    <cellStyle name="Normal 15 4 2 2 2 2 2 2" xfId="33435" xr:uid="{00000000-0005-0000-0000-0000C62A0000}"/>
    <cellStyle name="Normal 15 4 2 2 2 2 3" xfId="25388" xr:uid="{00000000-0005-0000-0000-0000C72A0000}"/>
    <cellStyle name="Normal 15 4 2 2 2 3" xfId="12975" xr:uid="{00000000-0005-0000-0000-0000C82A0000}"/>
    <cellStyle name="Normal 15 4 2 2 2 3 2" xfId="29508" xr:uid="{00000000-0005-0000-0000-0000C92A0000}"/>
    <cellStyle name="Normal 15 4 2 2 2 4" xfId="21465" xr:uid="{00000000-0005-0000-0000-0000CA2A0000}"/>
    <cellStyle name="Normal 15 4 2 2 3" xfId="7501" xr:uid="{00000000-0005-0000-0000-0000CB2A0000}"/>
    <cellStyle name="Normal 15 4 2 2 3 2" xfId="16862" xr:uid="{00000000-0005-0000-0000-0000CC2A0000}"/>
    <cellStyle name="Normal 15 4 2 2 3 2 2" xfId="33436" xr:uid="{00000000-0005-0000-0000-0000CD2A0000}"/>
    <cellStyle name="Normal 15 4 2 2 3 3" xfId="25389" xr:uid="{00000000-0005-0000-0000-0000CE2A0000}"/>
    <cellStyle name="Normal 15 4 2 2 4" xfId="12974" xr:uid="{00000000-0005-0000-0000-0000CF2A0000}"/>
    <cellStyle name="Normal 15 4 2 2 4 2" xfId="29507" xr:uid="{00000000-0005-0000-0000-0000D02A0000}"/>
    <cellStyle name="Normal 15 4 2 2 5" xfId="21464" xr:uid="{00000000-0005-0000-0000-0000D12A0000}"/>
    <cellStyle name="Normal 15 4 2 3" xfId="3333" xr:uid="{00000000-0005-0000-0000-0000D22A0000}"/>
    <cellStyle name="Normal 15 4 2 3 2" xfId="7502" xr:uid="{00000000-0005-0000-0000-0000D32A0000}"/>
    <cellStyle name="Normal 15 4 2 3 2 2" xfId="16863" xr:uid="{00000000-0005-0000-0000-0000D42A0000}"/>
    <cellStyle name="Normal 15 4 2 3 2 2 2" xfId="33437" xr:uid="{00000000-0005-0000-0000-0000D52A0000}"/>
    <cellStyle name="Normal 15 4 2 3 2 3" xfId="25390" xr:uid="{00000000-0005-0000-0000-0000D62A0000}"/>
    <cellStyle name="Normal 15 4 2 3 3" xfId="12976" xr:uid="{00000000-0005-0000-0000-0000D72A0000}"/>
    <cellStyle name="Normal 15 4 2 3 3 2" xfId="29509" xr:uid="{00000000-0005-0000-0000-0000D82A0000}"/>
    <cellStyle name="Normal 15 4 2 3 4" xfId="21466" xr:uid="{00000000-0005-0000-0000-0000D92A0000}"/>
    <cellStyle name="Normal 15 4 2 4" xfId="7503" xr:uid="{00000000-0005-0000-0000-0000DA2A0000}"/>
    <cellStyle name="Normal 15 4 2 4 2" xfId="16864" xr:uid="{00000000-0005-0000-0000-0000DB2A0000}"/>
    <cellStyle name="Normal 15 4 2 4 2 2" xfId="33438" xr:uid="{00000000-0005-0000-0000-0000DC2A0000}"/>
    <cellStyle name="Normal 15 4 2 4 3" xfId="25391" xr:uid="{00000000-0005-0000-0000-0000DD2A0000}"/>
    <cellStyle name="Normal 15 4 2 5" xfId="12973" xr:uid="{00000000-0005-0000-0000-0000DE2A0000}"/>
    <cellStyle name="Normal 15 4 2 5 2" xfId="29506" xr:uid="{00000000-0005-0000-0000-0000DF2A0000}"/>
    <cellStyle name="Normal 15 4 2 6" xfId="21463" xr:uid="{00000000-0005-0000-0000-0000E02A0000}"/>
    <cellStyle name="Normal 15 4 3" xfId="3334" xr:uid="{00000000-0005-0000-0000-0000E12A0000}"/>
    <cellStyle name="Normal 15 4 3 2" xfId="3335" xr:uid="{00000000-0005-0000-0000-0000E22A0000}"/>
    <cellStyle name="Normal 15 4 3 2 2" xfId="7504" xr:uid="{00000000-0005-0000-0000-0000E32A0000}"/>
    <cellStyle name="Normal 15 4 3 2 2 2" xfId="16865" xr:uid="{00000000-0005-0000-0000-0000E42A0000}"/>
    <cellStyle name="Normal 15 4 3 2 2 2 2" xfId="33439" xr:uid="{00000000-0005-0000-0000-0000E52A0000}"/>
    <cellStyle name="Normal 15 4 3 2 2 3" xfId="25392" xr:uid="{00000000-0005-0000-0000-0000E62A0000}"/>
    <cellStyle name="Normal 15 4 3 2 3" xfId="12978" xr:uid="{00000000-0005-0000-0000-0000E72A0000}"/>
    <cellStyle name="Normal 15 4 3 2 3 2" xfId="29511" xr:uid="{00000000-0005-0000-0000-0000E82A0000}"/>
    <cellStyle name="Normal 15 4 3 2 4" xfId="21468" xr:uid="{00000000-0005-0000-0000-0000E92A0000}"/>
    <cellStyle name="Normal 15 4 3 3" xfId="7505" xr:uid="{00000000-0005-0000-0000-0000EA2A0000}"/>
    <cellStyle name="Normal 15 4 3 3 2" xfId="16866" xr:uid="{00000000-0005-0000-0000-0000EB2A0000}"/>
    <cellStyle name="Normal 15 4 3 3 2 2" xfId="33440" xr:uid="{00000000-0005-0000-0000-0000EC2A0000}"/>
    <cellStyle name="Normal 15 4 3 3 3" xfId="25393" xr:uid="{00000000-0005-0000-0000-0000ED2A0000}"/>
    <cellStyle name="Normal 15 4 3 4" xfId="12977" xr:uid="{00000000-0005-0000-0000-0000EE2A0000}"/>
    <cellStyle name="Normal 15 4 3 4 2" xfId="29510" xr:uid="{00000000-0005-0000-0000-0000EF2A0000}"/>
    <cellStyle name="Normal 15 4 3 5" xfId="21467" xr:uid="{00000000-0005-0000-0000-0000F02A0000}"/>
    <cellStyle name="Normal 15 4 4" xfId="3336" xr:uid="{00000000-0005-0000-0000-0000F12A0000}"/>
    <cellStyle name="Normal 15 4 4 2" xfId="7506" xr:uid="{00000000-0005-0000-0000-0000F22A0000}"/>
    <cellStyle name="Normal 15 4 4 2 2" xfId="16867" xr:uid="{00000000-0005-0000-0000-0000F32A0000}"/>
    <cellStyle name="Normal 15 4 4 2 2 2" xfId="33441" xr:uid="{00000000-0005-0000-0000-0000F42A0000}"/>
    <cellStyle name="Normal 15 4 4 2 3" xfId="25394" xr:uid="{00000000-0005-0000-0000-0000F52A0000}"/>
    <cellStyle name="Normal 15 4 4 3" xfId="12979" xr:uid="{00000000-0005-0000-0000-0000F62A0000}"/>
    <cellStyle name="Normal 15 4 4 3 2" xfId="29512" xr:uid="{00000000-0005-0000-0000-0000F72A0000}"/>
    <cellStyle name="Normal 15 4 4 4" xfId="21469" xr:uid="{00000000-0005-0000-0000-0000F82A0000}"/>
    <cellStyle name="Normal 15 4 5" xfId="7507" xr:uid="{00000000-0005-0000-0000-0000F92A0000}"/>
    <cellStyle name="Normal 15 4 5 2" xfId="16868" xr:uid="{00000000-0005-0000-0000-0000FA2A0000}"/>
    <cellStyle name="Normal 15 4 5 2 2" xfId="33442" xr:uid="{00000000-0005-0000-0000-0000FB2A0000}"/>
    <cellStyle name="Normal 15 4 5 3" xfId="25395" xr:uid="{00000000-0005-0000-0000-0000FC2A0000}"/>
    <cellStyle name="Normal 15 4 6" xfId="12972" xr:uid="{00000000-0005-0000-0000-0000FD2A0000}"/>
    <cellStyle name="Normal 15 4 6 2" xfId="29505" xr:uid="{00000000-0005-0000-0000-0000FE2A0000}"/>
    <cellStyle name="Normal 15 4 7" xfId="21462" xr:uid="{00000000-0005-0000-0000-0000FF2A0000}"/>
    <cellStyle name="Normal 15 5" xfId="3337" xr:uid="{00000000-0005-0000-0000-0000002B0000}"/>
    <cellStyle name="Normal 15 5 2" xfId="3338" xr:uid="{00000000-0005-0000-0000-0000012B0000}"/>
    <cellStyle name="Normal 15 5 2 2" xfId="3339" xr:uid="{00000000-0005-0000-0000-0000022B0000}"/>
    <cellStyle name="Normal 15 5 2 2 2" xfId="3340" xr:uid="{00000000-0005-0000-0000-0000032B0000}"/>
    <cellStyle name="Normal 15 5 2 2 2 2" xfId="7508" xr:uid="{00000000-0005-0000-0000-0000042B0000}"/>
    <cellStyle name="Normal 15 5 2 2 2 2 2" xfId="16869" xr:uid="{00000000-0005-0000-0000-0000052B0000}"/>
    <cellStyle name="Normal 15 5 2 2 2 2 2 2" xfId="33443" xr:uid="{00000000-0005-0000-0000-0000062B0000}"/>
    <cellStyle name="Normal 15 5 2 2 2 2 3" xfId="25396" xr:uid="{00000000-0005-0000-0000-0000072B0000}"/>
    <cellStyle name="Normal 15 5 2 2 2 3" xfId="12983" xr:uid="{00000000-0005-0000-0000-0000082B0000}"/>
    <cellStyle name="Normal 15 5 2 2 2 3 2" xfId="29516" xr:uid="{00000000-0005-0000-0000-0000092B0000}"/>
    <cellStyle name="Normal 15 5 2 2 2 4" xfId="21473" xr:uid="{00000000-0005-0000-0000-00000A2B0000}"/>
    <cellStyle name="Normal 15 5 2 2 3" xfId="7509" xr:uid="{00000000-0005-0000-0000-00000B2B0000}"/>
    <cellStyle name="Normal 15 5 2 2 3 2" xfId="16870" xr:uid="{00000000-0005-0000-0000-00000C2B0000}"/>
    <cellStyle name="Normal 15 5 2 2 3 2 2" xfId="33444" xr:uid="{00000000-0005-0000-0000-00000D2B0000}"/>
    <cellStyle name="Normal 15 5 2 2 3 3" xfId="25397" xr:uid="{00000000-0005-0000-0000-00000E2B0000}"/>
    <cellStyle name="Normal 15 5 2 2 4" xfId="12982" xr:uid="{00000000-0005-0000-0000-00000F2B0000}"/>
    <cellStyle name="Normal 15 5 2 2 4 2" xfId="29515" xr:uid="{00000000-0005-0000-0000-0000102B0000}"/>
    <cellStyle name="Normal 15 5 2 2 5" xfId="21472" xr:uid="{00000000-0005-0000-0000-0000112B0000}"/>
    <cellStyle name="Normal 15 5 2 3" xfId="3341" xr:uid="{00000000-0005-0000-0000-0000122B0000}"/>
    <cellStyle name="Normal 15 5 2 3 2" xfId="7510" xr:uid="{00000000-0005-0000-0000-0000132B0000}"/>
    <cellStyle name="Normal 15 5 2 3 2 2" xfId="16871" xr:uid="{00000000-0005-0000-0000-0000142B0000}"/>
    <cellStyle name="Normal 15 5 2 3 2 2 2" xfId="33445" xr:uid="{00000000-0005-0000-0000-0000152B0000}"/>
    <cellStyle name="Normal 15 5 2 3 2 3" xfId="25398" xr:uid="{00000000-0005-0000-0000-0000162B0000}"/>
    <cellStyle name="Normal 15 5 2 3 3" xfId="12984" xr:uid="{00000000-0005-0000-0000-0000172B0000}"/>
    <cellStyle name="Normal 15 5 2 3 3 2" xfId="29517" xr:uid="{00000000-0005-0000-0000-0000182B0000}"/>
    <cellStyle name="Normal 15 5 2 3 4" xfId="21474" xr:uid="{00000000-0005-0000-0000-0000192B0000}"/>
    <cellStyle name="Normal 15 5 2 4" xfId="7511" xr:uid="{00000000-0005-0000-0000-00001A2B0000}"/>
    <cellStyle name="Normal 15 5 2 4 2" xfId="16872" xr:uid="{00000000-0005-0000-0000-00001B2B0000}"/>
    <cellStyle name="Normal 15 5 2 4 2 2" xfId="33446" xr:uid="{00000000-0005-0000-0000-00001C2B0000}"/>
    <cellStyle name="Normal 15 5 2 4 3" xfId="25399" xr:uid="{00000000-0005-0000-0000-00001D2B0000}"/>
    <cellStyle name="Normal 15 5 2 5" xfId="12981" xr:uid="{00000000-0005-0000-0000-00001E2B0000}"/>
    <cellStyle name="Normal 15 5 2 5 2" xfId="29514" xr:uid="{00000000-0005-0000-0000-00001F2B0000}"/>
    <cellStyle name="Normal 15 5 2 6" xfId="21471" xr:uid="{00000000-0005-0000-0000-0000202B0000}"/>
    <cellStyle name="Normal 15 5 3" xfId="3342" xr:uid="{00000000-0005-0000-0000-0000212B0000}"/>
    <cellStyle name="Normal 15 5 3 2" xfId="3343" xr:uid="{00000000-0005-0000-0000-0000222B0000}"/>
    <cellStyle name="Normal 15 5 3 2 2" xfId="7512" xr:uid="{00000000-0005-0000-0000-0000232B0000}"/>
    <cellStyle name="Normal 15 5 3 2 2 2" xfId="16873" xr:uid="{00000000-0005-0000-0000-0000242B0000}"/>
    <cellStyle name="Normal 15 5 3 2 2 2 2" xfId="33447" xr:uid="{00000000-0005-0000-0000-0000252B0000}"/>
    <cellStyle name="Normal 15 5 3 2 2 3" xfId="25400" xr:uid="{00000000-0005-0000-0000-0000262B0000}"/>
    <cellStyle name="Normal 15 5 3 2 3" xfId="12986" xr:uid="{00000000-0005-0000-0000-0000272B0000}"/>
    <cellStyle name="Normal 15 5 3 2 3 2" xfId="29519" xr:uid="{00000000-0005-0000-0000-0000282B0000}"/>
    <cellStyle name="Normal 15 5 3 2 4" xfId="21476" xr:uid="{00000000-0005-0000-0000-0000292B0000}"/>
    <cellStyle name="Normal 15 5 3 3" xfId="7513" xr:uid="{00000000-0005-0000-0000-00002A2B0000}"/>
    <cellStyle name="Normal 15 5 3 3 2" xfId="16874" xr:uid="{00000000-0005-0000-0000-00002B2B0000}"/>
    <cellStyle name="Normal 15 5 3 3 2 2" xfId="33448" xr:uid="{00000000-0005-0000-0000-00002C2B0000}"/>
    <cellStyle name="Normal 15 5 3 3 3" xfId="25401" xr:uid="{00000000-0005-0000-0000-00002D2B0000}"/>
    <cellStyle name="Normal 15 5 3 4" xfId="12985" xr:uid="{00000000-0005-0000-0000-00002E2B0000}"/>
    <cellStyle name="Normal 15 5 3 4 2" xfId="29518" xr:uid="{00000000-0005-0000-0000-00002F2B0000}"/>
    <cellStyle name="Normal 15 5 3 5" xfId="21475" xr:uid="{00000000-0005-0000-0000-0000302B0000}"/>
    <cellStyle name="Normal 15 5 4" xfId="3344" xr:uid="{00000000-0005-0000-0000-0000312B0000}"/>
    <cellStyle name="Normal 15 5 4 2" xfId="7514" xr:uid="{00000000-0005-0000-0000-0000322B0000}"/>
    <cellStyle name="Normal 15 5 4 2 2" xfId="16875" xr:uid="{00000000-0005-0000-0000-0000332B0000}"/>
    <cellStyle name="Normal 15 5 4 2 2 2" xfId="33449" xr:uid="{00000000-0005-0000-0000-0000342B0000}"/>
    <cellStyle name="Normal 15 5 4 2 3" xfId="25402" xr:uid="{00000000-0005-0000-0000-0000352B0000}"/>
    <cellStyle name="Normal 15 5 4 3" xfId="12987" xr:uid="{00000000-0005-0000-0000-0000362B0000}"/>
    <cellStyle name="Normal 15 5 4 3 2" xfId="29520" xr:uid="{00000000-0005-0000-0000-0000372B0000}"/>
    <cellStyle name="Normal 15 5 4 4" xfId="21477" xr:uid="{00000000-0005-0000-0000-0000382B0000}"/>
    <cellStyle name="Normal 15 5 5" xfId="7515" xr:uid="{00000000-0005-0000-0000-0000392B0000}"/>
    <cellStyle name="Normal 15 5 5 2" xfId="16876" xr:uid="{00000000-0005-0000-0000-00003A2B0000}"/>
    <cellStyle name="Normal 15 5 5 2 2" xfId="33450" xr:uid="{00000000-0005-0000-0000-00003B2B0000}"/>
    <cellStyle name="Normal 15 5 5 3" xfId="25403" xr:uid="{00000000-0005-0000-0000-00003C2B0000}"/>
    <cellStyle name="Normal 15 5 6" xfId="12980" xr:uid="{00000000-0005-0000-0000-00003D2B0000}"/>
    <cellStyle name="Normal 15 5 6 2" xfId="29513" xr:uid="{00000000-0005-0000-0000-00003E2B0000}"/>
    <cellStyle name="Normal 15 5 7" xfId="21470" xr:uid="{00000000-0005-0000-0000-00003F2B0000}"/>
    <cellStyle name="Normal 15 6" xfId="3345" xr:uid="{00000000-0005-0000-0000-0000402B0000}"/>
    <cellStyle name="Normal 15 6 2" xfId="3346" xr:uid="{00000000-0005-0000-0000-0000412B0000}"/>
    <cellStyle name="Normal 15 6 2 2" xfId="3347" xr:uid="{00000000-0005-0000-0000-0000422B0000}"/>
    <cellStyle name="Normal 15 6 2 2 2" xfId="7516" xr:uid="{00000000-0005-0000-0000-0000432B0000}"/>
    <cellStyle name="Normal 15 6 2 2 2 2" xfId="16877" xr:uid="{00000000-0005-0000-0000-0000442B0000}"/>
    <cellStyle name="Normal 15 6 2 2 2 2 2" xfId="33451" xr:uid="{00000000-0005-0000-0000-0000452B0000}"/>
    <cellStyle name="Normal 15 6 2 2 2 3" xfId="25404" xr:uid="{00000000-0005-0000-0000-0000462B0000}"/>
    <cellStyle name="Normal 15 6 2 2 3" xfId="12990" xr:uid="{00000000-0005-0000-0000-0000472B0000}"/>
    <cellStyle name="Normal 15 6 2 2 3 2" xfId="29523" xr:uid="{00000000-0005-0000-0000-0000482B0000}"/>
    <cellStyle name="Normal 15 6 2 2 4" xfId="21480" xr:uid="{00000000-0005-0000-0000-0000492B0000}"/>
    <cellStyle name="Normal 15 6 2 3" xfId="7517" xr:uid="{00000000-0005-0000-0000-00004A2B0000}"/>
    <cellStyle name="Normal 15 6 2 3 2" xfId="16878" xr:uid="{00000000-0005-0000-0000-00004B2B0000}"/>
    <cellStyle name="Normal 15 6 2 3 2 2" xfId="33452" xr:uid="{00000000-0005-0000-0000-00004C2B0000}"/>
    <cellStyle name="Normal 15 6 2 3 3" xfId="25405" xr:uid="{00000000-0005-0000-0000-00004D2B0000}"/>
    <cellStyle name="Normal 15 6 2 4" xfId="12989" xr:uid="{00000000-0005-0000-0000-00004E2B0000}"/>
    <cellStyle name="Normal 15 6 2 4 2" xfId="29522" xr:uid="{00000000-0005-0000-0000-00004F2B0000}"/>
    <cellStyle name="Normal 15 6 2 5" xfId="21479" xr:uid="{00000000-0005-0000-0000-0000502B0000}"/>
    <cellStyle name="Normal 15 6 3" xfId="3348" xr:uid="{00000000-0005-0000-0000-0000512B0000}"/>
    <cellStyle name="Normal 15 6 3 2" xfId="7518" xr:uid="{00000000-0005-0000-0000-0000522B0000}"/>
    <cellStyle name="Normal 15 6 3 2 2" xfId="16879" xr:uid="{00000000-0005-0000-0000-0000532B0000}"/>
    <cellStyle name="Normal 15 6 3 2 2 2" xfId="33453" xr:uid="{00000000-0005-0000-0000-0000542B0000}"/>
    <cellStyle name="Normal 15 6 3 2 3" xfId="25406" xr:uid="{00000000-0005-0000-0000-0000552B0000}"/>
    <cellStyle name="Normal 15 6 3 3" xfId="12991" xr:uid="{00000000-0005-0000-0000-0000562B0000}"/>
    <cellStyle name="Normal 15 6 3 3 2" xfId="29524" xr:uid="{00000000-0005-0000-0000-0000572B0000}"/>
    <cellStyle name="Normal 15 6 3 4" xfId="21481" xr:uid="{00000000-0005-0000-0000-0000582B0000}"/>
    <cellStyle name="Normal 15 6 4" xfId="7519" xr:uid="{00000000-0005-0000-0000-0000592B0000}"/>
    <cellStyle name="Normal 15 6 4 2" xfId="16880" xr:uid="{00000000-0005-0000-0000-00005A2B0000}"/>
    <cellStyle name="Normal 15 6 4 2 2" xfId="33454" xr:uid="{00000000-0005-0000-0000-00005B2B0000}"/>
    <cellStyle name="Normal 15 6 4 3" xfId="25407" xr:uid="{00000000-0005-0000-0000-00005C2B0000}"/>
    <cellStyle name="Normal 15 6 5" xfId="12988" xr:uid="{00000000-0005-0000-0000-00005D2B0000}"/>
    <cellStyle name="Normal 15 6 5 2" xfId="29521" xr:uid="{00000000-0005-0000-0000-00005E2B0000}"/>
    <cellStyle name="Normal 15 6 6" xfId="21478" xr:uid="{00000000-0005-0000-0000-00005F2B0000}"/>
    <cellStyle name="Normal 15 7" xfId="3349" xr:uid="{00000000-0005-0000-0000-0000602B0000}"/>
    <cellStyle name="Normal 15 7 2" xfId="3350" xr:uid="{00000000-0005-0000-0000-0000612B0000}"/>
    <cellStyle name="Normal 15 7 2 2" xfId="7520" xr:uid="{00000000-0005-0000-0000-0000622B0000}"/>
    <cellStyle name="Normal 15 7 2 2 2" xfId="16881" xr:uid="{00000000-0005-0000-0000-0000632B0000}"/>
    <cellStyle name="Normal 15 7 2 2 2 2" xfId="33455" xr:uid="{00000000-0005-0000-0000-0000642B0000}"/>
    <cellStyle name="Normal 15 7 2 2 3" xfId="25408" xr:uid="{00000000-0005-0000-0000-0000652B0000}"/>
    <cellStyle name="Normal 15 7 2 3" xfId="12993" xr:uid="{00000000-0005-0000-0000-0000662B0000}"/>
    <cellStyle name="Normal 15 7 2 3 2" xfId="29526" xr:uid="{00000000-0005-0000-0000-0000672B0000}"/>
    <cellStyle name="Normal 15 7 2 4" xfId="21483" xr:uid="{00000000-0005-0000-0000-0000682B0000}"/>
    <cellStyle name="Normal 15 7 3" xfId="7521" xr:uid="{00000000-0005-0000-0000-0000692B0000}"/>
    <cellStyle name="Normal 15 7 3 2" xfId="16882" xr:uid="{00000000-0005-0000-0000-00006A2B0000}"/>
    <cellStyle name="Normal 15 7 3 2 2" xfId="33456" xr:uid="{00000000-0005-0000-0000-00006B2B0000}"/>
    <cellStyle name="Normal 15 7 3 3" xfId="25409" xr:uid="{00000000-0005-0000-0000-00006C2B0000}"/>
    <cellStyle name="Normal 15 7 4" xfId="12992" xr:uid="{00000000-0005-0000-0000-00006D2B0000}"/>
    <cellStyle name="Normal 15 7 4 2" xfId="29525" xr:uid="{00000000-0005-0000-0000-00006E2B0000}"/>
    <cellStyle name="Normal 15 7 5" xfId="21482" xr:uid="{00000000-0005-0000-0000-00006F2B0000}"/>
    <cellStyle name="Normal 15 8" xfId="3351" xr:uid="{00000000-0005-0000-0000-0000702B0000}"/>
    <cellStyle name="Normal 15 8 2" xfId="7522" xr:uid="{00000000-0005-0000-0000-0000712B0000}"/>
    <cellStyle name="Normal 15 8 2 2" xfId="16883" xr:uid="{00000000-0005-0000-0000-0000722B0000}"/>
    <cellStyle name="Normal 15 8 2 2 2" xfId="33457" xr:uid="{00000000-0005-0000-0000-0000732B0000}"/>
    <cellStyle name="Normal 15 8 2 3" xfId="25410" xr:uid="{00000000-0005-0000-0000-0000742B0000}"/>
    <cellStyle name="Normal 15 8 3" xfId="12994" xr:uid="{00000000-0005-0000-0000-0000752B0000}"/>
    <cellStyle name="Normal 15 8 3 2" xfId="29527" xr:uid="{00000000-0005-0000-0000-0000762B0000}"/>
    <cellStyle name="Normal 15 8 4" xfId="21484" xr:uid="{00000000-0005-0000-0000-0000772B0000}"/>
    <cellStyle name="Normal 15 9" xfId="7523" xr:uid="{00000000-0005-0000-0000-0000782B0000}"/>
    <cellStyle name="Normal 15 9 2" xfId="16884" xr:uid="{00000000-0005-0000-0000-0000792B0000}"/>
    <cellStyle name="Normal 15 9 2 2" xfId="33458" xr:uid="{00000000-0005-0000-0000-00007A2B0000}"/>
    <cellStyle name="Normal 15 9 3" xfId="25411" xr:uid="{00000000-0005-0000-0000-00007B2B0000}"/>
    <cellStyle name="Normal 150" xfId="10454" xr:uid="{00000000-0005-0000-0000-00007C2B0000}"/>
    <cellStyle name="Normal 151" xfId="10457" xr:uid="{00000000-0005-0000-0000-00007D2B0000}"/>
    <cellStyle name="Normal 152" xfId="10460" xr:uid="{00000000-0005-0000-0000-00007E2B0000}"/>
    <cellStyle name="Normal 153" xfId="10463" xr:uid="{00000000-0005-0000-0000-00007F2B0000}"/>
    <cellStyle name="Normal 154" xfId="10466" xr:uid="{00000000-0005-0000-0000-0000802B0000}"/>
    <cellStyle name="Normal 155" xfId="10469" xr:uid="{00000000-0005-0000-0000-0000812B0000}"/>
    <cellStyle name="Normal 156" xfId="10472" xr:uid="{00000000-0005-0000-0000-0000822B0000}"/>
    <cellStyle name="Normal 157" xfId="10475" xr:uid="{00000000-0005-0000-0000-0000832B0000}"/>
    <cellStyle name="Normal 158" xfId="10478" xr:uid="{00000000-0005-0000-0000-0000842B0000}"/>
    <cellStyle name="Normal 159" xfId="10481" xr:uid="{00000000-0005-0000-0000-0000852B0000}"/>
    <cellStyle name="Normal 16" xfId="1665" xr:uid="{00000000-0005-0000-0000-0000862B0000}"/>
    <cellStyle name="Normal 16 10" xfId="3352" xr:uid="{00000000-0005-0000-0000-0000872B0000}"/>
    <cellStyle name="Normal 16 10 2" xfId="29528" xr:uid="{00000000-0005-0000-0000-0000882B0000}"/>
    <cellStyle name="Normal 16 11" xfId="21485" xr:uid="{00000000-0005-0000-0000-0000892B0000}"/>
    <cellStyle name="Normal 16 2" xfId="3353" xr:uid="{00000000-0005-0000-0000-00008A2B0000}"/>
    <cellStyle name="Normal 16 2 2" xfId="3354" xr:uid="{00000000-0005-0000-0000-00008B2B0000}"/>
    <cellStyle name="Normal 16 2 3" xfId="12995" xr:uid="{00000000-0005-0000-0000-00008C2B0000}"/>
    <cellStyle name="Normal 16 2 3 2" xfId="29529" xr:uid="{00000000-0005-0000-0000-00008D2B0000}"/>
    <cellStyle name="Normal 16 2 4" xfId="21486" xr:uid="{00000000-0005-0000-0000-00008E2B0000}"/>
    <cellStyle name="Normal 16 3" xfId="3355" xr:uid="{00000000-0005-0000-0000-00008F2B0000}"/>
    <cellStyle name="Normal 16 3 2" xfId="3356" xr:uid="{00000000-0005-0000-0000-0000902B0000}"/>
    <cellStyle name="Normal 16 3 2 2" xfId="3357" xr:uid="{00000000-0005-0000-0000-0000912B0000}"/>
    <cellStyle name="Normal 16 3 2 2 2" xfId="3358" xr:uid="{00000000-0005-0000-0000-0000922B0000}"/>
    <cellStyle name="Normal 16 3 2 2 2 2" xfId="7524" xr:uid="{00000000-0005-0000-0000-0000932B0000}"/>
    <cellStyle name="Normal 16 3 2 2 2 2 2" xfId="16885" xr:uid="{00000000-0005-0000-0000-0000942B0000}"/>
    <cellStyle name="Normal 16 3 2 2 2 2 2 2" xfId="33459" xr:uid="{00000000-0005-0000-0000-0000952B0000}"/>
    <cellStyle name="Normal 16 3 2 2 2 2 3" xfId="25412" xr:uid="{00000000-0005-0000-0000-0000962B0000}"/>
    <cellStyle name="Normal 16 3 2 2 2 3" xfId="12998" xr:uid="{00000000-0005-0000-0000-0000972B0000}"/>
    <cellStyle name="Normal 16 3 2 2 2 3 2" xfId="29532" xr:uid="{00000000-0005-0000-0000-0000982B0000}"/>
    <cellStyle name="Normal 16 3 2 2 2 4" xfId="21489" xr:uid="{00000000-0005-0000-0000-0000992B0000}"/>
    <cellStyle name="Normal 16 3 2 2 3" xfId="7525" xr:uid="{00000000-0005-0000-0000-00009A2B0000}"/>
    <cellStyle name="Normal 16 3 2 2 3 2" xfId="16886" xr:uid="{00000000-0005-0000-0000-00009B2B0000}"/>
    <cellStyle name="Normal 16 3 2 2 3 2 2" xfId="33460" xr:uid="{00000000-0005-0000-0000-00009C2B0000}"/>
    <cellStyle name="Normal 16 3 2 2 3 3" xfId="25413" xr:uid="{00000000-0005-0000-0000-00009D2B0000}"/>
    <cellStyle name="Normal 16 3 2 2 4" xfId="12997" xr:uid="{00000000-0005-0000-0000-00009E2B0000}"/>
    <cellStyle name="Normal 16 3 2 2 4 2" xfId="29531" xr:uid="{00000000-0005-0000-0000-00009F2B0000}"/>
    <cellStyle name="Normal 16 3 2 2 5" xfId="21488" xr:uid="{00000000-0005-0000-0000-0000A02B0000}"/>
    <cellStyle name="Normal 16 3 2 3" xfId="3359" xr:uid="{00000000-0005-0000-0000-0000A12B0000}"/>
    <cellStyle name="Normal 16 3 2 3 2" xfId="7526" xr:uid="{00000000-0005-0000-0000-0000A22B0000}"/>
    <cellStyle name="Normal 16 3 2 3 2 2" xfId="16887" xr:uid="{00000000-0005-0000-0000-0000A32B0000}"/>
    <cellStyle name="Normal 16 3 2 3 2 2 2" xfId="33461" xr:uid="{00000000-0005-0000-0000-0000A42B0000}"/>
    <cellStyle name="Normal 16 3 2 3 2 3" xfId="25414" xr:uid="{00000000-0005-0000-0000-0000A52B0000}"/>
    <cellStyle name="Normal 16 3 2 3 3" xfId="12999" xr:uid="{00000000-0005-0000-0000-0000A62B0000}"/>
    <cellStyle name="Normal 16 3 2 3 3 2" xfId="29533" xr:uid="{00000000-0005-0000-0000-0000A72B0000}"/>
    <cellStyle name="Normal 16 3 2 3 4" xfId="21490" xr:uid="{00000000-0005-0000-0000-0000A82B0000}"/>
    <cellStyle name="Normal 16 3 2 4" xfId="7527" xr:uid="{00000000-0005-0000-0000-0000A92B0000}"/>
    <cellStyle name="Normal 16 3 2 4 2" xfId="16888" xr:uid="{00000000-0005-0000-0000-0000AA2B0000}"/>
    <cellStyle name="Normal 16 3 2 4 2 2" xfId="33462" xr:uid="{00000000-0005-0000-0000-0000AB2B0000}"/>
    <cellStyle name="Normal 16 3 2 4 3" xfId="25415" xr:uid="{00000000-0005-0000-0000-0000AC2B0000}"/>
    <cellStyle name="Normal 16 3 2 5" xfId="12996" xr:uid="{00000000-0005-0000-0000-0000AD2B0000}"/>
    <cellStyle name="Normal 16 3 2 5 2" xfId="29530" xr:uid="{00000000-0005-0000-0000-0000AE2B0000}"/>
    <cellStyle name="Normal 16 3 2 6" xfId="21487" xr:uid="{00000000-0005-0000-0000-0000AF2B0000}"/>
    <cellStyle name="Normal 16 3 3" xfId="3360" xr:uid="{00000000-0005-0000-0000-0000B02B0000}"/>
    <cellStyle name="Normal 16 3 3 2" xfId="3361" xr:uid="{00000000-0005-0000-0000-0000B12B0000}"/>
    <cellStyle name="Normal 16 3 3 2 2" xfId="7528" xr:uid="{00000000-0005-0000-0000-0000B22B0000}"/>
    <cellStyle name="Normal 16 3 3 2 2 2" xfId="16889" xr:uid="{00000000-0005-0000-0000-0000B32B0000}"/>
    <cellStyle name="Normal 16 3 3 2 2 2 2" xfId="33463" xr:uid="{00000000-0005-0000-0000-0000B42B0000}"/>
    <cellStyle name="Normal 16 3 3 2 2 3" xfId="25416" xr:uid="{00000000-0005-0000-0000-0000B52B0000}"/>
    <cellStyle name="Normal 16 3 3 2 3" xfId="13001" xr:uid="{00000000-0005-0000-0000-0000B62B0000}"/>
    <cellStyle name="Normal 16 3 3 2 3 2" xfId="29535" xr:uid="{00000000-0005-0000-0000-0000B72B0000}"/>
    <cellStyle name="Normal 16 3 3 2 4" xfId="21492" xr:uid="{00000000-0005-0000-0000-0000B82B0000}"/>
    <cellStyle name="Normal 16 3 3 3" xfId="7529" xr:uid="{00000000-0005-0000-0000-0000B92B0000}"/>
    <cellStyle name="Normal 16 3 3 3 2" xfId="16890" xr:uid="{00000000-0005-0000-0000-0000BA2B0000}"/>
    <cellStyle name="Normal 16 3 3 3 2 2" xfId="33464" xr:uid="{00000000-0005-0000-0000-0000BB2B0000}"/>
    <cellStyle name="Normal 16 3 3 3 3" xfId="25417" xr:uid="{00000000-0005-0000-0000-0000BC2B0000}"/>
    <cellStyle name="Normal 16 3 3 4" xfId="13000" xr:uid="{00000000-0005-0000-0000-0000BD2B0000}"/>
    <cellStyle name="Normal 16 3 3 4 2" xfId="29534" xr:uid="{00000000-0005-0000-0000-0000BE2B0000}"/>
    <cellStyle name="Normal 16 3 3 5" xfId="21491" xr:uid="{00000000-0005-0000-0000-0000BF2B0000}"/>
    <cellStyle name="Normal 16 3 4" xfId="3362" xr:uid="{00000000-0005-0000-0000-0000C02B0000}"/>
    <cellStyle name="Normal 16 3 4 2" xfId="7530" xr:uid="{00000000-0005-0000-0000-0000C12B0000}"/>
    <cellStyle name="Normal 16 3 4 2 2" xfId="16891" xr:uid="{00000000-0005-0000-0000-0000C22B0000}"/>
    <cellStyle name="Normal 16 3 4 2 2 2" xfId="33465" xr:uid="{00000000-0005-0000-0000-0000C32B0000}"/>
    <cellStyle name="Normal 16 3 4 2 3" xfId="25418" xr:uid="{00000000-0005-0000-0000-0000C42B0000}"/>
    <cellStyle name="Normal 16 3 4 3" xfId="13002" xr:uid="{00000000-0005-0000-0000-0000C52B0000}"/>
    <cellStyle name="Normal 16 3 4 3 2" xfId="29536" xr:uid="{00000000-0005-0000-0000-0000C62B0000}"/>
    <cellStyle name="Normal 16 3 4 4" xfId="21493" xr:uid="{00000000-0005-0000-0000-0000C72B0000}"/>
    <cellStyle name="Normal 16 3 5" xfId="3363" xr:uid="{00000000-0005-0000-0000-0000C82B0000}"/>
    <cellStyle name="Normal 16 3 5 2" xfId="13003" xr:uid="{00000000-0005-0000-0000-0000C92B0000}"/>
    <cellStyle name="Normal 16 3 5 2 2" xfId="29537" xr:uid="{00000000-0005-0000-0000-0000CA2B0000}"/>
    <cellStyle name="Normal 16 3 5 3" xfId="21494" xr:uid="{00000000-0005-0000-0000-0000CB2B0000}"/>
    <cellStyle name="Normal 16 4" xfId="3364" xr:uid="{00000000-0005-0000-0000-0000CC2B0000}"/>
    <cellStyle name="Normal 16 4 2" xfId="3365" xr:uid="{00000000-0005-0000-0000-0000CD2B0000}"/>
    <cellStyle name="Normal 16 4 2 2" xfId="3366" xr:uid="{00000000-0005-0000-0000-0000CE2B0000}"/>
    <cellStyle name="Normal 16 4 2 2 2" xfId="3367" xr:uid="{00000000-0005-0000-0000-0000CF2B0000}"/>
    <cellStyle name="Normal 16 4 2 2 2 2" xfId="7531" xr:uid="{00000000-0005-0000-0000-0000D02B0000}"/>
    <cellStyle name="Normal 16 4 2 2 2 2 2" xfId="16892" xr:uid="{00000000-0005-0000-0000-0000D12B0000}"/>
    <cellStyle name="Normal 16 4 2 2 2 2 2 2" xfId="33466" xr:uid="{00000000-0005-0000-0000-0000D22B0000}"/>
    <cellStyle name="Normal 16 4 2 2 2 2 3" xfId="25419" xr:uid="{00000000-0005-0000-0000-0000D32B0000}"/>
    <cellStyle name="Normal 16 4 2 2 2 3" xfId="13007" xr:uid="{00000000-0005-0000-0000-0000D42B0000}"/>
    <cellStyle name="Normal 16 4 2 2 2 3 2" xfId="29541" xr:uid="{00000000-0005-0000-0000-0000D52B0000}"/>
    <cellStyle name="Normal 16 4 2 2 2 4" xfId="21498" xr:uid="{00000000-0005-0000-0000-0000D62B0000}"/>
    <cellStyle name="Normal 16 4 2 2 3" xfId="7532" xr:uid="{00000000-0005-0000-0000-0000D72B0000}"/>
    <cellStyle name="Normal 16 4 2 2 3 2" xfId="16893" xr:uid="{00000000-0005-0000-0000-0000D82B0000}"/>
    <cellStyle name="Normal 16 4 2 2 3 2 2" xfId="33467" xr:uid="{00000000-0005-0000-0000-0000D92B0000}"/>
    <cellStyle name="Normal 16 4 2 2 3 3" xfId="25420" xr:uid="{00000000-0005-0000-0000-0000DA2B0000}"/>
    <cellStyle name="Normal 16 4 2 2 4" xfId="13006" xr:uid="{00000000-0005-0000-0000-0000DB2B0000}"/>
    <cellStyle name="Normal 16 4 2 2 4 2" xfId="29540" xr:uid="{00000000-0005-0000-0000-0000DC2B0000}"/>
    <cellStyle name="Normal 16 4 2 2 5" xfId="21497" xr:uid="{00000000-0005-0000-0000-0000DD2B0000}"/>
    <cellStyle name="Normal 16 4 2 3" xfId="3368" xr:uid="{00000000-0005-0000-0000-0000DE2B0000}"/>
    <cellStyle name="Normal 16 4 2 3 2" xfId="7533" xr:uid="{00000000-0005-0000-0000-0000DF2B0000}"/>
    <cellStyle name="Normal 16 4 2 3 2 2" xfId="16894" xr:uid="{00000000-0005-0000-0000-0000E02B0000}"/>
    <cellStyle name="Normal 16 4 2 3 2 2 2" xfId="33468" xr:uid="{00000000-0005-0000-0000-0000E12B0000}"/>
    <cellStyle name="Normal 16 4 2 3 2 3" xfId="25421" xr:uid="{00000000-0005-0000-0000-0000E22B0000}"/>
    <cellStyle name="Normal 16 4 2 3 3" xfId="13008" xr:uid="{00000000-0005-0000-0000-0000E32B0000}"/>
    <cellStyle name="Normal 16 4 2 3 3 2" xfId="29542" xr:uid="{00000000-0005-0000-0000-0000E42B0000}"/>
    <cellStyle name="Normal 16 4 2 3 4" xfId="21499" xr:uid="{00000000-0005-0000-0000-0000E52B0000}"/>
    <cellStyle name="Normal 16 4 2 4" xfId="7534" xr:uid="{00000000-0005-0000-0000-0000E62B0000}"/>
    <cellStyle name="Normal 16 4 2 4 2" xfId="16895" xr:uid="{00000000-0005-0000-0000-0000E72B0000}"/>
    <cellStyle name="Normal 16 4 2 4 2 2" xfId="33469" xr:uid="{00000000-0005-0000-0000-0000E82B0000}"/>
    <cellStyle name="Normal 16 4 2 4 3" xfId="25422" xr:uid="{00000000-0005-0000-0000-0000E92B0000}"/>
    <cellStyle name="Normal 16 4 2 5" xfId="13005" xr:uid="{00000000-0005-0000-0000-0000EA2B0000}"/>
    <cellStyle name="Normal 16 4 2 5 2" xfId="29539" xr:uid="{00000000-0005-0000-0000-0000EB2B0000}"/>
    <cellStyle name="Normal 16 4 2 6" xfId="21496" xr:uid="{00000000-0005-0000-0000-0000EC2B0000}"/>
    <cellStyle name="Normal 16 4 3" xfId="3369" xr:uid="{00000000-0005-0000-0000-0000ED2B0000}"/>
    <cellStyle name="Normal 16 4 3 2" xfId="3370" xr:uid="{00000000-0005-0000-0000-0000EE2B0000}"/>
    <cellStyle name="Normal 16 4 3 2 2" xfId="7535" xr:uid="{00000000-0005-0000-0000-0000EF2B0000}"/>
    <cellStyle name="Normal 16 4 3 2 2 2" xfId="16896" xr:uid="{00000000-0005-0000-0000-0000F02B0000}"/>
    <cellStyle name="Normal 16 4 3 2 2 2 2" xfId="33470" xr:uid="{00000000-0005-0000-0000-0000F12B0000}"/>
    <cellStyle name="Normal 16 4 3 2 2 3" xfId="25423" xr:uid="{00000000-0005-0000-0000-0000F22B0000}"/>
    <cellStyle name="Normal 16 4 3 2 3" xfId="13010" xr:uid="{00000000-0005-0000-0000-0000F32B0000}"/>
    <cellStyle name="Normal 16 4 3 2 3 2" xfId="29544" xr:uid="{00000000-0005-0000-0000-0000F42B0000}"/>
    <cellStyle name="Normal 16 4 3 2 4" xfId="21501" xr:uid="{00000000-0005-0000-0000-0000F52B0000}"/>
    <cellStyle name="Normal 16 4 3 3" xfId="7536" xr:uid="{00000000-0005-0000-0000-0000F62B0000}"/>
    <cellStyle name="Normal 16 4 3 3 2" xfId="16897" xr:uid="{00000000-0005-0000-0000-0000F72B0000}"/>
    <cellStyle name="Normal 16 4 3 3 2 2" xfId="33471" xr:uid="{00000000-0005-0000-0000-0000F82B0000}"/>
    <cellStyle name="Normal 16 4 3 3 3" xfId="25424" xr:uid="{00000000-0005-0000-0000-0000F92B0000}"/>
    <cellStyle name="Normal 16 4 3 4" xfId="13009" xr:uid="{00000000-0005-0000-0000-0000FA2B0000}"/>
    <cellStyle name="Normal 16 4 3 4 2" xfId="29543" xr:uid="{00000000-0005-0000-0000-0000FB2B0000}"/>
    <cellStyle name="Normal 16 4 3 5" xfId="21500" xr:uid="{00000000-0005-0000-0000-0000FC2B0000}"/>
    <cellStyle name="Normal 16 4 4" xfId="3371" xr:uid="{00000000-0005-0000-0000-0000FD2B0000}"/>
    <cellStyle name="Normal 16 4 4 2" xfId="7537" xr:uid="{00000000-0005-0000-0000-0000FE2B0000}"/>
    <cellStyle name="Normal 16 4 4 2 2" xfId="16898" xr:uid="{00000000-0005-0000-0000-0000FF2B0000}"/>
    <cellStyle name="Normal 16 4 4 2 2 2" xfId="33472" xr:uid="{00000000-0005-0000-0000-0000002C0000}"/>
    <cellStyle name="Normal 16 4 4 2 3" xfId="25425" xr:uid="{00000000-0005-0000-0000-0000012C0000}"/>
    <cellStyle name="Normal 16 4 4 3" xfId="13011" xr:uid="{00000000-0005-0000-0000-0000022C0000}"/>
    <cellStyle name="Normal 16 4 4 3 2" xfId="29545" xr:uid="{00000000-0005-0000-0000-0000032C0000}"/>
    <cellStyle name="Normal 16 4 4 4" xfId="21502" xr:uid="{00000000-0005-0000-0000-0000042C0000}"/>
    <cellStyle name="Normal 16 4 5" xfId="7538" xr:uid="{00000000-0005-0000-0000-0000052C0000}"/>
    <cellStyle name="Normal 16 4 5 2" xfId="16899" xr:uid="{00000000-0005-0000-0000-0000062C0000}"/>
    <cellStyle name="Normal 16 4 5 2 2" xfId="33473" xr:uid="{00000000-0005-0000-0000-0000072C0000}"/>
    <cellStyle name="Normal 16 4 5 3" xfId="25426" xr:uid="{00000000-0005-0000-0000-0000082C0000}"/>
    <cellStyle name="Normal 16 4 6" xfId="13004" xr:uid="{00000000-0005-0000-0000-0000092C0000}"/>
    <cellStyle name="Normal 16 4 6 2" xfId="29538" xr:uid="{00000000-0005-0000-0000-00000A2C0000}"/>
    <cellStyle name="Normal 16 4 7" xfId="21495" xr:uid="{00000000-0005-0000-0000-00000B2C0000}"/>
    <cellStyle name="Normal 16 5" xfId="3372" xr:uid="{00000000-0005-0000-0000-00000C2C0000}"/>
    <cellStyle name="Normal 16 5 2" xfId="3373" xr:uid="{00000000-0005-0000-0000-00000D2C0000}"/>
    <cellStyle name="Normal 16 5 2 2" xfId="3374" xr:uid="{00000000-0005-0000-0000-00000E2C0000}"/>
    <cellStyle name="Normal 16 5 2 2 2" xfId="3375" xr:uid="{00000000-0005-0000-0000-00000F2C0000}"/>
    <cellStyle name="Normal 16 5 2 2 2 2" xfId="7539" xr:uid="{00000000-0005-0000-0000-0000102C0000}"/>
    <cellStyle name="Normal 16 5 2 2 2 2 2" xfId="16900" xr:uid="{00000000-0005-0000-0000-0000112C0000}"/>
    <cellStyle name="Normal 16 5 2 2 2 2 2 2" xfId="33474" xr:uid="{00000000-0005-0000-0000-0000122C0000}"/>
    <cellStyle name="Normal 16 5 2 2 2 2 3" xfId="25427" xr:uid="{00000000-0005-0000-0000-0000132C0000}"/>
    <cellStyle name="Normal 16 5 2 2 2 3" xfId="13015" xr:uid="{00000000-0005-0000-0000-0000142C0000}"/>
    <cellStyle name="Normal 16 5 2 2 2 3 2" xfId="29549" xr:uid="{00000000-0005-0000-0000-0000152C0000}"/>
    <cellStyle name="Normal 16 5 2 2 2 4" xfId="21506" xr:uid="{00000000-0005-0000-0000-0000162C0000}"/>
    <cellStyle name="Normal 16 5 2 2 3" xfId="7540" xr:uid="{00000000-0005-0000-0000-0000172C0000}"/>
    <cellStyle name="Normal 16 5 2 2 3 2" xfId="16901" xr:uid="{00000000-0005-0000-0000-0000182C0000}"/>
    <cellStyle name="Normal 16 5 2 2 3 2 2" xfId="33475" xr:uid="{00000000-0005-0000-0000-0000192C0000}"/>
    <cellStyle name="Normal 16 5 2 2 3 3" xfId="25428" xr:uid="{00000000-0005-0000-0000-00001A2C0000}"/>
    <cellStyle name="Normal 16 5 2 2 4" xfId="13014" xr:uid="{00000000-0005-0000-0000-00001B2C0000}"/>
    <cellStyle name="Normal 16 5 2 2 4 2" xfId="29548" xr:uid="{00000000-0005-0000-0000-00001C2C0000}"/>
    <cellStyle name="Normal 16 5 2 2 5" xfId="21505" xr:uid="{00000000-0005-0000-0000-00001D2C0000}"/>
    <cellStyle name="Normal 16 5 2 3" xfId="3376" xr:uid="{00000000-0005-0000-0000-00001E2C0000}"/>
    <cellStyle name="Normal 16 5 2 3 2" xfId="7541" xr:uid="{00000000-0005-0000-0000-00001F2C0000}"/>
    <cellStyle name="Normal 16 5 2 3 2 2" xfId="16902" xr:uid="{00000000-0005-0000-0000-0000202C0000}"/>
    <cellStyle name="Normal 16 5 2 3 2 2 2" xfId="33476" xr:uid="{00000000-0005-0000-0000-0000212C0000}"/>
    <cellStyle name="Normal 16 5 2 3 2 3" xfId="25429" xr:uid="{00000000-0005-0000-0000-0000222C0000}"/>
    <cellStyle name="Normal 16 5 2 3 3" xfId="13016" xr:uid="{00000000-0005-0000-0000-0000232C0000}"/>
    <cellStyle name="Normal 16 5 2 3 3 2" xfId="29550" xr:uid="{00000000-0005-0000-0000-0000242C0000}"/>
    <cellStyle name="Normal 16 5 2 3 4" xfId="21507" xr:uid="{00000000-0005-0000-0000-0000252C0000}"/>
    <cellStyle name="Normal 16 5 2 4" xfId="7542" xr:uid="{00000000-0005-0000-0000-0000262C0000}"/>
    <cellStyle name="Normal 16 5 2 4 2" xfId="16903" xr:uid="{00000000-0005-0000-0000-0000272C0000}"/>
    <cellStyle name="Normal 16 5 2 4 2 2" xfId="33477" xr:uid="{00000000-0005-0000-0000-0000282C0000}"/>
    <cellStyle name="Normal 16 5 2 4 3" xfId="25430" xr:uid="{00000000-0005-0000-0000-0000292C0000}"/>
    <cellStyle name="Normal 16 5 2 5" xfId="13013" xr:uid="{00000000-0005-0000-0000-00002A2C0000}"/>
    <cellStyle name="Normal 16 5 2 5 2" xfId="29547" xr:uid="{00000000-0005-0000-0000-00002B2C0000}"/>
    <cellStyle name="Normal 16 5 2 6" xfId="21504" xr:uid="{00000000-0005-0000-0000-00002C2C0000}"/>
    <cellStyle name="Normal 16 5 3" xfId="3377" xr:uid="{00000000-0005-0000-0000-00002D2C0000}"/>
    <cellStyle name="Normal 16 5 3 2" xfId="3378" xr:uid="{00000000-0005-0000-0000-00002E2C0000}"/>
    <cellStyle name="Normal 16 5 3 2 2" xfId="7543" xr:uid="{00000000-0005-0000-0000-00002F2C0000}"/>
    <cellStyle name="Normal 16 5 3 2 2 2" xfId="16904" xr:uid="{00000000-0005-0000-0000-0000302C0000}"/>
    <cellStyle name="Normal 16 5 3 2 2 2 2" xfId="33478" xr:uid="{00000000-0005-0000-0000-0000312C0000}"/>
    <cellStyle name="Normal 16 5 3 2 2 3" xfId="25431" xr:uid="{00000000-0005-0000-0000-0000322C0000}"/>
    <cellStyle name="Normal 16 5 3 2 3" xfId="13018" xr:uid="{00000000-0005-0000-0000-0000332C0000}"/>
    <cellStyle name="Normal 16 5 3 2 3 2" xfId="29552" xr:uid="{00000000-0005-0000-0000-0000342C0000}"/>
    <cellStyle name="Normal 16 5 3 2 4" xfId="21509" xr:uid="{00000000-0005-0000-0000-0000352C0000}"/>
    <cellStyle name="Normal 16 5 3 3" xfId="7544" xr:uid="{00000000-0005-0000-0000-0000362C0000}"/>
    <cellStyle name="Normal 16 5 3 3 2" xfId="16905" xr:uid="{00000000-0005-0000-0000-0000372C0000}"/>
    <cellStyle name="Normal 16 5 3 3 2 2" xfId="33479" xr:uid="{00000000-0005-0000-0000-0000382C0000}"/>
    <cellStyle name="Normal 16 5 3 3 3" xfId="25432" xr:uid="{00000000-0005-0000-0000-0000392C0000}"/>
    <cellStyle name="Normal 16 5 3 4" xfId="13017" xr:uid="{00000000-0005-0000-0000-00003A2C0000}"/>
    <cellStyle name="Normal 16 5 3 4 2" xfId="29551" xr:uid="{00000000-0005-0000-0000-00003B2C0000}"/>
    <cellStyle name="Normal 16 5 3 5" xfId="21508" xr:uid="{00000000-0005-0000-0000-00003C2C0000}"/>
    <cellStyle name="Normal 16 5 4" xfId="3379" xr:uid="{00000000-0005-0000-0000-00003D2C0000}"/>
    <cellStyle name="Normal 16 5 4 2" xfId="7545" xr:uid="{00000000-0005-0000-0000-00003E2C0000}"/>
    <cellStyle name="Normal 16 5 4 2 2" xfId="16906" xr:uid="{00000000-0005-0000-0000-00003F2C0000}"/>
    <cellStyle name="Normal 16 5 4 2 2 2" xfId="33480" xr:uid="{00000000-0005-0000-0000-0000402C0000}"/>
    <cellStyle name="Normal 16 5 4 2 3" xfId="25433" xr:uid="{00000000-0005-0000-0000-0000412C0000}"/>
    <cellStyle name="Normal 16 5 4 3" xfId="13019" xr:uid="{00000000-0005-0000-0000-0000422C0000}"/>
    <cellStyle name="Normal 16 5 4 3 2" xfId="29553" xr:uid="{00000000-0005-0000-0000-0000432C0000}"/>
    <cellStyle name="Normal 16 5 4 4" xfId="21510" xr:uid="{00000000-0005-0000-0000-0000442C0000}"/>
    <cellStyle name="Normal 16 5 5" xfId="7546" xr:uid="{00000000-0005-0000-0000-0000452C0000}"/>
    <cellStyle name="Normal 16 5 5 2" xfId="16907" xr:uid="{00000000-0005-0000-0000-0000462C0000}"/>
    <cellStyle name="Normal 16 5 5 2 2" xfId="33481" xr:uid="{00000000-0005-0000-0000-0000472C0000}"/>
    <cellStyle name="Normal 16 5 5 3" xfId="25434" xr:uid="{00000000-0005-0000-0000-0000482C0000}"/>
    <cellStyle name="Normal 16 5 6" xfId="13012" xr:uid="{00000000-0005-0000-0000-0000492C0000}"/>
    <cellStyle name="Normal 16 5 6 2" xfId="29546" xr:uid="{00000000-0005-0000-0000-00004A2C0000}"/>
    <cellStyle name="Normal 16 5 7" xfId="21503" xr:uid="{00000000-0005-0000-0000-00004B2C0000}"/>
    <cellStyle name="Normal 16 6" xfId="3380" xr:uid="{00000000-0005-0000-0000-00004C2C0000}"/>
    <cellStyle name="Normal 16 6 2" xfId="3381" xr:uid="{00000000-0005-0000-0000-00004D2C0000}"/>
    <cellStyle name="Normal 16 6 2 2" xfId="3382" xr:uid="{00000000-0005-0000-0000-00004E2C0000}"/>
    <cellStyle name="Normal 16 6 2 2 2" xfId="7547" xr:uid="{00000000-0005-0000-0000-00004F2C0000}"/>
    <cellStyle name="Normal 16 6 2 2 2 2" xfId="16908" xr:uid="{00000000-0005-0000-0000-0000502C0000}"/>
    <cellStyle name="Normal 16 6 2 2 2 2 2" xfId="33482" xr:uid="{00000000-0005-0000-0000-0000512C0000}"/>
    <cellStyle name="Normal 16 6 2 2 2 3" xfId="25435" xr:uid="{00000000-0005-0000-0000-0000522C0000}"/>
    <cellStyle name="Normal 16 6 2 2 3" xfId="13022" xr:uid="{00000000-0005-0000-0000-0000532C0000}"/>
    <cellStyle name="Normal 16 6 2 2 3 2" xfId="29556" xr:uid="{00000000-0005-0000-0000-0000542C0000}"/>
    <cellStyle name="Normal 16 6 2 2 4" xfId="21513" xr:uid="{00000000-0005-0000-0000-0000552C0000}"/>
    <cellStyle name="Normal 16 6 2 3" xfId="7548" xr:uid="{00000000-0005-0000-0000-0000562C0000}"/>
    <cellStyle name="Normal 16 6 2 3 2" xfId="16909" xr:uid="{00000000-0005-0000-0000-0000572C0000}"/>
    <cellStyle name="Normal 16 6 2 3 2 2" xfId="33483" xr:uid="{00000000-0005-0000-0000-0000582C0000}"/>
    <cellStyle name="Normal 16 6 2 3 3" xfId="25436" xr:uid="{00000000-0005-0000-0000-0000592C0000}"/>
    <cellStyle name="Normal 16 6 2 4" xfId="13021" xr:uid="{00000000-0005-0000-0000-00005A2C0000}"/>
    <cellStyle name="Normal 16 6 2 4 2" xfId="29555" xr:uid="{00000000-0005-0000-0000-00005B2C0000}"/>
    <cellStyle name="Normal 16 6 2 5" xfId="21512" xr:uid="{00000000-0005-0000-0000-00005C2C0000}"/>
    <cellStyle name="Normal 16 6 3" xfId="3383" xr:uid="{00000000-0005-0000-0000-00005D2C0000}"/>
    <cellStyle name="Normal 16 6 3 2" xfId="7549" xr:uid="{00000000-0005-0000-0000-00005E2C0000}"/>
    <cellStyle name="Normal 16 6 3 2 2" xfId="16910" xr:uid="{00000000-0005-0000-0000-00005F2C0000}"/>
    <cellStyle name="Normal 16 6 3 2 2 2" xfId="33484" xr:uid="{00000000-0005-0000-0000-0000602C0000}"/>
    <cellStyle name="Normal 16 6 3 2 3" xfId="25437" xr:uid="{00000000-0005-0000-0000-0000612C0000}"/>
    <cellStyle name="Normal 16 6 3 3" xfId="13023" xr:uid="{00000000-0005-0000-0000-0000622C0000}"/>
    <cellStyle name="Normal 16 6 3 3 2" xfId="29557" xr:uid="{00000000-0005-0000-0000-0000632C0000}"/>
    <cellStyle name="Normal 16 6 3 4" xfId="21514" xr:uid="{00000000-0005-0000-0000-0000642C0000}"/>
    <cellStyle name="Normal 16 6 4" xfId="7550" xr:uid="{00000000-0005-0000-0000-0000652C0000}"/>
    <cellStyle name="Normal 16 6 4 2" xfId="16911" xr:uid="{00000000-0005-0000-0000-0000662C0000}"/>
    <cellStyle name="Normal 16 6 4 2 2" xfId="33485" xr:uid="{00000000-0005-0000-0000-0000672C0000}"/>
    <cellStyle name="Normal 16 6 4 3" xfId="25438" xr:uid="{00000000-0005-0000-0000-0000682C0000}"/>
    <cellStyle name="Normal 16 6 5" xfId="13020" xr:uid="{00000000-0005-0000-0000-0000692C0000}"/>
    <cellStyle name="Normal 16 6 5 2" xfId="29554" xr:uid="{00000000-0005-0000-0000-00006A2C0000}"/>
    <cellStyle name="Normal 16 6 6" xfId="21511" xr:uid="{00000000-0005-0000-0000-00006B2C0000}"/>
    <cellStyle name="Normal 16 7" xfId="3384" xr:uid="{00000000-0005-0000-0000-00006C2C0000}"/>
    <cellStyle name="Normal 16 7 2" xfId="3385" xr:uid="{00000000-0005-0000-0000-00006D2C0000}"/>
    <cellStyle name="Normal 16 7 2 2" xfId="7551" xr:uid="{00000000-0005-0000-0000-00006E2C0000}"/>
    <cellStyle name="Normal 16 7 2 2 2" xfId="16912" xr:uid="{00000000-0005-0000-0000-00006F2C0000}"/>
    <cellStyle name="Normal 16 7 2 2 2 2" xfId="33486" xr:uid="{00000000-0005-0000-0000-0000702C0000}"/>
    <cellStyle name="Normal 16 7 2 2 3" xfId="25439" xr:uid="{00000000-0005-0000-0000-0000712C0000}"/>
    <cellStyle name="Normal 16 7 2 3" xfId="13025" xr:uid="{00000000-0005-0000-0000-0000722C0000}"/>
    <cellStyle name="Normal 16 7 2 3 2" xfId="29559" xr:uid="{00000000-0005-0000-0000-0000732C0000}"/>
    <cellStyle name="Normal 16 7 2 4" xfId="21516" xr:uid="{00000000-0005-0000-0000-0000742C0000}"/>
    <cellStyle name="Normal 16 7 3" xfId="7552" xr:uid="{00000000-0005-0000-0000-0000752C0000}"/>
    <cellStyle name="Normal 16 7 3 2" xfId="16913" xr:uid="{00000000-0005-0000-0000-0000762C0000}"/>
    <cellStyle name="Normal 16 7 3 2 2" xfId="33487" xr:uid="{00000000-0005-0000-0000-0000772C0000}"/>
    <cellStyle name="Normal 16 7 3 3" xfId="25440" xr:uid="{00000000-0005-0000-0000-0000782C0000}"/>
    <cellStyle name="Normal 16 7 4" xfId="13024" xr:uid="{00000000-0005-0000-0000-0000792C0000}"/>
    <cellStyle name="Normal 16 7 4 2" xfId="29558" xr:uid="{00000000-0005-0000-0000-00007A2C0000}"/>
    <cellStyle name="Normal 16 7 5" xfId="21515" xr:uid="{00000000-0005-0000-0000-00007B2C0000}"/>
    <cellStyle name="Normal 16 8" xfId="3386" xr:uid="{00000000-0005-0000-0000-00007C2C0000}"/>
    <cellStyle name="Normal 16 8 2" xfId="7553" xr:uid="{00000000-0005-0000-0000-00007D2C0000}"/>
    <cellStyle name="Normal 16 8 2 2" xfId="16914" xr:uid="{00000000-0005-0000-0000-00007E2C0000}"/>
    <cellStyle name="Normal 16 8 2 2 2" xfId="33488" xr:uid="{00000000-0005-0000-0000-00007F2C0000}"/>
    <cellStyle name="Normal 16 8 2 3" xfId="25441" xr:uid="{00000000-0005-0000-0000-0000802C0000}"/>
    <cellStyle name="Normal 16 8 3" xfId="13026" xr:uid="{00000000-0005-0000-0000-0000812C0000}"/>
    <cellStyle name="Normal 16 8 3 2" xfId="29560" xr:uid="{00000000-0005-0000-0000-0000822C0000}"/>
    <cellStyle name="Normal 16 8 4" xfId="21517" xr:uid="{00000000-0005-0000-0000-0000832C0000}"/>
    <cellStyle name="Normal 16 9" xfId="7554" xr:uid="{00000000-0005-0000-0000-0000842C0000}"/>
    <cellStyle name="Normal 16 9 2" xfId="16915" xr:uid="{00000000-0005-0000-0000-0000852C0000}"/>
    <cellStyle name="Normal 16 9 2 2" xfId="33489" xr:uid="{00000000-0005-0000-0000-0000862C0000}"/>
    <cellStyle name="Normal 16 9 3" xfId="25442" xr:uid="{00000000-0005-0000-0000-0000872C0000}"/>
    <cellStyle name="Normal 160" xfId="10484" xr:uid="{00000000-0005-0000-0000-0000882C0000}"/>
    <cellStyle name="Normal 161" xfId="10487" xr:uid="{00000000-0005-0000-0000-0000892C0000}"/>
    <cellStyle name="Normal 162" xfId="10490" xr:uid="{00000000-0005-0000-0000-00008A2C0000}"/>
    <cellStyle name="Normal 163" xfId="10493" xr:uid="{00000000-0005-0000-0000-00008B2C0000}"/>
    <cellStyle name="Normal 164" xfId="10496" xr:uid="{00000000-0005-0000-0000-00008C2C0000}"/>
    <cellStyle name="Normal 165" xfId="10499" xr:uid="{00000000-0005-0000-0000-00008D2C0000}"/>
    <cellStyle name="Normal 166" xfId="10502" xr:uid="{00000000-0005-0000-0000-00008E2C0000}"/>
    <cellStyle name="Normal 167" xfId="10505" xr:uid="{00000000-0005-0000-0000-00008F2C0000}"/>
    <cellStyle name="Normal 168" xfId="10508" xr:uid="{00000000-0005-0000-0000-0000902C0000}"/>
    <cellStyle name="Normal 169" xfId="10511" xr:uid="{00000000-0005-0000-0000-0000912C0000}"/>
    <cellStyle name="Normal 17" xfId="1693" xr:uid="{00000000-0005-0000-0000-0000922C0000}"/>
    <cellStyle name="Normal 17 10" xfId="3387" xr:uid="{00000000-0005-0000-0000-0000932C0000}"/>
    <cellStyle name="Normal 17 10 2" xfId="29561" xr:uid="{00000000-0005-0000-0000-0000942C0000}"/>
    <cellStyle name="Normal 17 11" xfId="21518" xr:uid="{00000000-0005-0000-0000-0000952C0000}"/>
    <cellStyle name="Normal 17 2" xfId="3388" xr:uid="{00000000-0005-0000-0000-0000962C0000}"/>
    <cellStyle name="Normal 17 2 2" xfId="3389" xr:uid="{00000000-0005-0000-0000-0000972C0000}"/>
    <cellStyle name="Normal 17 2 3" xfId="13027" xr:uid="{00000000-0005-0000-0000-0000982C0000}"/>
    <cellStyle name="Normal 17 2 3 2" xfId="29562" xr:uid="{00000000-0005-0000-0000-0000992C0000}"/>
    <cellStyle name="Normal 17 2 4" xfId="21519" xr:uid="{00000000-0005-0000-0000-00009A2C0000}"/>
    <cellStyle name="Normal 17 3" xfId="3390" xr:uid="{00000000-0005-0000-0000-00009B2C0000}"/>
    <cellStyle name="Normal 17 3 2" xfId="3391" xr:uid="{00000000-0005-0000-0000-00009C2C0000}"/>
    <cellStyle name="Normal 17 3 2 2" xfId="3392" xr:uid="{00000000-0005-0000-0000-00009D2C0000}"/>
    <cellStyle name="Normal 17 3 2 2 2" xfId="3393" xr:uid="{00000000-0005-0000-0000-00009E2C0000}"/>
    <cellStyle name="Normal 17 3 2 2 2 2" xfId="7555" xr:uid="{00000000-0005-0000-0000-00009F2C0000}"/>
    <cellStyle name="Normal 17 3 2 2 2 2 2" xfId="16916" xr:uid="{00000000-0005-0000-0000-0000A02C0000}"/>
    <cellStyle name="Normal 17 3 2 2 2 2 2 2" xfId="33490" xr:uid="{00000000-0005-0000-0000-0000A12C0000}"/>
    <cellStyle name="Normal 17 3 2 2 2 2 3" xfId="25443" xr:uid="{00000000-0005-0000-0000-0000A22C0000}"/>
    <cellStyle name="Normal 17 3 2 2 2 3" xfId="13030" xr:uid="{00000000-0005-0000-0000-0000A32C0000}"/>
    <cellStyle name="Normal 17 3 2 2 2 3 2" xfId="29565" xr:uid="{00000000-0005-0000-0000-0000A42C0000}"/>
    <cellStyle name="Normal 17 3 2 2 2 4" xfId="21522" xr:uid="{00000000-0005-0000-0000-0000A52C0000}"/>
    <cellStyle name="Normal 17 3 2 2 3" xfId="7556" xr:uid="{00000000-0005-0000-0000-0000A62C0000}"/>
    <cellStyle name="Normal 17 3 2 2 3 2" xfId="16917" xr:uid="{00000000-0005-0000-0000-0000A72C0000}"/>
    <cellStyle name="Normal 17 3 2 2 3 2 2" xfId="33491" xr:uid="{00000000-0005-0000-0000-0000A82C0000}"/>
    <cellStyle name="Normal 17 3 2 2 3 3" xfId="25444" xr:uid="{00000000-0005-0000-0000-0000A92C0000}"/>
    <cellStyle name="Normal 17 3 2 2 4" xfId="13029" xr:uid="{00000000-0005-0000-0000-0000AA2C0000}"/>
    <cellStyle name="Normal 17 3 2 2 4 2" xfId="29564" xr:uid="{00000000-0005-0000-0000-0000AB2C0000}"/>
    <cellStyle name="Normal 17 3 2 2 5" xfId="21521" xr:uid="{00000000-0005-0000-0000-0000AC2C0000}"/>
    <cellStyle name="Normal 17 3 2 3" xfId="3394" xr:uid="{00000000-0005-0000-0000-0000AD2C0000}"/>
    <cellStyle name="Normal 17 3 2 3 2" xfId="7557" xr:uid="{00000000-0005-0000-0000-0000AE2C0000}"/>
    <cellStyle name="Normal 17 3 2 3 2 2" xfId="16918" xr:uid="{00000000-0005-0000-0000-0000AF2C0000}"/>
    <cellStyle name="Normal 17 3 2 3 2 2 2" xfId="33492" xr:uid="{00000000-0005-0000-0000-0000B02C0000}"/>
    <cellStyle name="Normal 17 3 2 3 2 3" xfId="25445" xr:uid="{00000000-0005-0000-0000-0000B12C0000}"/>
    <cellStyle name="Normal 17 3 2 3 3" xfId="13031" xr:uid="{00000000-0005-0000-0000-0000B22C0000}"/>
    <cellStyle name="Normal 17 3 2 3 3 2" xfId="29566" xr:uid="{00000000-0005-0000-0000-0000B32C0000}"/>
    <cellStyle name="Normal 17 3 2 3 4" xfId="21523" xr:uid="{00000000-0005-0000-0000-0000B42C0000}"/>
    <cellStyle name="Normal 17 3 2 4" xfId="7558" xr:uid="{00000000-0005-0000-0000-0000B52C0000}"/>
    <cellStyle name="Normal 17 3 2 4 2" xfId="16919" xr:uid="{00000000-0005-0000-0000-0000B62C0000}"/>
    <cellStyle name="Normal 17 3 2 4 2 2" xfId="33493" xr:uid="{00000000-0005-0000-0000-0000B72C0000}"/>
    <cellStyle name="Normal 17 3 2 4 3" xfId="25446" xr:uid="{00000000-0005-0000-0000-0000B82C0000}"/>
    <cellStyle name="Normal 17 3 2 5" xfId="13028" xr:uid="{00000000-0005-0000-0000-0000B92C0000}"/>
    <cellStyle name="Normal 17 3 2 5 2" xfId="29563" xr:uid="{00000000-0005-0000-0000-0000BA2C0000}"/>
    <cellStyle name="Normal 17 3 2 6" xfId="21520" xr:uid="{00000000-0005-0000-0000-0000BB2C0000}"/>
    <cellStyle name="Normal 17 3 3" xfId="3395" xr:uid="{00000000-0005-0000-0000-0000BC2C0000}"/>
    <cellStyle name="Normal 17 3 3 2" xfId="3396" xr:uid="{00000000-0005-0000-0000-0000BD2C0000}"/>
    <cellStyle name="Normal 17 3 3 2 2" xfId="7559" xr:uid="{00000000-0005-0000-0000-0000BE2C0000}"/>
    <cellStyle name="Normal 17 3 3 2 2 2" xfId="16920" xr:uid="{00000000-0005-0000-0000-0000BF2C0000}"/>
    <cellStyle name="Normal 17 3 3 2 2 2 2" xfId="33494" xr:uid="{00000000-0005-0000-0000-0000C02C0000}"/>
    <cellStyle name="Normal 17 3 3 2 2 3" xfId="25447" xr:uid="{00000000-0005-0000-0000-0000C12C0000}"/>
    <cellStyle name="Normal 17 3 3 2 3" xfId="13033" xr:uid="{00000000-0005-0000-0000-0000C22C0000}"/>
    <cellStyle name="Normal 17 3 3 2 3 2" xfId="29568" xr:uid="{00000000-0005-0000-0000-0000C32C0000}"/>
    <cellStyle name="Normal 17 3 3 2 4" xfId="21525" xr:uid="{00000000-0005-0000-0000-0000C42C0000}"/>
    <cellStyle name="Normal 17 3 3 3" xfId="7560" xr:uid="{00000000-0005-0000-0000-0000C52C0000}"/>
    <cellStyle name="Normal 17 3 3 3 2" xfId="16921" xr:uid="{00000000-0005-0000-0000-0000C62C0000}"/>
    <cellStyle name="Normal 17 3 3 3 2 2" xfId="33495" xr:uid="{00000000-0005-0000-0000-0000C72C0000}"/>
    <cellStyle name="Normal 17 3 3 3 3" xfId="25448" xr:uid="{00000000-0005-0000-0000-0000C82C0000}"/>
    <cellStyle name="Normal 17 3 3 4" xfId="13032" xr:uid="{00000000-0005-0000-0000-0000C92C0000}"/>
    <cellStyle name="Normal 17 3 3 4 2" xfId="29567" xr:uid="{00000000-0005-0000-0000-0000CA2C0000}"/>
    <cellStyle name="Normal 17 3 3 5" xfId="21524" xr:uid="{00000000-0005-0000-0000-0000CB2C0000}"/>
    <cellStyle name="Normal 17 3 4" xfId="3397" xr:uid="{00000000-0005-0000-0000-0000CC2C0000}"/>
    <cellStyle name="Normal 17 3 4 2" xfId="7561" xr:uid="{00000000-0005-0000-0000-0000CD2C0000}"/>
    <cellStyle name="Normal 17 3 4 2 2" xfId="16922" xr:uid="{00000000-0005-0000-0000-0000CE2C0000}"/>
    <cellStyle name="Normal 17 3 4 2 2 2" xfId="33496" xr:uid="{00000000-0005-0000-0000-0000CF2C0000}"/>
    <cellStyle name="Normal 17 3 4 2 3" xfId="25449" xr:uid="{00000000-0005-0000-0000-0000D02C0000}"/>
    <cellStyle name="Normal 17 3 4 3" xfId="13034" xr:uid="{00000000-0005-0000-0000-0000D12C0000}"/>
    <cellStyle name="Normal 17 3 4 3 2" xfId="29569" xr:uid="{00000000-0005-0000-0000-0000D22C0000}"/>
    <cellStyle name="Normal 17 3 4 4" xfId="21526" xr:uid="{00000000-0005-0000-0000-0000D32C0000}"/>
    <cellStyle name="Normal 17 3 5" xfId="3398" xr:uid="{00000000-0005-0000-0000-0000D42C0000}"/>
    <cellStyle name="Normal 17 3 5 2" xfId="13035" xr:uid="{00000000-0005-0000-0000-0000D52C0000}"/>
    <cellStyle name="Normal 17 3 5 2 2" xfId="29570" xr:uid="{00000000-0005-0000-0000-0000D62C0000}"/>
    <cellStyle name="Normal 17 3 5 3" xfId="21527" xr:uid="{00000000-0005-0000-0000-0000D72C0000}"/>
    <cellStyle name="Normal 17 4" xfId="3399" xr:uid="{00000000-0005-0000-0000-0000D82C0000}"/>
    <cellStyle name="Normal 17 4 2" xfId="3400" xr:uid="{00000000-0005-0000-0000-0000D92C0000}"/>
    <cellStyle name="Normal 17 4 2 2" xfId="3401" xr:uid="{00000000-0005-0000-0000-0000DA2C0000}"/>
    <cellStyle name="Normal 17 4 2 2 2" xfId="3402" xr:uid="{00000000-0005-0000-0000-0000DB2C0000}"/>
    <cellStyle name="Normal 17 4 2 2 2 2" xfId="7562" xr:uid="{00000000-0005-0000-0000-0000DC2C0000}"/>
    <cellStyle name="Normal 17 4 2 2 2 2 2" xfId="16923" xr:uid="{00000000-0005-0000-0000-0000DD2C0000}"/>
    <cellStyle name="Normal 17 4 2 2 2 2 2 2" xfId="33497" xr:uid="{00000000-0005-0000-0000-0000DE2C0000}"/>
    <cellStyle name="Normal 17 4 2 2 2 2 3" xfId="25450" xr:uid="{00000000-0005-0000-0000-0000DF2C0000}"/>
    <cellStyle name="Normal 17 4 2 2 2 3" xfId="13039" xr:uid="{00000000-0005-0000-0000-0000E02C0000}"/>
    <cellStyle name="Normal 17 4 2 2 2 3 2" xfId="29574" xr:uid="{00000000-0005-0000-0000-0000E12C0000}"/>
    <cellStyle name="Normal 17 4 2 2 2 4" xfId="21531" xr:uid="{00000000-0005-0000-0000-0000E22C0000}"/>
    <cellStyle name="Normal 17 4 2 2 3" xfId="7563" xr:uid="{00000000-0005-0000-0000-0000E32C0000}"/>
    <cellStyle name="Normal 17 4 2 2 3 2" xfId="16924" xr:uid="{00000000-0005-0000-0000-0000E42C0000}"/>
    <cellStyle name="Normal 17 4 2 2 3 2 2" xfId="33498" xr:uid="{00000000-0005-0000-0000-0000E52C0000}"/>
    <cellStyle name="Normal 17 4 2 2 3 3" xfId="25451" xr:uid="{00000000-0005-0000-0000-0000E62C0000}"/>
    <cellStyle name="Normal 17 4 2 2 4" xfId="13038" xr:uid="{00000000-0005-0000-0000-0000E72C0000}"/>
    <cellStyle name="Normal 17 4 2 2 4 2" xfId="29573" xr:uid="{00000000-0005-0000-0000-0000E82C0000}"/>
    <cellStyle name="Normal 17 4 2 2 5" xfId="21530" xr:uid="{00000000-0005-0000-0000-0000E92C0000}"/>
    <cellStyle name="Normal 17 4 2 3" xfId="3403" xr:uid="{00000000-0005-0000-0000-0000EA2C0000}"/>
    <cellStyle name="Normal 17 4 2 3 2" xfId="7564" xr:uid="{00000000-0005-0000-0000-0000EB2C0000}"/>
    <cellStyle name="Normal 17 4 2 3 2 2" xfId="16925" xr:uid="{00000000-0005-0000-0000-0000EC2C0000}"/>
    <cellStyle name="Normal 17 4 2 3 2 2 2" xfId="33499" xr:uid="{00000000-0005-0000-0000-0000ED2C0000}"/>
    <cellStyle name="Normal 17 4 2 3 2 3" xfId="25452" xr:uid="{00000000-0005-0000-0000-0000EE2C0000}"/>
    <cellStyle name="Normal 17 4 2 3 3" xfId="13040" xr:uid="{00000000-0005-0000-0000-0000EF2C0000}"/>
    <cellStyle name="Normal 17 4 2 3 3 2" xfId="29575" xr:uid="{00000000-0005-0000-0000-0000F02C0000}"/>
    <cellStyle name="Normal 17 4 2 3 4" xfId="21532" xr:uid="{00000000-0005-0000-0000-0000F12C0000}"/>
    <cellStyle name="Normal 17 4 2 4" xfId="7565" xr:uid="{00000000-0005-0000-0000-0000F22C0000}"/>
    <cellStyle name="Normal 17 4 2 4 2" xfId="16926" xr:uid="{00000000-0005-0000-0000-0000F32C0000}"/>
    <cellStyle name="Normal 17 4 2 4 2 2" xfId="33500" xr:uid="{00000000-0005-0000-0000-0000F42C0000}"/>
    <cellStyle name="Normal 17 4 2 4 3" xfId="25453" xr:uid="{00000000-0005-0000-0000-0000F52C0000}"/>
    <cellStyle name="Normal 17 4 2 5" xfId="13037" xr:uid="{00000000-0005-0000-0000-0000F62C0000}"/>
    <cellStyle name="Normal 17 4 2 5 2" xfId="29572" xr:uid="{00000000-0005-0000-0000-0000F72C0000}"/>
    <cellStyle name="Normal 17 4 2 6" xfId="21529" xr:uid="{00000000-0005-0000-0000-0000F82C0000}"/>
    <cellStyle name="Normal 17 4 3" xfId="3404" xr:uid="{00000000-0005-0000-0000-0000F92C0000}"/>
    <cellStyle name="Normal 17 4 3 2" xfId="3405" xr:uid="{00000000-0005-0000-0000-0000FA2C0000}"/>
    <cellStyle name="Normal 17 4 3 2 2" xfId="7566" xr:uid="{00000000-0005-0000-0000-0000FB2C0000}"/>
    <cellStyle name="Normal 17 4 3 2 2 2" xfId="16927" xr:uid="{00000000-0005-0000-0000-0000FC2C0000}"/>
    <cellStyle name="Normal 17 4 3 2 2 2 2" xfId="33501" xr:uid="{00000000-0005-0000-0000-0000FD2C0000}"/>
    <cellStyle name="Normal 17 4 3 2 2 3" xfId="25454" xr:uid="{00000000-0005-0000-0000-0000FE2C0000}"/>
    <cellStyle name="Normal 17 4 3 2 3" xfId="13042" xr:uid="{00000000-0005-0000-0000-0000FF2C0000}"/>
    <cellStyle name="Normal 17 4 3 2 3 2" xfId="29577" xr:uid="{00000000-0005-0000-0000-0000002D0000}"/>
    <cellStyle name="Normal 17 4 3 2 4" xfId="21534" xr:uid="{00000000-0005-0000-0000-0000012D0000}"/>
    <cellStyle name="Normal 17 4 3 3" xfId="7567" xr:uid="{00000000-0005-0000-0000-0000022D0000}"/>
    <cellStyle name="Normal 17 4 3 3 2" xfId="16928" xr:uid="{00000000-0005-0000-0000-0000032D0000}"/>
    <cellStyle name="Normal 17 4 3 3 2 2" xfId="33502" xr:uid="{00000000-0005-0000-0000-0000042D0000}"/>
    <cellStyle name="Normal 17 4 3 3 3" xfId="25455" xr:uid="{00000000-0005-0000-0000-0000052D0000}"/>
    <cellStyle name="Normal 17 4 3 4" xfId="13041" xr:uid="{00000000-0005-0000-0000-0000062D0000}"/>
    <cellStyle name="Normal 17 4 3 4 2" xfId="29576" xr:uid="{00000000-0005-0000-0000-0000072D0000}"/>
    <cellStyle name="Normal 17 4 3 5" xfId="21533" xr:uid="{00000000-0005-0000-0000-0000082D0000}"/>
    <cellStyle name="Normal 17 4 4" xfId="3406" xr:uid="{00000000-0005-0000-0000-0000092D0000}"/>
    <cellStyle name="Normal 17 4 4 2" xfId="7568" xr:uid="{00000000-0005-0000-0000-00000A2D0000}"/>
    <cellStyle name="Normal 17 4 4 2 2" xfId="16929" xr:uid="{00000000-0005-0000-0000-00000B2D0000}"/>
    <cellStyle name="Normal 17 4 4 2 2 2" xfId="33503" xr:uid="{00000000-0005-0000-0000-00000C2D0000}"/>
    <cellStyle name="Normal 17 4 4 2 3" xfId="25456" xr:uid="{00000000-0005-0000-0000-00000D2D0000}"/>
    <cellStyle name="Normal 17 4 4 3" xfId="13043" xr:uid="{00000000-0005-0000-0000-00000E2D0000}"/>
    <cellStyle name="Normal 17 4 4 3 2" xfId="29578" xr:uid="{00000000-0005-0000-0000-00000F2D0000}"/>
    <cellStyle name="Normal 17 4 4 4" xfId="21535" xr:uid="{00000000-0005-0000-0000-0000102D0000}"/>
    <cellStyle name="Normal 17 4 5" xfId="7569" xr:uid="{00000000-0005-0000-0000-0000112D0000}"/>
    <cellStyle name="Normal 17 4 5 2" xfId="16930" xr:uid="{00000000-0005-0000-0000-0000122D0000}"/>
    <cellStyle name="Normal 17 4 5 2 2" xfId="33504" xr:uid="{00000000-0005-0000-0000-0000132D0000}"/>
    <cellStyle name="Normal 17 4 5 3" xfId="25457" xr:uid="{00000000-0005-0000-0000-0000142D0000}"/>
    <cellStyle name="Normal 17 4 6" xfId="13036" xr:uid="{00000000-0005-0000-0000-0000152D0000}"/>
    <cellStyle name="Normal 17 4 6 2" xfId="29571" xr:uid="{00000000-0005-0000-0000-0000162D0000}"/>
    <cellStyle name="Normal 17 4 7" xfId="21528" xr:uid="{00000000-0005-0000-0000-0000172D0000}"/>
    <cellStyle name="Normal 17 5" xfId="3407" xr:uid="{00000000-0005-0000-0000-0000182D0000}"/>
    <cellStyle name="Normal 17 5 2" xfId="3408" xr:uid="{00000000-0005-0000-0000-0000192D0000}"/>
    <cellStyle name="Normal 17 5 2 2" xfId="3409" xr:uid="{00000000-0005-0000-0000-00001A2D0000}"/>
    <cellStyle name="Normal 17 5 2 2 2" xfId="3410" xr:uid="{00000000-0005-0000-0000-00001B2D0000}"/>
    <cellStyle name="Normal 17 5 2 2 2 2" xfId="7570" xr:uid="{00000000-0005-0000-0000-00001C2D0000}"/>
    <cellStyle name="Normal 17 5 2 2 2 2 2" xfId="16931" xr:uid="{00000000-0005-0000-0000-00001D2D0000}"/>
    <cellStyle name="Normal 17 5 2 2 2 2 2 2" xfId="33505" xr:uid="{00000000-0005-0000-0000-00001E2D0000}"/>
    <cellStyle name="Normal 17 5 2 2 2 2 3" xfId="25458" xr:uid="{00000000-0005-0000-0000-00001F2D0000}"/>
    <cellStyle name="Normal 17 5 2 2 2 3" xfId="13047" xr:uid="{00000000-0005-0000-0000-0000202D0000}"/>
    <cellStyle name="Normal 17 5 2 2 2 3 2" xfId="29582" xr:uid="{00000000-0005-0000-0000-0000212D0000}"/>
    <cellStyle name="Normal 17 5 2 2 2 4" xfId="21539" xr:uid="{00000000-0005-0000-0000-0000222D0000}"/>
    <cellStyle name="Normal 17 5 2 2 3" xfId="7571" xr:uid="{00000000-0005-0000-0000-0000232D0000}"/>
    <cellStyle name="Normal 17 5 2 2 3 2" xfId="16932" xr:uid="{00000000-0005-0000-0000-0000242D0000}"/>
    <cellStyle name="Normal 17 5 2 2 3 2 2" xfId="33506" xr:uid="{00000000-0005-0000-0000-0000252D0000}"/>
    <cellStyle name="Normal 17 5 2 2 3 3" xfId="25459" xr:uid="{00000000-0005-0000-0000-0000262D0000}"/>
    <cellStyle name="Normal 17 5 2 2 4" xfId="13046" xr:uid="{00000000-0005-0000-0000-0000272D0000}"/>
    <cellStyle name="Normal 17 5 2 2 4 2" xfId="29581" xr:uid="{00000000-0005-0000-0000-0000282D0000}"/>
    <cellStyle name="Normal 17 5 2 2 5" xfId="21538" xr:uid="{00000000-0005-0000-0000-0000292D0000}"/>
    <cellStyle name="Normal 17 5 2 3" xfId="3411" xr:uid="{00000000-0005-0000-0000-00002A2D0000}"/>
    <cellStyle name="Normal 17 5 2 3 2" xfId="7572" xr:uid="{00000000-0005-0000-0000-00002B2D0000}"/>
    <cellStyle name="Normal 17 5 2 3 2 2" xfId="16933" xr:uid="{00000000-0005-0000-0000-00002C2D0000}"/>
    <cellStyle name="Normal 17 5 2 3 2 2 2" xfId="33507" xr:uid="{00000000-0005-0000-0000-00002D2D0000}"/>
    <cellStyle name="Normal 17 5 2 3 2 3" xfId="25460" xr:uid="{00000000-0005-0000-0000-00002E2D0000}"/>
    <cellStyle name="Normal 17 5 2 3 3" xfId="13048" xr:uid="{00000000-0005-0000-0000-00002F2D0000}"/>
    <cellStyle name="Normal 17 5 2 3 3 2" xfId="29583" xr:uid="{00000000-0005-0000-0000-0000302D0000}"/>
    <cellStyle name="Normal 17 5 2 3 4" xfId="21540" xr:uid="{00000000-0005-0000-0000-0000312D0000}"/>
    <cellStyle name="Normal 17 5 2 4" xfId="7573" xr:uid="{00000000-0005-0000-0000-0000322D0000}"/>
    <cellStyle name="Normal 17 5 2 4 2" xfId="16934" xr:uid="{00000000-0005-0000-0000-0000332D0000}"/>
    <cellStyle name="Normal 17 5 2 4 2 2" xfId="33508" xr:uid="{00000000-0005-0000-0000-0000342D0000}"/>
    <cellStyle name="Normal 17 5 2 4 3" xfId="25461" xr:uid="{00000000-0005-0000-0000-0000352D0000}"/>
    <cellStyle name="Normal 17 5 2 5" xfId="13045" xr:uid="{00000000-0005-0000-0000-0000362D0000}"/>
    <cellStyle name="Normal 17 5 2 5 2" xfId="29580" xr:uid="{00000000-0005-0000-0000-0000372D0000}"/>
    <cellStyle name="Normal 17 5 2 6" xfId="21537" xr:uid="{00000000-0005-0000-0000-0000382D0000}"/>
    <cellStyle name="Normal 17 5 3" xfId="3412" xr:uid="{00000000-0005-0000-0000-0000392D0000}"/>
    <cellStyle name="Normal 17 5 3 2" xfId="3413" xr:uid="{00000000-0005-0000-0000-00003A2D0000}"/>
    <cellStyle name="Normal 17 5 3 2 2" xfId="7574" xr:uid="{00000000-0005-0000-0000-00003B2D0000}"/>
    <cellStyle name="Normal 17 5 3 2 2 2" xfId="16935" xr:uid="{00000000-0005-0000-0000-00003C2D0000}"/>
    <cellStyle name="Normal 17 5 3 2 2 2 2" xfId="33509" xr:uid="{00000000-0005-0000-0000-00003D2D0000}"/>
    <cellStyle name="Normal 17 5 3 2 2 3" xfId="25462" xr:uid="{00000000-0005-0000-0000-00003E2D0000}"/>
    <cellStyle name="Normal 17 5 3 2 3" xfId="13050" xr:uid="{00000000-0005-0000-0000-00003F2D0000}"/>
    <cellStyle name="Normal 17 5 3 2 3 2" xfId="29585" xr:uid="{00000000-0005-0000-0000-0000402D0000}"/>
    <cellStyle name="Normal 17 5 3 2 4" xfId="21542" xr:uid="{00000000-0005-0000-0000-0000412D0000}"/>
    <cellStyle name="Normal 17 5 3 3" xfId="7575" xr:uid="{00000000-0005-0000-0000-0000422D0000}"/>
    <cellStyle name="Normal 17 5 3 3 2" xfId="16936" xr:uid="{00000000-0005-0000-0000-0000432D0000}"/>
    <cellStyle name="Normal 17 5 3 3 2 2" xfId="33510" xr:uid="{00000000-0005-0000-0000-0000442D0000}"/>
    <cellStyle name="Normal 17 5 3 3 3" xfId="25463" xr:uid="{00000000-0005-0000-0000-0000452D0000}"/>
    <cellStyle name="Normal 17 5 3 4" xfId="13049" xr:uid="{00000000-0005-0000-0000-0000462D0000}"/>
    <cellStyle name="Normal 17 5 3 4 2" xfId="29584" xr:uid="{00000000-0005-0000-0000-0000472D0000}"/>
    <cellStyle name="Normal 17 5 3 5" xfId="21541" xr:uid="{00000000-0005-0000-0000-0000482D0000}"/>
    <cellStyle name="Normal 17 5 4" xfId="3414" xr:uid="{00000000-0005-0000-0000-0000492D0000}"/>
    <cellStyle name="Normal 17 5 4 2" xfId="7576" xr:uid="{00000000-0005-0000-0000-00004A2D0000}"/>
    <cellStyle name="Normal 17 5 4 2 2" xfId="16937" xr:uid="{00000000-0005-0000-0000-00004B2D0000}"/>
    <cellStyle name="Normal 17 5 4 2 2 2" xfId="33511" xr:uid="{00000000-0005-0000-0000-00004C2D0000}"/>
    <cellStyle name="Normal 17 5 4 2 3" xfId="25464" xr:uid="{00000000-0005-0000-0000-00004D2D0000}"/>
    <cellStyle name="Normal 17 5 4 3" xfId="13051" xr:uid="{00000000-0005-0000-0000-00004E2D0000}"/>
    <cellStyle name="Normal 17 5 4 3 2" xfId="29586" xr:uid="{00000000-0005-0000-0000-00004F2D0000}"/>
    <cellStyle name="Normal 17 5 4 4" xfId="21543" xr:uid="{00000000-0005-0000-0000-0000502D0000}"/>
    <cellStyle name="Normal 17 5 5" xfId="7577" xr:uid="{00000000-0005-0000-0000-0000512D0000}"/>
    <cellStyle name="Normal 17 5 5 2" xfId="16938" xr:uid="{00000000-0005-0000-0000-0000522D0000}"/>
    <cellStyle name="Normal 17 5 5 2 2" xfId="33512" xr:uid="{00000000-0005-0000-0000-0000532D0000}"/>
    <cellStyle name="Normal 17 5 5 3" xfId="25465" xr:uid="{00000000-0005-0000-0000-0000542D0000}"/>
    <cellStyle name="Normal 17 5 6" xfId="13044" xr:uid="{00000000-0005-0000-0000-0000552D0000}"/>
    <cellStyle name="Normal 17 5 6 2" xfId="29579" xr:uid="{00000000-0005-0000-0000-0000562D0000}"/>
    <cellStyle name="Normal 17 5 7" xfId="21536" xr:uid="{00000000-0005-0000-0000-0000572D0000}"/>
    <cellStyle name="Normal 17 6" xfId="3415" xr:uid="{00000000-0005-0000-0000-0000582D0000}"/>
    <cellStyle name="Normal 17 6 2" xfId="3416" xr:uid="{00000000-0005-0000-0000-0000592D0000}"/>
    <cellStyle name="Normal 17 6 2 2" xfId="3417" xr:uid="{00000000-0005-0000-0000-00005A2D0000}"/>
    <cellStyle name="Normal 17 6 2 2 2" xfId="7578" xr:uid="{00000000-0005-0000-0000-00005B2D0000}"/>
    <cellStyle name="Normal 17 6 2 2 2 2" xfId="16939" xr:uid="{00000000-0005-0000-0000-00005C2D0000}"/>
    <cellStyle name="Normal 17 6 2 2 2 2 2" xfId="33513" xr:uid="{00000000-0005-0000-0000-00005D2D0000}"/>
    <cellStyle name="Normal 17 6 2 2 2 3" xfId="25466" xr:uid="{00000000-0005-0000-0000-00005E2D0000}"/>
    <cellStyle name="Normal 17 6 2 2 3" xfId="13054" xr:uid="{00000000-0005-0000-0000-00005F2D0000}"/>
    <cellStyle name="Normal 17 6 2 2 3 2" xfId="29589" xr:uid="{00000000-0005-0000-0000-0000602D0000}"/>
    <cellStyle name="Normal 17 6 2 2 4" xfId="21546" xr:uid="{00000000-0005-0000-0000-0000612D0000}"/>
    <cellStyle name="Normal 17 6 2 3" xfId="7579" xr:uid="{00000000-0005-0000-0000-0000622D0000}"/>
    <cellStyle name="Normal 17 6 2 3 2" xfId="16940" xr:uid="{00000000-0005-0000-0000-0000632D0000}"/>
    <cellStyle name="Normal 17 6 2 3 2 2" xfId="33514" xr:uid="{00000000-0005-0000-0000-0000642D0000}"/>
    <cellStyle name="Normal 17 6 2 3 3" xfId="25467" xr:uid="{00000000-0005-0000-0000-0000652D0000}"/>
    <cellStyle name="Normal 17 6 2 4" xfId="13053" xr:uid="{00000000-0005-0000-0000-0000662D0000}"/>
    <cellStyle name="Normal 17 6 2 4 2" xfId="29588" xr:uid="{00000000-0005-0000-0000-0000672D0000}"/>
    <cellStyle name="Normal 17 6 2 5" xfId="21545" xr:uid="{00000000-0005-0000-0000-0000682D0000}"/>
    <cellStyle name="Normal 17 6 3" xfId="3418" xr:uid="{00000000-0005-0000-0000-0000692D0000}"/>
    <cellStyle name="Normal 17 6 3 2" xfId="7580" xr:uid="{00000000-0005-0000-0000-00006A2D0000}"/>
    <cellStyle name="Normal 17 6 3 2 2" xfId="16941" xr:uid="{00000000-0005-0000-0000-00006B2D0000}"/>
    <cellStyle name="Normal 17 6 3 2 2 2" xfId="33515" xr:uid="{00000000-0005-0000-0000-00006C2D0000}"/>
    <cellStyle name="Normal 17 6 3 2 3" xfId="25468" xr:uid="{00000000-0005-0000-0000-00006D2D0000}"/>
    <cellStyle name="Normal 17 6 3 3" xfId="13055" xr:uid="{00000000-0005-0000-0000-00006E2D0000}"/>
    <cellStyle name="Normal 17 6 3 3 2" xfId="29590" xr:uid="{00000000-0005-0000-0000-00006F2D0000}"/>
    <cellStyle name="Normal 17 6 3 4" xfId="21547" xr:uid="{00000000-0005-0000-0000-0000702D0000}"/>
    <cellStyle name="Normal 17 6 4" xfId="7581" xr:uid="{00000000-0005-0000-0000-0000712D0000}"/>
    <cellStyle name="Normal 17 6 4 2" xfId="16942" xr:uid="{00000000-0005-0000-0000-0000722D0000}"/>
    <cellStyle name="Normal 17 6 4 2 2" xfId="33516" xr:uid="{00000000-0005-0000-0000-0000732D0000}"/>
    <cellStyle name="Normal 17 6 4 3" xfId="25469" xr:uid="{00000000-0005-0000-0000-0000742D0000}"/>
    <cellStyle name="Normal 17 6 5" xfId="13052" xr:uid="{00000000-0005-0000-0000-0000752D0000}"/>
    <cellStyle name="Normal 17 6 5 2" xfId="29587" xr:uid="{00000000-0005-0000-0000-0000762D0000}"/>
    <cellStyle name="Normal 17 6 6" xfId="21544" xr:uid="{00000000-0005-0000-0000-0000772D0000}"/>
    <cellStyle name="Normal 17 7" xfId="3419" xr:uid="{00000000-0005-0000-0000-0000782D0000}"/>
    <cellStyle name="Normal 17 7 2" xfId="3420" xr:uid="{00000000-0005-0000-0000-0000792D0000}"/>
    <cellStyle name="Normal 17 7 2 2" xfId="7582" xr:uid="{00000000-0005-0000-0000-00007A2D0000}"/>
    <cellStyle name="Normal 17 7 2 2 2" xfId="16943" xr:uid="{00000000-0005-0000-0000-00007B2D0000}"/>
    <cellStyle name="Normal 17 7 2 2 2 2" xfId="33517" xr:uid="{00000000-0005-0000-0000-00007C2D0000}"/>
    <cellStyle name="Normal 17 7 2 2 3" xfId="25470" xr:uid="{00000000-0005-0000-0000-00007D2D0000}"/>
    <cellStyle name="Normal 17 7 2 3" xfId="13057" xr:uid="{00000000-0005-0000-0000-00007E2D0000}"/>
    <cellStyle name="Normal 17 7 2 3 2" xfId="29592" xr:uid="{00000000-0005-0000-0000-00007F2D0000}"/>
    <cellStyle name="Normal 17 7 2 4" xfId="21549" xr:uid="{00000000-0005-0000-0000-0000802D0000}"/>
    <cellStyle name="Normal 17 7 3" xfId="7583" xr:uid="{00000000-0005-0000-0000-0000812D0000}"/>
    <cellStyle name="Normal 17 7 3 2" xfId="16944" xr:uid="{00000000-0005-0000-0000-0000822D0000}"/>
    <cellStyle name="Normal 17 7 3 2 2" xfId="33518" xr:uid="{00000000-0005-0000-0000-0000832D0000}"/>
    <cellStyle name="Normal 17 7 3 3" xfId="25471" xr:uid="{00000000-0005-0000-0000-0000842D0000}"/>
    <cellStyle name="Normal 17 7 4" xfId="13056" xr:uid="{00000000-0005-0000-0000-0000852D0000}"/>
    <cellStyle name="Normal 17 7 4 2" xfId="29591" xr:uid="{00000000-0005-0000-0000-0000862D0000}"/>
    <cellStyle name="Normal 17 7 5" xfId="21548" xr:uid="{00000000-0005-0000-0000-0000872D0000}"/>
    <cellStyle name="Normal 17 8" xfId="3421" xr:uid="{00000000-0005-0000-0000-0000882D0000}"/>
    <cellStyle name="Normal 17 8 2" xfId="7584" xr:uid="{00000000-0005-0000-0000-0000892D0000}"/>
    <cellStyle name="Normal 17 8 2 2" xfId="16945" xr:uid="{00000000-0005-0000-0000-00008A2D0000}"/>
    <cellStyle name="Normal 17 8 2 2 2" xfId="33519" xr:uid="{00000000-0005-0000-0000-00008B2D0000}"/>
    <cellStyle name="Normal 17 8 2 3" xfId="25472" xr:uid="{00000000-0005-0000-0000-00008C2D0000}"/>
    <cellStyle name="Normal 17 8 3" xfId="13058" xr:uid="{00000000-0005-0000-0000-00008D2D0000}"/>
    <cellStyle name="Normal 17 8 3 2" xfId="29593" xr:uid="{00000000-0005-0000-0000-00008E2D0000}"/>
    <cellStyle name="Normal 17 8 4" xfId="21550" xr:uid="{00000000-0005-0000-0000-00008F2D0000}"/>
    <cellStyle name="Normal 17 9" xfId="7585" xr:uid="{00000000-0005-0000-0000-0000902D0000}"/>
    <cellStyle name="Normal 17 9 2" xfId="16946" xr:uid="{00000000-0005-0000-0000-0000912D0000}"/>
    <cellStyle name="Normal 17 9 2 2" xfId="33520" xr:uid="{00000000-0005-0000-0000-0000922D0000}"/>
    <cellStyle name="Normal 17 9 3" xfId="25473" xr:uid="{00000000-0005-0000-0000-0000932D0000}"/>
    <cellStyle name="Normal 170" xfId="10514" xr:uid="{00000000-0005-0000-0000-0000942D0000}"/>
    <cellStyle name="Normal 171" xfId="10517" xr:uid="{00000000-0005-0000-0000-0000952D0000}"/>
    <cellStyle name="Normal 172" xfId="10520" xr:uid="{00000000-0005-0000-0000-0000962D0000}"/>
    <cellStyle name="Normal 173" xfId="10523" xr:uid="{00000000-0005-0000-0000-0000972D0000}"/>
    <cellStyle name="Normal 174" xfId="10526" xr:uid="{00000000-0005-0000-0000-0000982D0000}"/>
    <cellStyle name="Normal 175" xfId="10529" xr:uid="{00000000-0005-0000-0000-0000992D0000}"/>
    <cellStyle name="Normal 176" xfId="10532" xr:uid="{00000000-0005-0000-0000-00009A2D0000}"/>
    <cellStyle name="Normal 177" xfId="10535" xr:uid="{00000000-0005-0000-0000-00009B2D0000}"/>
    <cellStyle name="Normal 178" xfId="10538" xr:uid="{00000000-0005-0000-0000-00009C2D0000}"/>
    <cellStyle name="Normal 179" xfId="10541" xr:uid="{00000000-0005-0000-0000-00009D2D0000}"/>
    <cellStyle name="Normal 18" xfId="1734" xr:uid="{00000000-0005-0000-0000-00009E2D0000}"/>
    <cellStyle name="Normal 18 10" xfId="3422" xr:uid="{00000000-0005-0000-0000-00009F2D0000}"/>
    <cellStyle name="Normal 18 10 2" xfId="29594" xr:uid="{00000000-0005-0000-0000-0000A02D0000}"/>
    <cellStyle name="Normal 18 11" xfId="21551" xr:uid="{00000000-0005-0000-0000-0000A12D0000}"/>
    <cellStyle name="Normal 18 2" xfId="3423" xr:uid="{00000000-0005-0000-0000-0000A22D0000}"/>
    <cellStyle name="Normal 18 2 2" xfId="3424" xr:uid="{00000000-0005-0000-0000-0000A32D0000}"/>
    <cellStyle name="Normal 18 2 3" xfId="13059" xr:uid="{00000000-0005-0000-0000-0000A42D0000}"/>
    <cellStyle name="Normal 18 2 3 2" xfId="29595" xr:uid="{00000000-0005-0000-0000-0000A52D0000}"/>
    <cellStyle name="Normal 18 2 4" xfId="21552" xr:uid="{00000000-0005-0000-0000-0000A62D0000}"/>
    <cellStyle name="Normal 18 3" xfId="3425" xr:uid="{00000000-0005-0000-0000-0000A72D0000}"/>
    <cellStyle name="Normal 18 3 2" xfId="3426" xr:uid="{00000000-0005-0000-0000-0000A82D0000}"/>
    <cellStyle name="Normal 18 3 2 2" xfId="3427" xr:uid="{00000000-0005-0000-0000-0000A92D0000}"/>
    <cellStyle name="Normal 18 3 2 2 2" xfId="3428" xr:uid="{00000000-0005-0000-0000-0000AA2D0000}"/>
    <cellStyle name="Normal 18 3 2 2 2 2" xfId="7586" xr:uid="{00000000-0005-0000-0000-0000AB2D0000}"/>
    <cellStyle name="Normal 18 3 2 2 2 2 2" xfId="16947" xr:uid="{00000000-0005-0000-0000-0000AC2D0000}"/>
    <cellStyle name="Normal 18 3 2 2 2 2 2 2" xfId="33521" xr:uid="{00000000-0005-0000-0000-0000AD2D0000}"/>
    <cellStyle name="Normal 18 3 2 2 2 2 3" xfId="25474" xr:uid="{00000000-0005-0000-0000-0000AE2D0000}"/>
    <cellStyle name="Normal 18 3 2 2 2 3" xfId="13062" xr:uid="{00000000-0005-0000-0000-0000AF2D0000}"/>
    <cellStyle name="Normal 18 3 2 2 2 3 2" xfId="29598" xr:uid="{00000000-0005-0000-0000-0000B02D0000}"/>
    <cellStyle name="Normal 18 3 2 2 2 4" xfId="21555" xr:uid="{00000000-0005-0000-0000-0000B12D0000}"/>
    <cellStyle name="Normal 18 3 2 2 3" xfId="7587" xr:uid="{00000000-0005-0000-0000-0000B22D0000}"/>
    <cellStyle name="Normal 18 3 2 2 3 2" xfId="16948" xr:uid="{00000000-0005-0000-0000-0000B32D0000}"/>
    <cellStyle name="Normal 18 3 2 2 3 2 2" xfId="33522" xr:uid="{00000000-0005-0000-0000-0000B42D0000}"/>
    <cellStyle name="Normal 18 3 2 2 3 3" xfId="25475" xr:uid="{00000000-0005-0000-0000-0000B52D0000}"/>
    <cellStyle name="Normal 18 3 2 2 4" xfId="13061" xr:uid="{00000000-0005-0000-0000-0000B62D0000}"/>
    <cellStyle name="Normal 18 3 2 2 4 2" xfId="29597" xr:uid="{00000000-0005-0000-0000-0000B72D0000}"/>
    <cellStyle name="Normal 18 3 2 2 5" xfId="21554" xr:uid="{00000000-0005-0000-0000-0000B82D0000}"/>
    <cellStyle name="Normal 18 3 2 3" xfId="3429" xr:uid="{00000000-0005-0000-0000-0000B92D0000}"/>
    <cellStyle name="Normal 18 3 2 3 2" xfId="7588" xr:uid="{00000000-0005-0000-0000-0000BA2D0000}"/>
    <cellStyle name="Normal 18 3 2 3 2 2" xfId="16949" xr:uid="{00000000-0005-0000-0000-0000BB2D0000}"/>
    <cellStyle name="Normal 18 3 2 3 2 2 2" xfId="33523" xr:uid="{00000000-0005-0000-0000-0000BC2D0000}"/>
    <cellStyle name="Normal 18 3 2 3 2 3" xfId="25476" xr:uid="{00000000-0005-0000-0000-0000BD2D0000}"/>
    <cellStyle name="Normal 18 3 2 3 3" xfId="13063" xr:uid="{00000000-0005-0000-0000-0000BE2D0000}"/>
    <cellStyle name="Normal 18 3 2 3 3 2" xfId="29599" xr:uid="{00000000-0005-0000-0000-0000BF2D0000}"/>
    <cellStyle name="Normal 18 3 2 3 4" xfId="21556" xr:uid="{00000000-0005-0000-0000-0000C02D0000}"/>
    <cellStyle name="Normal 18 3 2 4" xfId="7589" xr:uid="{00000000-0005-0000-0000-0000C12D0000}"/>
    <cellStyle name="Normal 18 3 2 4 2" xfId="16950" xr:uid="{00000000-0005-0000-0000-0000C22D0000}"/>
    <cellStyle name="Normal 18 3 2 4 2 2" xfId="33524" xr:uid="{00000000-0005-0000-0000-0000C32D0000}"/>
    <cellStyle name="Normal 18 3 2 4 3" xfId="25477" xr:uid="{00000000-0005-0000-0000-0000C42D0000}"/>
    <cellStyle name="Normal 18 3 2 5" xfId="13060" xr:uid="{00000000-0005-0000-0000-0000C52D0000}"/>
    <cellStyle name="Normal 18 3 2 5 2" xfId="29596" xr:uid="{00000000-0005-0000-0000-0000C62D0000}"/>
    <cellStyle name="Normal 18 3 2 6" xfId="21553" xr:uid="{00000000-0005-0000-0000-0000C72D0000}"/>
    <cellStyle name="Normal 18 3 3" xfId="3430" xr:uid="{00000000-0005-0000-0000-0000C82D0000}"/>
    <cellStyle name="Normal 18 3 3 2" xfId="3431" xr:uid="{00000000-0005-0000-0000-0000C92D0000}"/>
    <cellStyle name="Normal 18 3 3 2 2" xfId="7590" xr:uid="{00000000-0005-0000-0000-0000CA2D0000}"/>
    <cellStyle name="Normal 18 3 3 2 2 2" xfId="16951" xr:uid="{00000000-0005-0000-0000-0000CB2D0000}"/>
    <cellStyle name="Normal 18 3 3 2 2 2 2" xfId="33525" xr:uid="{00000000-0005-0000-0000-0000CC2D0000}"/>
    <cellStyle name="Normal 18 3 3 2 2 3" xfId="25478" xr:uid="{00000000-0005-0000-0000-0000CD2D0000}"/>
    <cellStyle name="Normal 18 3 3 2 3" xfId="13065" xr:uid="{00000000-0005-0000-0000-0000CE2D0000}"/>
    <cellStyle name="Normal 18 3 3 2 3 2" xfId="29601" xr:uid="{00000000-0005-0000-0000-0000CF2D0000}"/>
    <cellStyle name="Normal 18 3 3 2 4" xfId="21558" xr:uid="{00000000-0005-0000-0000-0000D02D0000}"/>
    <cellStyle name="Normal 18 3 3 3" xfId="7591" xr:uid="{00000000-0005-0000-0000-0000D12D0000}"/>
    <cellStyle name="Normal 18 3 3 3 2" xfId="16952" xr:uid="{00000000-0005-0000-0000-0000D22D0000}"/>
    <cellStyle name="Normal 18 3 3 3 2 2" xfId="33526" xr:uid="{00000000-0005-0000-0000-0000D32D0000}"/>
    <cellStyle name="Normal 18 3 3 3 3" xfId="25479" xr:uid="{00000000-0005-0000-0000-0000D42D0000}"/>
    <cellStyle name="Normal 18 3 3 4" xfId="13064" xr:uid="{00000000-0005-0000-0000-0000D52D0000}"/>
    <cellStyle name="Normal 18 3 3 4 2" xfId="29600" xr:uid="{00000000-0005-0000-0000-0000D62D0000}"/>
    <cellStyle name="Normal 18 3 3 5" xfId="21557" xr:uid="{00000000-0005-0000-0000-0000D72D0000}"/>
    <cellStyle name="Normal 18 3 4" xfId="3432" xr:uid="{00000000-0005-0000-0000-0000D82D0000}"/>
    <cellStyle name="Normal 18 3 4 2" xfId="7592" xr:uid="{00000000-0005-0000-0000-0000D92D0000}"/>
    <cellStyle name="Normal 18 3 4 2 2" xfId="16953" xr:uid="{00000000-0005-0000-0000-0000DA2D0000}"/>
    <cellStyle name="Normal 18 3 4 2 2 2" xfId="33527" xr:uid="{00000000-0005-0000-0000-0000DB2D0000}"/>
    <cellStyle name="Normal 18 3 4 2 3" xfId="25480" xr:uid="{00000000-0005-0000-0000-0000DC2D0000}"/>
    <cellStyle name="Normal 18 3 4 3" xfId="13066" xr:uid="{00000000-0005-0000-0000-0000DD2D0000}"/>
    <cellStyle name="Normal 18 3 4 3 2" xfId="29602" xr:uid="{00000000-0005-0000-0000-0000DE2D0000}"/>
    <cellStyle name="Normal 18 3 4 4" xfId="21559" xr:uid="{00000000-0005-0000-0000-0000DF2D0000}"/>
    <cellStyle name="Normal 18 3 5" xfId="3433" xr:uid="{00000000-0005-0000-0000-0000E02D0000}"/>
    <cellStyle name="Normal 18 3 5 2" xfId="13067" xr:uid="{00000000-0005-0000-0000-0000E12D0000}"/>
    <cellStyle name="Normal 18 3 5 2 2" xfId="29603" xr:uid="{00000000-0005-0000-0000-0000E22D0000}"/>
    <cellStyle name="Normal 18 3 5 3" xfId="21560" xr:uid="{00000000-0005-0000-0000-0000E32D0000}"/>
    <cellStyle name="Normal 18 4" xfId="3434" xr:uid="{00000000-0005-0000-0000-0000E42D0000}"/>
    <cellStyle name="Normal 18 4 2" xfId="3435" xr:uid="{00000000-0005-0000-0000-0000E52D0000}"/>
    <cellStyle name="Normal 18 4 2 2" xfId="3436" xr:uid="{00000000-0005-0000-0000-0000E62D0000}"/>
    <cellStyle name="Normal 18 4 2 2 2" xfId="3437" xr:uid="{00000000-0005-0000-0000-0000E72D0000}"/>
    <cellStyle name="Normal 18 4 2 2 2 2" xfId="7593" xr:uid="{00000000-0005-0000-0000-0000E82D0000}"/>
    <cellStyle name="Normal 18 4 2 2 2 2 2" xfId="16954" xr:uid="{00000000-0005-0000-0000-0000E92D0000}"/>
    <cellStyle name="Normal 18 4 2 2 2 2 2 2" xfId="33528" xr:uid="{00000000-0005-0000-0000-0000EA2D0000}"/>
    <cellStyle name="Normal 18 4 2 2 2 2 3" xfId="25481" xr:uid="{00000000-0005-0000-0000-0000EB2D0000}"/>
    <cellStyle name="Normal 18 4 2 2 2 3" xfId="13071" xr:uid="{00000000-0005-0000-0000-0000EC2D0000}"/>
    <cellStyle name="Normal 18 4 2 2 2 3 2" xfId="29607" xr:uid="{00000000-0005-0000-0000-0000ED2D0000}"/>
    <cellStyle name="Normal 18 4 2 2 2 4" xfId="21564" xr:uid="{00000000-0005-0000-0000-0000EE2D0000}"/>
    <cellStyle name="Normal 18 4 2 2 3" xfId="7594" xr:uid="{00000000-0005-0000-0000-0000EF2D0000}"/>
    <cellStyle name="Normal 18 4 2 2 3 2" xfId="16955" xr:uid="{00000000-0005-0000-0000-0000F02D0000}"/>
    <cellStyle name="Normal 18 4 2 2 3 2 2" xfId="33529" xr:uid="{00000000-0005-0000-0000-0000F12D0000}"/>
    <cellStyle name="Normal 18 4 2 2 3 3" xfId="25482" xr:uid="{00000000-0005-0000-0000-0000F22D0000}"/>
    <cellStyle name="Normal 18 4 2 2 4" xfId="13070" xr:uid="{00000000-0005-0000-0000-0000F32D0000}"/>
    <cellStyle name="Normal 18 4 2 2 4 2" xfId="29606" xr:uid="{00000000-0005-0000-0000-0000F42D0000}"/>
    <cellStyle name="Normal 18 4 2 2 5" xfId="21563" xr:uid="{00000000-0005-0000-0000-0000F52D0000}"/>
    <cellStyle name="Normal 18 4 2 3" xfId="3438" xr:uid="{00000000-0005-0000-0000-0000F62D0000}"/>
    <cellStyle name="Normal 18 4 2 3 2" xfId="7595" xr:uid="{00000000-0005-0000-0000-0000F72D0000}"/>
    <cellStyle name="Normal 18 4 2 3 2 2" xfId="16956" xr:uid="{00000000-0005-0000-0000-0000F82D0000}"/>
    <cellStyle name="Normal 18 4 2 3 2 2 2" xfId="33530" xr:uid="{00000000-0005-0000-0000-0000F92D0000}"/>
    <cellStyle name="Normal 18 4 2 3 2 3" xfId="25483" xr:uid="{00000000-0005-0000-0000-0000FA2D0000}"/>
    <cellStyle name="Normal 18 4 2 3 3" xfId="13072" xr:uid="{00000000-0005-0000-0000-0000FB2D0000}"/>
    <cellStyle name="Normal 18 4 2 3 3 2" xfId="29608" xr:uid="{00000000-0005-0000-0000-0000FC2D0000}"/>
    <cellStyle name="Normal 18 4 2 3 4" xfId="21565" xr:uid="{00000000-0005-0000-0000-0000FD2D0000}"/>
    <cellStyle name="Normal 18 4 2 4" xfId="7596" xr:uid="{00000000-0005-0000-0000-0000FE2D0000}"/>
    <cellStyle name="Normal 18 4 2 4 2" xfId="16957" xr:uid="{00000000-0005-0000-0000-0000FF2D0000}"/>
    <cellStyle name="Normal 18 4 2 4 2 2" xfId="33531" xr:uid="{00000000-0005-0000-0000-0000002E0000}"/>
    <cellStyle name="Normal 18 4 2 4 3" xfId="25484" xr:uid="{00000000-0005-0000-0000-0000012E0000}"/>
    <cellStyle name="Normal 18 4 2 5" xfId="13069" xr:uid="{00000000-0005-0000-0000-0000022E0000}"/>
    <cellStyle name="Normal 18 4 2 5 2" xfId="29605" xr:uid="{00000000-0005-0000-0000-0000032E0000}"/>
    <cellStyle name="Normal 18 4 2 6" xfId="21562" xr:uid="{00000000-0005-0000-0000-0000042E0000}"/>
    <cellStyle name="Normal 18 4 3" xfId="3439" xr:uid="{00000000-0005-0000-0000-0000052E0000}"/>
    <cellStyle name="Normal 18 4 3 2" xfId="3440" xr:uid="{00000000-0005-0000-0000-0000062E0000}"/>
    <cellStyle name="Normal 18 4 3 2 2" xfId="7597" xr:uid="{00000000-0005-0000-0000-0000072E0000}"/>
    <cellStyle name="Normal 18 4 3 2 2 2" xfId="16958" xr:uid="{00000000-0005-0000-0000-0000082E0000}"/>
    <cellStyle name="Normal 18 4 3 2 2 2 2" xfId="33532" xr:uid="{00000000-0005-0000-0000-0000092E0000}"/>
    <cellStyle name="Normal 18 4 3 2 2 3" xfId="25485" xr:uid="{00000000-0005-0000-0000-00000A2E0000}"/>
    <cellStyle name="Normal 18 4 3 2 3" xfId="13074" xr:uid="{00000000-0005-0000-0000-00000B2E0000}"/>
    <cellStyle name="Normal 18 4 3 2 3 2" xfId="29610" xr:uid="{00000000-0005-0000-0000-00000C2E0000}"/>
    <cellStyle name="Normal 18 4 3 2 4" xfId="21567" xr:uid="{00000000-0005-0000-0000-00000D2E0000}"/>
    <cellStyle name="Normal 18 4 3 3" xfId="7598" xr:uid="{00000000-0005-0000-0000-00000E2E0000}"/>
    <cellStyle name="Normal 18 4 3 3 2" xfId="16959" xr:uid="{00000000-0005-0000-0000-00000F2E0000}"/>
    <cellStyle name="Normal 18 4 3 3 2 2" xfId="33533" xr:uid="{00000000-0005-0000-0000-0000102E0000}"/>
    <cellStyle name="Normal 18 4 3 3 3" xfId="25486" xr:uid="{00000000-0005-0000-0000-0000112E0000}"/>
    <cellStyle name="Normal 18 4 3 4" xfId="13073" xr:uid="{00000000-0005-0000-0000-0000122E0000}"/>
    <cellStyle name="Normal 18 4 3 4 2" xfId="29609" xr:uid="{00000000-0005-0000-0000-0000132E0000}"/>
    <cellStyle name="Normal 18 4 3 5" xfId="21566" xr:uid="{00000000-0005-0000-0000-0000142E0000}"/>
    <cellStyle name="Normal 18 4 4" xfId="3441" xr:uid="{00000000-0005-0000-0000-0000152E0000}"/>
    <cellStyle name="Normal 18 4 4 2" xfId="7599" xr:uid="{00000000-0005-0000-0000-0000162E0000}"/>
    <cellStyle name="Normal 18 4 4 2 2" xfId="16960" xr:uid="{00000000-0005-0000-0000-0000172E0000}"/>
    <cellStyle name="Normal 18 4 4 2 2 2" xfId="33534" xr:uid="{00000000-0005-0000-0000-0000182E0000}"/>
    <cellStyle name="Normal 18 4 4 2 3" xfId="25487" xr:uid="{00000000-0005-0000-0000-0000192E0000}"/>
    <cellStyle name="Normal 18 4 4 3" xfId="13075" xr:uid="{00000000-0005-0000-0000-00001A2E0000}"/>
    <cellStyle name="Normal 18 4 4 3 2" xfId="29611" xr:uid="{00000000-0005-0000-0000-00001B2E0000}"/>
    <cellStyle name="Normal 18 4 4 4" xfId="21568" xr:uid="{00000000-0005-0000-0000-00001C2E0000}"/>
    <cellStyle name="Normal 18 4 5" xfId="7600" xr:uid="{00000000-0005-0000-0000-00001D2E0000}"/>
    <cellStyle name="Normal 18 4 5 2" xfId="16961" xr:uid="{00000000-0005-0000-0000-00001E2E0000}"/>
    <cellStyle name="Normal 18 4 5 2 2" xfId="33535" xr:uid="{00000000-0005-0000-0000-00001F2E0000}"/>
    <cellStyle name="Normal 18 4 5 3" xfId="25488" xr:uid="{00000000-0005-0000-0000-0000202E0000}"/>
    <cellStyle name="Normal 18 4 6" xfId="13068" xr:uid="{00000000-0005-0000-0000-0000212E0000}"/>
    <cellStyle name="Normal 18 4 6 2" xfId="29604" xr:uid="{00000000-0005-0000-0000-0000222E0000}"/>
    <cellStyle name="Normal 18 4 7" xfId="21561" xr:uid="{00000000-0005-0000-0000-0000232E0000}"/>
    <cellStyle name="Normal 18 5" xfId="3442" xr:uid="{00000000-0005-0000-0000-0000242E0000}"/>
    <cellStyle name="Normal 18 5 2" xfId="3443" xr:uid="{00000000-0005-0000-0000-0000252E0000}"/>
    <cellStyle name="Normal 18 5 2 2" xfId="3444" xr:uid="{00000000-0005-0000-0000-0000262E0000}"/>
    <cellStyle name="Normal 18 5 2 2 2" xfId="3445" xr:uid="{00000000-0005-0000-0000-0000272E0000}"/>
    <cellStyle name="Normal 18 5 2 2 2 2" xfId="7601" xr:uid="{00000000-0005-0000-0000-0000282E0000}"/>
    <cellStyle name="Normal 18 5 2 2 2 2 2" xfId="16962" xr:uid="{00000000-0005-0000-0000-0000292E0000}"/>
    <cellStyle name="Normal 18 5 2 2 2 2 2 2" xfId="33536" xr:uid="{00000000-0005-0000-0000-00002A2E0000}"/>
    <cellStyle name="Normal 18 5 2 2 2 2 3" xfId="25489" xr:uid="{00000000-0005-0000-0000-00002B2E0000}"/>
    <cellStyle name="Normal 18 5 2 2 2 3" xfId="13079" xr:uid="{00000000-0005-0000-0000-00002C2E0000}"/>
    <cellStyle name="Normal 18 5 2 2 2 3 2" xfId="29615" xr:uid="{00000000-0005-0000-0000-00002D2E0000}"/>
    <cellStyle name="Normal 18 5 2 2 2 4" xfId="21572" xr:uid="{00000000-0005-0000-0000-00002E2E0000}"/>
    <cellStyle name="Normal 18 5 2 2 3" xfId="7602" xr:uid="{00000000-0005-0000-0000-00002F2E0000}"/>
    <cellStyle name="Normal 18 5 2 2 3 2" xfId="16963" xr:uid="{00000000-0005-0000-0000-0000302E0000}"/>
    <cellStyle name="Normal 18 5 2 2 3 2 2" xfId="33537" xr:uid="{00000000-0005-0000-0000-0000312E0000}"/>
    <cellStyle name="Normal 18 5 2 2 3 3" xfId="25490" xr:uid="{00000000-0005-0000-0000-0000322E0000}"/>
    <cellStyle name="Normal 18 5 2 2 4" xfId="13078" xr:uid="{00000000-0005-0000-0000-0000332E0000}"/>
    <cellStyle name="Normal 18 5 2 2 4 2" xfId="29614" xr:uid="{00000000-0005-0000-0000-0000342E0000}"/>
    <cellStyle name="Normal 18 5 2 2 5" xfId="21571" xr:uid="{00000000-0005-0000-0000-0000352E0000}"/>
    <cellStyle name="Normal 18 5 2 3" xfId="3446" xr:uid="{00000000-0005-0000-0000-0000362E0000}"/>
    <cellStyle name="Normal 18 5 2 3 2" xfId="7603" xr:uid="{00000000-0005-0000-0000-0000372E0000}"/>
    <cellStyle name="Normal 18 5 2 3 2 2" xfId="16964" xr:uid="{00000000-0005-0000-0000-0000382E0000}"/>
    <cellStyle name="Normal 18 5 2 3 2 2 2" xfId="33538" xr:uid="{00000000-0005-0000-0000-0000392E0000}"/>
    <cellStyle name="Normal 18 5 2 3 2 3" xfId="25491" xr:uid="{00000000-0005-0000-0000-00003A2E0000}"/>
    <cellStyle name="Normal 18 5 2 3 3" xfId="13080" xr:uid="{00000000-0005-0000-0000-00003B2E0000}"/>
    <cellStyle name="Normal 18 5 2 3 3 2" xfId="29616" xr:uid="{00000000-0005-0000-0000-00003C2E0000}"/>
    <cellStyle name="Normal 18 5 2 3 4" xfId="21573" xr:uid="{00000000-0005-0000-0000-00003D2E0000}"/>
    <cellStyle name="Normal 18 5 2 4" xfId="7604" xr:uid="{00000000-0005-0000-0000-00003E2E0000}"/>
    <cellStyle name="Normal 18 5 2 4 2" xfId="16965" xr:uid="{00000000-0005-0000-0000-00003F2E0000}"/>
    <cellStyle name="Normal 18 5 2 4 2 2" xfId="33539" xr:uid="{00000000-0005-0000-0000-0000402E0000}"/>
    <cellStyle name="Normal 18 5 2 4 3" xfId="25492" xr:uid="{00000000-0005-0000-0000-0000412E0000}"/>
    <cellStyle name="Normal 18 5 2 5" xfId="13077" xr:uid="{00000000-0005-0000-0000-0000422E0000}"/>
    <cellStyle name="Normal 18 5 2 5 2" xfId="29613" xr:uid="{00000000-0005-0000-0000-0000432E0000}"/>
    <cellStyle name="Normal 18 5 2 6" xfId="21570" xr:uid="{00000000-0005-0000-0000-0000442E0000}"/>
    <cellStyle name="Normal 18 5 3" xfId="3447" xr:uid="{00000000-0005-0000-0000-0000452E0000}"/>
    <cellStyle name="Normal 18 5 3 2" xfId="3448" xr:uid="{00000000-0005-0000-0000-0000462E0000}"/>
    <cellStyle name="Normal 18 5 3 2 2" xfId="7605" xr:uid="{00000000-0005-0000-0000-0000472E0000}"/>
    <cellStyle name="Normal 18 5 3 2 2 2" xfId="16966" xr:uid="{00000000-0005-0000-0000-0000482E0000}"/>
    <cellStyle name="Normal 18 5 3 2 2 2 2" xfId="33540" xr:uid="{00000000-0005-0000-0000-0000492E0000}"/>
    <cellStyle name="Normal 18 5 3 2 2 3" xfId="25493" xr:uid="{00000000-0005-0000-0000-00004A2E0000}"/>
    <cellStyle name="Normal 18 5 3 2 3" xfId="13082" xr:uid="{00000000-0005-0000-0000-00004B2E0000}"/>
    <cellStyle name="Normal 18 5 3 2 3 2" xfId="29618" xr:uid="{00000000-0005-0000-0000-00004C2E0000}"/>
    <cellStyle name="Normal 18 5 3 2 4" xfId="21575" xr:uid="{00000000-0005-0000-0000-00004D2E0000}"/>
    <cellStyle name="Normal 18 5 3 3" xfId="7606" xr:uid="{00000000-0005-0000-0000-00004E2E0000}"/>
    <cellStyle name="Normal 18 5 3 3 2" xfId="16967" xr:uid="{00000000-0005-0000-0000-00004F2E0000}"/>
    <cellStyle name="Normal 18 5 3 3 2 2" xfId="33541" xr:uid="{00000000-0005-0000-0000-0000502E0000}"/>
    <cellStyle name="Normal 18 5 3 3 3" xfId="25494" xr:uid="{00000000-0005-0000-0000-0000512E0000}"/>
    <cellStyle name="Normal 18 5 3 4" xfId="13081" xr:uid="{00000000-0005-0000-0000-0000522E0000}"/>
    <cellStyle name="Normal 18 5 3 4 2" xfId="29617" xr:uid="{00000000-0005-0000-0000-0000532E0000}"/>
    <cellStyle name="Normal 18 5 3 5" xfId="21574" xr:uid="{00000000-0005-0000-0000-0000542E0000}"/>
    <cellStyle name="Normal 18 5 4" xfId="3449" xr:uid="{00000000-0005-0000-0000-0000552E0000}"/>
    <cellStyle name="Normal 18 5 4 2" xfId="7607" xr:uid="{00000000-0005-0000-0000-0000562E0000}"/>
    <cellStyle name="Normal 18 5 4 2 2" xfId="16968" xr:uid="{00000000-0005-0000-0000-0000572E0000}"/>
    <cellStyle name="Normal 18 5 4 2 2 2" xfId="33542" xr:uid="{00000000-0005-0000-0000-0000582E0000}"/>
    <cellStyle name="Normal 18 5 4 2 3" xfId="25495" xr:uid="{00000000-0005-0000-0000-0000592E0000}"/>
    <cellStyle name="Normal 18 5 4 3" xfId="13083" xr:uid="{00000000-0005-0000-0000-00005A2E0000}"/>
    <cellStyle name="Normal 18 5 4 3 2" xfId="29619" xr:uid="{00000000-0005-0000-0000-00005B2E0000}"/>
    <cellStyle name="Normal 18 5 4 4" xfId="21576" xr:uid="{00000000-0005-0000-0000-00005C2E0000}"/>
    <cellStyle name="Normal 18 5 5" xfId="7608" xr:uid="{00000000-0005-0000-0000-00005D2E0000}"/>
    <cellStyle name="Normal 18 5 5 2" xfId="16969" xr:uid="{00000000-0005-0000-0000-00005E2E0000}"/>
    <cellStyle name="Normal 18 5 5 2 2" xfId="33543" xr:uid="{00000000-0005-0000-0000-00005F2E0000}"/>
    <cellStyle name="Normal 18 5 5 3" xfId="25496" xr:uid="{00000000-0005-0000-0000-0000602E0000}"/>
    <cellStyle name="Normal 18 5 6" xfId="13076" xr:uid="{00000000-0005-0000-0000-0000612E0000}"/>
    <cellStyle name="Normal 18 5 6 2" xfId="29612" xr:uid="{00000000-0005-0000-0000-0000622E0000}"/>
    <cellStyle name="Normal 18 5 7" xfId="21569" xr:uid="{00000000-0005-0000-0000-0000632E0000}"/>
    <cellStyle name="Normal 18 6" xfId="3450" xr:uid="{00000000-0005-0000-0000-0000642E0000}"/>
    <cellStyle name="Normal 18 6 2" xfId="3451" xr:uid="{00000000-0005-0000-0000-0000652E0000}"/>
    <cellStyle name="Normal 18 6 2 2" xfId="3452" xr:uid="{00000000-0005-0000-0000-0000662E0000}"/>
    <cellStyle name="Normal 18 6 2 2 2" xfId="7609" xr:uid="{00000000-0005-0000-0000-0000672E0000}"/>
    <cellStyle name="Normal 18 6 2 2 2 2" xfId="16970" xr:uid="{00000000-0005-0000-0000-0000682E0000}"/>
    <cellStyle name="Normal 18 6 2 2 2 2 2" xfId="33544" xr:uid="{00000000-0005-0000-0000-0000692E0000}"/>
    <cellStyle name="Normal 18 6 2 2 2 3" xfId="25497" xr:uid="{00000000-0005-0000-0000-00006A2E0000}"/>
    <cellStyle name="Normal 18 6 2 2 3" xfId="13086" xr:uid="{00000000-0005-0000-0000-00006B2E0000}"/>
    <cellStyle name="Normal 18 6 2 2 3 2" xfId="29622" xr:uid="{00000000-0005-0000-0000-00006C2E0000}"/>
    <cellStyle name="Normal 18 6 2 2 4" xfId="21579" xr:uid="{00000000-0005-0000-0000-00006D2E0000}"/>
    <cellStyle name="Normal 18 6 2 3" xfId="7610" xr:uid="{00000000-0005-0000-0000-00006E2E0000}"/>
    <cellStyle name="Normal 18 6 2 3 2" xfId="16971" xr:uid="{00000000-0005-0000-0000-00006F2E0000}"/>
    <cellStyle name="Normal 18 6 2 3 2 2" xfId="33545" xr:uid="{00000000-0005-0000-0000-0000702E0000}"/>
    <cellStyle name="Normal 18 6 2 3 3" xfId="25498" xr:uid="{00000000-0005-0000-0000-0000712E0000}"/>
    <cellStyle name="Normal 18 6 2 4" xfId="13085" xr:uid="{00000000-0005-0000-0000-0000722E0000}"/>
    <cellStyle name="Normal 18 6 2 4 2" xfId="29621" xr:uid="{00000000-0005-0000-0000-0000732E0000}"/>
    <cellStyle name="Normal 18 6 2 5" xfId="21578" xr:uid="{00000000-0005-0000-0000-0000742E0000}"/>
    <cellStyle name="Normal 18 6 3" xfId="3453" xr:uid="{00000000-0005-0000-0000-0000752E0000}"/>
    <cellStyle name="Normal 18 6 3 2" xfId="7611" xr:uid="{00000000-0005-0000-0000-0000762E0000}"/>
    <cellStyle name="Normal 18 6 3 2 2" xfId="16972" xr:uid="{00000000-0005-0000-0000-0000772E0000}"/>
    <cellStyle name="Normal 18 6 3 2 2 2" xfId="33546" xr:uid="{00000000-0005-0000-0000-0000782E0000}"/>
    <cellStyle name="Normal 18 6 3 2 3" xfId="25499" xr:uid="{00000000-0005-0000-0000-0000792E0000}"/>
    <cellStyle name="Normal 18 6 3 3" xfId="13087" xr:uid="{00000000-0005-0000-0000-00007A2E0000}"/>
    <cellStyle name="Normal 18 6 3 3 2" xfId="29623" xr:uid="{00000000-0005-0000-0000-00007B2E0000}"/>
    <cellStyle name="Normal 18 6 3 4" xfId="21580" xr:uid="{00000000-0005-0000-0000-00007C2E0000}"/>
    <cellStyle name="Normal 18 6 4" xfId="7612" xr:uid="{00000000-0005-0000-0000-00007D2E0000}"/>
    <cellStyle name="Normal 18 6 4 2" xfId="16973" xr:uid="{00000000-0005-0000-0000-00007E2E0000}"/>
    <cellStyle name="Normal 18 6 4 2 2" xfId="33547" xr:uid="{00000000-0005-0000-0000-00007F2E0000}"/>
    <cellStyle name="Normal 18 6 4 3" xfId="25500" xr:uid="{00000000-0005-0000-0000-0000802E0000}"/>
    <cellStyle name="Normal 18 6 5" xfId="13084" xr:uid="{00000000-0005-0000-0000-0000812E0000}"/>
    <cellStyle name="Normal 18 6 5 2" xfId="29620" xr:uid="{00000000-0005-0000-0000-0000822E0000}"/>
    <cellStyle name="Normal 18 6 6" xfId="21577" xr:uid="{00000000-0005-0000-0000-0000832E0000}"/>
    <cellStyle name="Normal 18 7" xfId="3454" xr:uid="{00000000-0005-0000-0000-0000842E0000}"/>
    <cellStyle name="Normal 18 7 2" xfId="3455" xr:uid="{00000000-0005-0000-0000-0000852E0000}"/>
    <cellStyle name="Normal 18 7 2 2" xfId="7613" xr:uid="{00000000-0005-0000-0000-0000862E0000}"/>
    <cellStyle name="Normal 18 7 2 2 2" xfId="16974" xr:uid="{00000000-0005-0000-0000-0000872E0000}"/>
    <cellStyle name="Normal 18 7 2 2 2 2" xfId="33548" xr:uid="{00000000-0005-0000-0000-0000882E0000}"/>
    <cellStyle name="Normal 18 7 2 2 3" xfId="25501" xr:uid="{00000000-0005-0000-0000-0000892E0000}"/>
    <cellStyle name="Normal 18 7 2 3" xfId="13089" xr:uid="{00000000-0005-0000-0000-00008A2E0000}"/>
    <cellStyle name="Normal 18 7 2 3 2" xfId="29625" xr:uid="{00000000-0005-0000-0000-00008B2E0000}"/>
    <cellStyle name="Normal 18 7 2 4" xfId="21582" xr:uid="{00000000-0005-0000-0000-00008C2E0000}"/>
    <cellStyle name="Normal 18 7 3" xfId="7614" xr:uid="{00000000-0005-0000-0000-00008D2E0000}"/>
    <cellStyle name="Normal 18 7 3 2" xfId="16975" xr:uid="{00000000-0005-0000-0000-00008E2E0000}"/>
    <cellStyle name="Normal 18 7 3 2 2" xfId="33549" xr:uid="{00000000-0005-0000-0000-00008F2E0000}"/>
    <cellStyle name="Normal 18 7 3 3" xfId="25502" xr:uid="{00000000-0005-0000-0000-0000902E0000}"/>
    <cellStyle name="Normal 18 7 4" xfId="13088" xr:uid="{00000000-0005-0000-0000-0000912E0000}"/>
    <cellStyle name="Normal 18 7 4 2" xfId="29624" xr:uid="{00000000-0005-0000-0000-0000922E0000}"/>
    <cellStyle name="Normal 18 7 5" xfId="21581" xr:uid="{00000000-0005-0000-0000-0000932E0000}"/>
    <cellStyle name="Normal 18 8" xfId="3456" xr:uid="{00000000-0005-0000-0000-0000942E0000}"/>
    <cellStyle name="Normal 18 8 2" xfId="7615" xr:uid="{00000000-0005-0000-0000-0000952E0000}"/>
    <cellStyle name="Normal 18 8 2 2" xfId="16976" xr:uid="{00000000-0005-0000-0000-0000962E0000}"/>
    <cellStyle name="Normal 18 8 2 2 2" xfId="33550" xr:uid="{00000000-0005-0000-0000-0000972E0000}"/>
    <cellStyle name="Normal 18 8 2 3" xfId="25503" xr:uid="{00000000-0005-0000-0000-0000982E0000}"/>
    <cellStyle name="Normal 18 8 3" xfId="13090" xr:uid="{00000000-0005-0000-0000-0000992E0000}"/>
    <cellStyle name="Normal 18 8 3 2" xfId="29626" xr:uid="{00000000-0005-0000-0000-00009A2E0000}"/>
    <cellStyle name="Normal 18 8 4" xfId="21583" xr:uid="{00000000-0005-0000-0000-00009B2E0000}"/>
    <cellStyle name="Normal 18 9" xfId="7616" xr:uid="{00000000-0005-0000-0000-00009C2E0000}"/>
    <cellStyle name="Normal 18 9 2" xfId="16977" xr:uid="{00000000-0005-0000-0000-00009D2E0000}"/>
    <cellStyle name="Normal 18 9 2 2" xfId="33551" xr:uid="{00000000-0005-0000-0000-00009E2E0000}"/>
    <cellStyle name="Normal 18 9 3" xfId="25504" xr:uid="{00000000-0005-0000-0000-00009F2E0000}"/>
    <cellStyle name="Normal 180" xfId="10544" xr:uid="{00000000-0005-0000-0000-0000A02E0000}"/>
    <cellStyle name="Normal 181" xfId="10547" xr:uid="{00000000-0005-0000-0000-0000A12E0000}"/>
    <cellStyle name="Normal 182" xfId="10550" xr:uid="{00000000-0005-0000-0000-0000A22E0000}"/>
    <cellStyle name="Normal 183" xfId="10553" xr:uid="{00000000-0005-0000-0000-0000A32E0000}"/>
    <cellStyle name="Normal 184" xfId="10556" xr:uid="{00000000-0005-0000-0000-0000A42E0000}"/>
    <cellStyle name="Normal 185" xfId="10559" xr:uid="{00000000-0005-0000-0000-0000A52E0000}"/>
    <cellStyle name="Normal 186" xfId="10562" xr:uid="{00000000-0005-0000-0000-0000A62E0000}"/>
    <cellStyle name="Normal 187" xfId="10565" xr:uid="{00000000-0005-0000-0000-0000A72E0000}"/>
    <cellStyle name="Normal 188" xfId="10568" xr:uid="{00000000-0005-0000-0000-0000A82E0000}"/>
    <cellStyle name="Normal 189" xfId="10571" xr:uid="{00000000-0005-0000-0000-0000A92E0000}"/>
    <cellStyle name="Normal 19" xfId="3457" xr:uid="{00000000-0005-0000-0000-0000AA2E0000}"/>
    <cellStyle name="Normal 19 10" xfId="13091" xr:uid="{00000000-0005-0000-0000-0000AB2E0000}"/>
    <cellStyle name="Normal 19 10 2" xfId="29627" xr:uid="{00000000-0005-0000-0000-0000AC2E0000}"/>
    <cellStyle name="Normal 19 11" xfId="21584" xr:uid="{00000000-0005-0000-0000-0000AD2E0000}"/>
    <cellStyle name="Normal 19 2" xfId="3458" xr:uid="{00000000-0005-0000-0000-0000AE2E0000}"/>
    <cellStyle name="Normal 19 2 2" xfId="3459" xr:uid="{00000000-0005-0000-0000-0000AF2E0000}"/>
    <cellStyle name="Normal 19 2 3" xfId="13092" xr:uid="{00000000-0005-0000-0000-0000B02E0000}"/>
    <cellStyle name="Normal 19 2 3 2" xfId="29628" xr:uid="{00000000-0005-0000-0000-0000B12E0000}"/>
    <cellStyle name="Normal 19 2 4" xfId="21585" xr:uid="{00000000-0005-0000-0000-0000B22E0000}"/>
    <cellStyle name="Normal 19 3" xfId="3460" xr:uid="{00000000-0005-0000-0000-0000B32E0000}"/>
    <cellStyle name="Normal 19 3 2" xfId="3461" xr:uid="{00000000-0005-0000-0000-0000B42E0000}"/>
    <cellStyle name="Normal 19 3 2 2" xfId="3462" xr:uid="{00000000-0005-0000-0000-0000B52E0000}"/>
    <cellStyle name="Normal 19 3 2 2 2" xfId="3463" xr:uid="{00000000-0005-0000-0000-0000B62E0000}"/>
    <cellStyle name="Normal 19 3 2 2 2 2" xfId="7617" xr:uid="{00000000-0005-0000-0000-0000B72E0000}"/>
    <cellStyle name="Normal 19 3 2 2 2 2 2" xfId="16978" xr:uid="{00000000-0005-0000-0000-0000B82E0000}"/>
    <cellStyle name="Normal 19 3 2 2 2 2 2 2" xfId="33552" xr:uid="{00000000-0005-0000-0000-0000B92E0000}"/>
    <cellStyle name="Normal 19 3 2 2 2 2 3" xfId="25505" xr:uid="{00000000-0005-0000-0000-0000BA2E0000}"/>
    <cellStyle name="Normal 19 3 2 2 2 3" xfId="13095" xr:uid="{00000000-0005-0000-0000-0000BB2E0000}"/>
    <cellStyle name="Normal 19 3 2 2 2 3 2" xfId="29631" xr:uid="{00000000-0005-0000-0000-0000BC2E0000}"/>
    <cellStyle name="Normal 19 3 2 2 2 4" xfId="21588" xr:uid="{00000000-0005-0000-0000-0000BD2E0000}"/>
    <cellStyle name="Normal 19 3 2 2 3" xfId="7618" xr:uid="{00000000-0005-0000-0000-0000BE2E0000}"/>
    <cellStyle name="Normal 19 3 2 2 3 2" xfId="16979" xr:uid="{00000000-0005-0000-0000-0000BF2E0000}"/>
    <cellStyle name="Normal 19 3 2 2 3 2 2" xfId="33553" xr:uid="{00000000-0005-0000-0000-0000C02E0000}"/>
    <cellStyle name="Normal 19 3 2 2 3 3" xfId="25506" xr:uid="{00000000-0005-0000-0000-0000C12E0000}"/>
    <cellStyle name="Normal 19 3 2 2 4" xfId="13094" xr:uid="{00000000-0005-0000-0000-0000C22E0000}"/>
    <cellStyle name="Normal 19 3 2 2 4 2" xfId="29630" xr:uid="{00000000-0005-0000-0000-0000C32E0000}"/>
    <cellStyle name="Normal 19 3 2 2 5" xfId="21587" xr:uid="{00000000-0005-0000-0000-0000C42E0000}"/>
    <cellStyle name="Normal 19 3 2 3" xfId="3464" xr:uid="{00000000-0005-0000-0000-0000C52E0000}"/>
    <cellStyle name="Normal 19 3 2 3 2" xfId="7619" xr:uid="{00000000-0005-0000-0000-0000C62E0000}"/>
    <cellStyle name="Normal 19 3 2 3 2 2" xfId="16980" xr:uid="{00000000-0005-0000-0000-0000C72E0000}"/>
    <cellStyle name="Normal 19 3 2 3 2 2 2" xfId="33554" xr:uid="{00000000-0005-0000-0000-0000C82E0000}"/>
    <cellStyle name="Normal 19 3 2 3 2 3" xfId="25507" xr:uid="{00000000-0005-0000-0000-0000C92E0000}"/>
    <cellStyle name="Normal 19 3 2 3 3" xfId="13096" xr:uid="{00000000-0005-0000-0000-0000CA2E0000}"/>
    <cellStyle name="Normal 19 3 2 3 3 2" xfId="29632" xr:uid="{00000000-0005-0000-0000-0000CB2E0000}"/>
    <cellStyle name="Normal 19 3 2 3 4" xfId="21589" xr:uid="{00000000-0005-0000-0000-0000CC2E0000}"/>
    <cellStyle name="Normal 19 3 2 4" xfId="7620" xr:uid="{00000000-0005-0000-0000-0000CD2E0000}"/>
    <cellStyle name="Normal 19 3 2 4 2" xfId="16981" xr:uid="{00000000-0005-0000-0000-0000CE2E0000}"/>
    <cellStyle name="Normal 19 3 2 4 2 2" xfId="33555" xr:uid="{00000000-0005-0000-0000-0000CF2E0000}"/>
    <cellStyle name="Normal 19 3 2 4 3" xfId="25508" xr:uid="{00000000-0005-0000-0000-0000D02E0000}"/>
    <cellStyle name="Normal 19 3 2 5" xfId="13093" xr:uid="{00000000-0005-0000-0000-0000D12E0000}"/>
    <cellStyle name="Normal 19 3 2 5 2" xfId="29629" xr:uid="{00000000-0005-0000-0000-0000D22E0000}"/>
    <cellStyle name="Normal 19 3 2 6" xfId="21586" xr:uid="{00000000-0005-0000-0000-0000D32E0000}"/>
    <cellStyle name="Normal 19 3 3" xfId="3465" xr:uid="{00000000-0005-0000-0000-0000D42E0000}"/>
    <cellStyle name="Normal 19 3 3 2" xfId="3466" xr:uid="{00000000-0005-0000-0000-0000D52E0000}"/>
    <cellStyle name="Normal 19 3 3 2 2" xfId="7621" xr:uid="{00000000-0005-0000-0000-0000D62E0000}"/>
    <cellStyle name="Normal 19 3 3 2 2 2" xfId="16982" xr:uid="{00000000-0005-0000-0000-0000D72E0000}"/>
    <cellStyle name="Normal 19 3 3 2 2 2 2" xfId="33556" xr:uid="{00000000-0005-0000-0000-0000D82E0000}"/>
    <cellStyle name="Normal 19 3 3 2 2 3" xfId="25509" xr:uid="{00000000-0005-0000-0000-0000D92E0000}"/>
    <cellStyle name="Normal 19 3 3 2 3" xfId="13098" xr:uid="{00000000-0005-0000-0000-0000DA2E0000}"/>
    <cellStyle name="Normal 19 3 3 2 3 2" xfId="29634" xr:uid="{00000000-0005-0000-0000-0000DB2E0000}"/>
    <cellStyle name="Normal 19 3 3 2 4" xfId="21591" xr:uid="{00000000-0005-0000-0000-0000DC2E0000}"/>
    <cellStyle name="Normal 19 3 3 3" xfId="7622" xr:uid="{00000000-0005-0000-0000-0000DD2E0000}"/>
    <cellStyle name="Normal 19 3 3 3 2" xfId="16983" xr:uid="{00000000-0005-0000-0000-0000DE2E0000}"/>
    <cellStyle name="Normal 19 3 3 3 2 2" xfId="33557" xr:uid="{00000000-0005-0000-0000-0000DF2E0000}"/>
    <cellStyle name="Normal 19 3 3 3 3" xfId="25510" xr:uid="{00000000-0005-0000-0000-0000E02E0000}"/>
    <cellStyle name="Normal 19 3 3 4" xfId="13097" xr:uid="{00000000-0005-0000-0000-0000E12E0000}"/>
    <cellStyle name="Normal 19 3 3 4 2" xfId="29633" xr:uid="{00000000-0005-0000-0000-0000E22E0000}"/>
    <cellStyle name="Normal 19 3 3 5" xfId="21590" xr:uid="{00000000-0005-0000-0000-0000E32E0000}"/>
    <cellStyle name="Normal 19 3 4" xfId="3467" xr:uid="{00000000-0005-0000-0000-0000E42E0000}"/>
    <cellStyle name="Normal 19 3 4 2" xfId="7623" xr:uid="{00000000-0005-0000-0000-0000E52E0000}"/>
    <cellStyle name="Normal 19 3 4 2 2" xfId="16984" xr:uid="{00000000-0005-0000-0000-0000E62E0000}"/>
    <cellStyle name="Normal 19 3 4 2 2 2" xfId="33558" xr:uid="{00000000-0005-0000-0000-0000E72E0000}"/>
    <cellStyle name="Normal 19 3 4 2 3" xfId="25511" xr:uid="{00000000-0005-0000-0000-0000E82E0000}"/>
    <cellStyle name="Normal 19 3 4 3" xfId="13099" xr:uid="{00000000-0005-0000-0000-0000E92E0000}"/>
    <cellStyle name="Normal 19 3 4 3 2" xfId="29635" xr:uid="{00000000-0005-0000-0000-0000EA2E0000}"/>
    <cellStyle name="Normal 19 3 4 4" xfId="21592" xr:uid="{00000000-0005-0000-0000-0000EB2E0000}"/>
    <cellStyle name="Normal 19 3 5" xfId="3468" xr:uid="{00000000-0005-0000-0000-0000EC2E0000}"/>
    <cellStyle name="Normal 19 3 5 2" xfId="13100" xr:uid="{00000000-0005-0000-0000-0000ED2E0000}"/>
    <cellStyle name="Normal 19 3 5 2 2" xfId="29636" xr:uid="{00000000-0005-0000-0000-0000EE2E0000}"/>
    <cellStyle name="Normal 19 3 5 3" xfId="21593" xr:uid="{00000000-0005-0000-0000-0000EF2E0000}"/>
    <cellStyle name="Normal 19 4" xfId="3469" xr:uid="{00000000-0005-0000-0000-0000F02E0000}"/>
    <cellStyle name="Normal 19 4 2" xfId="3470" xr:uid="{00000000-0005-0000-0000-0000F12E0000}"/>
    <cellStyle name="Normal 19 4 2 2" xfId="3471" xr:uid="{00000000-0005-0000-0000-0000F22E0000}"/>
    <cellStyle name="Normal 19 4 2 2 2" xfId="3472" xr:uid="{00000000-0005-0000-0000-0000F32E0000}"/>
    <cellStyle name="Normal 19 4 2 2 2 2" xfId="7624" xr:uid="{00000000-0005-0000-0000-0000F42E0000}"/>
    <cellStyle name="Normal 19 4 2 2 2 2 2" xfId="16985" xr:uid="{00000000-0005-0000-0000-0000F52E0000}"/>
    <cellStyle name="Normal 19 4 2 2 2 2 2 2" xfId="33559" xr:uid="{00000000-0005-0000-0000-0000F62E0000}"/>
    <cellStyle name="Normal 19 4 2 2 2 2 3" xfId="25512" xr:uid="{00000000-0005-0000-0000-0000F72E0000}"/>
    <cellStyle name="Normal 19 4 2 2 2 3" xfId="13104" xr:uid="{00000000-0005-0000-0000-0000F82E0000}"/>
    <cellStyle name="Normal 19 4 2 2 2 3 2" xfId="29640" xr:uid="{00000000-0005-0000-0000-0000F92E0000}"/>
    <cellStyle name="Normal 19 4 2 2 2 4" xfId="21597" xr:uid="{00000000-0005-0000-0000-0000FA2E0000}"/>
    <cellStyle name="Normal 19 4 2 2 3" xfId="7625" xr:uid="{00000000-0005-0000-0000-0000FB2E0000}"/>
    <cellStyle name="Normal 19 4 2 2 3 2" xfId="16986" xr:uid="{00000000-0005-0000-0000-0000FC2E0000}"/>
    <cellStyle name="Normal 19 4 2 2 3 2 2" xfId="33560" xr:uid="{00000000-0005-0000-0000-0000FD2E0000}"/>
    <cellStyle name="Normal 19 4 2 2 3 3" xfId="25513" xr:uid="{00000000-0005-0000-0000-0000FE2E0000}"/>
    <cellStyle name="Normal 19 4 2 2 4" xfId="13103" xr:uid="{00000000-0005-0000-0000-0000FF2E0000}"/>
    <cellStyle name="Normal 19 4 2 2 4 2" xfId="29639" xr:uid="{00000000-0005-0000-0000-0000002F0000}"/>
    <cellStyle name="Normal 19 4 2 2 5" xfId="21596" xr:uid="{00000000-0005-0000-0000-0000012F0000}"/>
    <cellStyle name="Normal 19 4 2 3" xfId="3473" xr:uid="{00000000-0005-0000-0000-0000022F0000}"/>
    <cellStyle name="Normal 19 4 2 3 2" xfId="7626" xr:uid="{00000000-0005-0000-0000-0000032F0000}"/>
    <cellStyle name="Normal 19 4 2 3 2 2" xfId="16987" xr:uid="{00000000-0005-0000-0000-0000042F0000}"/>
    <cellStyle name="Normal 19 4 2 3 2 2 2" xfId="33561" xr:uid="{00000000-0005-0000-0000-0000052F0000}"/>
    <cellStyle name="Normal 19 4 2 3 2 3" xfId="25514" xr:uid="{00000000-0005-0000-0000-0000062F0000}"/>
    <cellStyle name="Normal 19 4 2 3 3" xfId="13105" xr:uid="{00000000-0005-0000-0000-0000072F0000}"/>
    <cellStyle name="Normal 19 4 2 3 3 2" xfId="29641" xr:uid="{00000000-0005-0000-0000-0000082F0000}"/>
    <cellStyle name="Normal 19 4 2 3 4" xfId="21598" xr:uid="{00000000-0005-0000-0000-0000092F0000}"/>
    <cellStyle name="Normal 19 4 2 4" xfId="7627" xr:uid="{00000000-0005-0000-0000-00000A2F0000}"/>
    <cellStyle name="Normal 19 4 2 4 2" xfId="16988" xr:uid="{00000000-0005-0000-0000-00000B2F0000}"/>
    <cellStyle name="Normal 19 4 2 4 2 2" xfId="33562" xr:uid="{00000000-0005-0000-0000-00000C2F0000}"/>
    <cellStyle name="Normal 19 4 2 4 3" xfId="25515" xr:uid="{00000000-0005-0000-0000-00000D2F0000}"/>
    <cellStyle name="Normal 19 4 2 5" xfId="13102" xr:uid="{00000000-0005-0000-0000-00000E2F0000}"/>
    <cellStyle name="Normal 19 4 2 5 2" xfId="29638" xr:uid="{00000000-0005-0000-0000-00000F2F0000}"/>
    <cellStyle name="Normal 19 4 2 6" xfId="21595" xr:uid="{00000000-0005-0000-0000-0000102F0000}"/>
    <cellStyle name="Normal 19 4 3" xfId="3474" xr:uid="{00000000-0005-0000-0000-0000112F0000}"/>
    <cellStyle name="Normal 19 4 3 2" xfId="3475" xr:uid="{00000000-0005-0000-0000-0000122F0000}"/>
    <cellStyle name="Normal 19 4 3 2 2" xfId="7628" xr:uid="{00000000-0005-0000-0000-0000132F0000}"/>
    <cellStyle name="Normal 19 4 3 2 2 2" xfId="16989" xr:uid="{00000000-0005-0000-0000-0000142F0000}"/>
    <cellStyle name="Normal 19 4 3 2 2 2 2" xfId="33563" xr:uid="{00000000-0005-0000-0000-0000152F0000}"/>
    <cellStyle name="Normal 19 4 3 2 2 3" xfId="25516" xr:uid="{00000000-0005-0000-0000-0000162F0000}"/>
    <cellStyle name="Normal 19 4 3 2 3" xfId="13107" xr:uid="{00000000-0005-0000-0000-0000172F0000}"/>
    <cellStyle name="Normal 19 4 3 2 3 2" xfId="29643" xr:uid="{00000000-0005-0000-0000-0000182F0000}"/>
    <cellStyle name="Normal 19 4 3 2 4" xfId="21600" xr:uid="{00000000-0005-0000-0000-0000192F0000}"/>
    <cellStyle name="Normal 19 4 3 3" xfId="7629" xr:uid="{00000000-0005-0000-0000-00001A2F0000}"/>
    <cellStyle name="Normal 19 4 3 3 2" xfId="16990" xr:uid="{00000000-0005-0000-0000-00001B2F0000}"/>
    <cellStyle name="Normal 19 4 3 3 2 2" xfId="33564" xr:uid="{00000000-0005-0000-0000-00001C2F0000}"/>
    <cellStyle name="Normal 19 4 3 3 3" xfId="25517" xr:uid="{00000000-0005-0000-0000-00001D2F0000}"/>
    <cellStyle name="Normal 19 4 3 4" xfId="13106" xr:uid="{00000000-0005-0000-0000-00001E2F0000}"/>
    <cellStyle name="Normal 19 4 3 4 2" xfId="29642" xr:uid="{00000000-0005-0000-0000-00001F2F0000}"/>
    <cellStyle name="Normal 19 4 3 5" xfId="21599" xr:uid="{00000000-0005-0000-0000-0000202F0000}"/>
    <cellStyle name="Normal 19 4 4" xfId="3476" xr:uid="{00000000-0005-0000-0000-0000212F0000}"/>
    <cellStyle name="Normal 19 4 4 2" xfId="7630" xr:uid="{00000000-0005-0000-0000-0000222F0000}"/>
    <cellStyle name="Normal 19 4 4 2 2" xfId="16991" xr:uid="{00000000-0005-0000-0000-0000232F0000}"/>
    <cellStyle name="Normal 19 4 4 2 2 2" xfId="33565" xr:uid="{00000000-0005-0000-0000-0000242F0000}"/>
    <cellStyle name="Normal 19 4 4 2 3" xfId="25518" xr:uid="{00000000-0005-0000-0000-0000252F0000}"/>
    <cellStyle name="Normal 19 4 4 3" xfId="13108" xr:uid="{00000000-0005-0000-0000-0000262F0000}"/>
    <cellStyle name="Normal 19 4 4 3 2" xfId="29644" xr:uid="{00000000-0005-0000-0000-0000272F0000}"/>
    <cellStyle name="Normal 19 4 4 4" xfId="21601" xr:uid="{00000000-0005-0000-0000-0000282F0000}"/>
    <cellStyle name="Normal 19 4 5" xfId="7631" xr:uid="{00000000-0005-0000-0000-0000292F0000}"/>
    <cellStyle name="Normal 19 4 5 2" xfId="16992" xr:uid="{00000000-0005-0000-0000-00002A2F0000}"/>
    <cellStyle name="Normal 19 4 5 2 2" xfId="33566" xr:uid="{00000000-0005-0000-0000-00002B2F0000}"/>
    <cellStyle name="Normal 19 4 5 3" xfId="25519" xr:uid="{00000000-0005-0000-0000-00002C2F0000}"/>
    <cellStyle name="Normal 19 4 6" xfId="13101" xr:uid="{00000000-0005-0000-0000-00002D2F0000}"/>
    <cellStyle name="Normal 19 4 6 2" xfId="29637" xr:uid="{00000000-0005-0000-0000-00002E2F0000}"/>
    <cellStyle name="Normal 19 4 7" xfId="21594" xr:uid="{00000000-0005-0000-0000-00002F2F0000}"/>
    <cellStyle name="Normal 19 5" xfId="3477" xr:uid="{00000000-0005-0000-0000-0000302F0000}"/>
    <cellStyle name="Normal 19 5 2" xfId="3478" xr:uid="{00000000-0005-0000-0000-0000312F0000}"/>
    <cellStyle name="Normal 19 5 2 2" xfId="3479" xr:uid="{00000000-0005-0000-0000-0000322F0000}"/>
    <cellStyle name="Normal 19 5 2 2 2" xfId="3480" xr:uid="{00000000-0005-0000-0000-0000332F0000}"/>
    <cellStyle name="Normal 19 5 2 2 2 2" xfId="7632" xr:uid="{00000000-0005-0000-0000-0000342F0000}"/>
    <cellStyle name="Normal 19 5 2 2 2 2 2" xfId="16993" xr:uid="{00000000-0005-0000-0000-0000352F0000}"/>
    <cellStyle name="Normal 19 5 2 2 2 2 2 2" xfId="33567" xr:uid="{00000000-0005-0000-0000-0000362F0000}"/>
    <cellStyle name="Normal 19 5 2 2 2 2 3" xfId="25520" xr:uid="{00000000-0005-0000-0000-0000372F0000}"/>
    <cellStyle name="Normal 19 5 2 2 2 3" xfId="13112" xr:uid="{00000000-0005-0000-0000-0000382F0000}"/>
    <cellStyle name="Normal 19 5 2 2 2 3 2" xfId="29648" xr:uid="{00000000-0005-0000-0000-0000392F0000}"/>
    <cellStyle name="Normal 19 5 2 2 2 4" xfId="21605" xr:uid="{00000000-0005-0000-0000-00003A2F0000}"/>
    <cellStyle name="Normal 19 5 2 2 3" xfId="7633" xr:uid="{00000000-0005-0000-0000-00003B2F0000}"/>
    <cellStyle name="Normal 19 5 2 2 3 2" xfId="16994" xr:uid="{00000000-0005-0000-0000-00003C2F0000}"/>
    <cellStyle name="Normal 19 5 2 2 3 2 2" xfId="33568" xr:uid="{00000000-0005-0000-0000-00003D2F0000}"/>
    <cellStyle name="Normal 19 5 2 2 3 3" xfId="25521" xr:uid="{00000000-0005-0000-0000-00003E2F0000}"/>
    <cellStyle name="Normal 19 5 2 2 4" xfId="13111" xr:uid="{00000000-0005-0000-0000-00003F2F0000}"/>
    <cellStyle name="Normal 19 5 2 2 4 2" xfId="29647" xr:uid="{00000000-0005-0000-0000-0000402F0000}"/>
    <cellStyle name="Normal 19 5 2 2 5" xfId="21604" xr:uid="{00000000-0005-0000-0000-0000412F0000}"/>
    <cellStyle name="Normal 19 5 2 3" xfId="3481" xr:uid="{00000000-0005-0000-0000-0000422F0000}"/>
    <cellStyle name="Normal 19 5 2 3 2" xfId="7634" xr:uid="{00000000-0005-0000-0000-0000432F0000}"/>
    <cellStyle name="Normal 19 5 2 3 2 2" xfId="16995" xr:uid="{00000000-0005-0000-0000-0000442F0000}"/>
    <cellStyle name="Normal 19 5 2 3 2 2 2" xfId="33569" xr:uid="{00000000-0005-0000-0000-0000452F0000}"/>
    <cellStyle name="Normal 19 5 2 3 2 3" xfId="25522" xr:uid="{00000000-0005-0000-0000-0000462F0000}"/>
    <cellStyle name="Normal 19 5 2 3 3" xfId="13113" xr:uid="{00000000-0005-0000-0000-0000472F0000}"/>
    <cellStyle name="Normal 19 5 2 3 3 2" xfId="29649" xr:uid="{00000000-0005-0000-0000-0000482F0000}"/>
    <cellStyle name="Normal 19 5 2 3 4" xfId="21606" xr:uid="{00000000-0005-0000-0000-0000492F0000}"/>
    <cellStyle name="Normal 19 5 2 4" xfId="7635" xr:uid="{00000000-0005-0000-0000-00004A2F0000}"/>
    <cellStyle name="Normal 19 5 2 4 2" xfId="16996" xr:uid="{00000000-0005-0000-0000-00004B2F0000}"/>
    <cellStyle name="Normal 19 5 2 4 2 2" xfId="33570" xr:uid="{00000000-0005-0000-0000-00004C2F0000}"/>
    <cellStyle name="Normal 19 5 2 4 3" xfId="25523" xr:uid="{00000000-0005-0000-0000-00004D2F0000}"/>
    <cellStyle name="Normal 19 5 2 5" xfId="13110" xr:uid="{00000000-0005-0000-0000-00004E2F0000}"/>
    <cellStyle name="Normal 19 5 2 5 2" xfId="29646" xr:uid="{00000000-0005-0000-0000-00004F2F0000}"/>
    <cellStyle name="Normal 19 5 2 6" xfId="21603" xr:uid="{00000000-0005-0000-0000-0000502F0000}"/>
    <cellStyle name="Normal 19 5 3" xfId="3482" xr:uid="{00000000-0005-0000-0000-0000512F0000}"/>
    <cellStyle name="Normal 19 5 3 2" xfId="3483" xr:uid="{00000000-0005-0000-0000-0000522F0000}"/>
    <cellStyle name="Normal 19 5 3 2 2" xfId="7636" xr:uid="{00000000-0005-0000-0000-0000532F0000}"/>
    <cellStyle name="Normal 19 5 3 2 2 2" xfId="16997" xr:uid="{00000000-0005-0000-0000-0000542F0000}"/>
    <cellStyle name="Normal 19 5 3 2 2 2 2" xfId="33571" xr:uid="{00000000-0005-0000-0000-0000552F0000}"/>
    <cellStyle name="Normal 19 5 3 2 2 3" xfId="25524" xr:uid="{00000000-0005-0000-0000-0000562F0000}"/>
    <cellStyle name="Normal 19 5 3 2 3" xfId="13115" xr:uid="{00000000-0005-0000-0000-0000572F0000}"/>
    <cellStyle name="Normal 19 5 3 2 3 2" xfId="29651" xr:uid="{00000000-0005-0000-0000-0000582F0000}"/>
    <cellStyle name="Normal 19 5 3 2 4" xfId="21608" xr:uid="{00000000-0005-0000-0000-0000592F0000}"/>
    <cellStyle name="Normal 19 5 3 3" xfId="7637" xr:uid="{00000000-0005-0000-0000-00005A2F0000}"/>
    <cellStyle name="Normal 19 5 3 3 2" xfId="16998" xr:uid="{00000000-0005-0000-0000-00005B2F0000}"/>
    <cellStyle name="Normal 19 5 3 3 2 2" xfId="33572" xr:uid="{00000000-0005-0000-0000-00005C2F0000}"/>
    <cellStyle name="Normal 19 5 3 3 3" xfId="25525" xr:uid="{00000000-0005-0000-0000-00005D2F0000}"/>
    <cellStyle name="Normal 19 5 3 4" xfId="13114" xr:uid="{00000000-0005-0000-0000-00005E2F0000}"/>
    <cellStyle name="Normal 19 5 3 4 2" xfId="29650" xr:uid="{00000000-0005-0000-0000-00005F2F0000}"/>
    <cellStyle name="Normal 19 5 3 5" xfId="21607" xr:uid="{00000000-0005-0000-0000-0000602F0000}"/>
    <cellStyle name="Normal 19 5 4" xfId="3484" xr:uid="{00000000-0005-0000-0000-0000612F0000}"/>
    <cellStyle name="Normal 19 5 4 2" xfId="7638" xr:uid="{00000000-0005-0000-0000-0000622F0000}"/>
    <cellStyle name="Normal 19 5 4 2 2" xfId="16999" xr:uid="{00000000-0005-0000-0000-0000632F0000}"/>
    <cellStyle name="Normal 19 5 4 2 2 2" xfId="33573" xr:uid="{00000000-0005-0000-0000-0000642F0000}"/>
    <cellStyle name="Normal 19 5 4 2 3" xfId="25526" xr:uid="{00000000-0005-0000-0000-0000652F0000}"/>
    <cellStyle name="Normal 19 5 4 3" xfId="13116" xr:uid="{00000000-0005-0000-0000-0000662F0000}"/>
    <cellStyle name="Normal 19 5 4 3 2" xfId="29652" xr:uid="{00000000-0005-0000-0000-0000672F0000}"/>
    <cellStyle name="Normal 19 5 4 4" xfId="21609" xr:uid="{00000000-0005-0000-0000-0000682F0000}"/>
    <cellStyle name="Normal 19 5 5" xfId="7639" xr:uid="{00000000-0005-0000-0000-0000692F0000}"/>
    <cellStyle name="Normal 19 5 5 2" xfId="17000" xr:uid="{00000000-0005-0000-0000-00006A2F0000}"/>
    <cellStyle name="Normal 19 5 5 2 2" xfId="33574" xr:uid="{00000000-0005-0000-0000-00006B2F0000}"/>
    <cellStyle name="Normal 19 5 5 3" xfId="25527" xr:uid="{00000000-0005-0000-0000-00006C2F0000}"/>
    <cellStyle name="Normal 19 5 6" xfId="13109" xr:uid="{00000000-0005-0000-0000-00006D2F0000}"/>
    <cellStyle name="Normal 19 5 6 2" xfId="29645" xr:uid="{00000000-0005-0000-0000-00006E2F0000}"/>
    <cellStyle name="Normal 19 5 7" xfId="21602" xr:uid="{00000000-0005-0000-0000-00006F2F0000}"/>
    <cellStyle name="Normal 19 6" xfId="3485" xr:uid="{00000000-0005-0000-0000-0000702F0000}"/>
    <cellStyle name="Normal 19 6 2" xfId="3486" xr:uid="{00000000-0005-0000-0000-0000712F0000}"/>
    <cellStyle name="Normal 19 6 2 2" xfId="3487" xr:uid="{00000000-0005-0000-0000-0000722F0000}"/>
    <cellStyle name="Normal 19 6 2 2 2" xfId="7640" xr:uid="{00000000-0005-0000-0000-0000732F0000}"/>
    <cellStyle name="Normal 19 6 2 2 2 2" xfId="17001" xr:uid="{00000000-0005-0000-0000-0000742F0000}"/>
    <cellStyle name="Normal 19 6 2 2 2 2 2" xfId="33575" xr:uid="{00000000-0005-0000-0000-0000752F0000}"/>
    <cellStyle name="Normal 19 6 2 2 2 3" xfId="25528" xr:uid="{00000000-0005-0000-0000-0000762F0000}"/>
    <cellStyle name="Normal 19 6 2 2 3" xfId="13119" xr:uid="{00000000-0005-0000-0000-0000772F0000}"/>
    <cellStyle name="Normal 19 6 2 2 3 2" xfId="29655" xr:uid="{00000000-0005-0000-0000-0000782F0000}"/>
    <cellStyle name="Normal 19 6 2 2 4" xfId="21612" xr:uid="{00000000-0005-0000-0000-0000792F0000}"/>
    <cellStyle name="Normal 19 6 2 3" xfId="7641" xr:uid="{00000000-0005-0000-0000-00007A2F0000}"/>
    <cellStyle name="Normal 19 6 2 3 2" xfId="17002" xr:uid="{00000000-0005-0000-0000-00007B2F0000}"/>
    <cellStyle name="Normal 19 6 2 3 2 2" xfId="33576" xr:uid="{00000000-0005-0000-0000-00007C2F0000}"/>
    <cellStyle name="Normal 19 6 2 3 3" xfId="25529" xr:uid="{00000000-0005-0000-0000-00007D2F0000}"/>
    <cellStyle name="Normal 19 6 2 4" xfId="13118" xr:uid="{00000000-0005-0000-0000-00007E2F0000}"/>
    <cellStyle name="Normal 19 6 2 4 2" xfId="29654" xr:uid="{00000000-0005-0000-0000-00007F2F0000}"/>
    <cellStyle name="Normal 19 6 2 5" xfId="21611" xr:uid="{00000000-0005-0000-0000-0000802F0000}"/>
    <cellStyle name="Normal 19 6 3" xfId="3488" xr:uid="{00000000-0005-0000-0000-0000812F0000}"/>
    <cellStyle name="Normal 19 6 3 2" xfId="7642" xr:uid="{00000000-0005-0000-0000-0000822F0000}"/>
    <cellStyle name="Normal 19 6 3 2 2" xfId="17003" xr:uid="{00000000-0005-0000-0000-0000832F0000}"/>
    <cellStyle name="Normal 19 6 3 2 2 2" xfId="33577" xr:uid="{00000000-0005-0000-0000-0000842F0000}"/>
    <cellStyle name="Normal 19 6 3 2 3" xfId="25530" xr:uid="{00000000-0005-0000-0000-0000852F0000}"/>
    <cellStyle name="Normal 19 6 3 3" xfId="13120" xr:uid="{00000000-0005-0000-0000-0000862F0000}"/>
    <cellStyle name="Normal 19 6 3 3 2" xfId="29656" xr:uid="{00000000-0005-0000-0000-0000872F0000}"/>
    <cellStyle name="Normal 19 6 3 4" xfId="21613" xr:uid="{00000000-0005-0000-0000-0000882F0000}"/>
    <cellStyle name="Normal 19 6 4" xfId="7643" xr:uid="{00000000-0005-0000-0000-0000892F0000}"/>
    <cellStyle name="Normal 19 6 4 2" xfId="17004" xr:uid="{00000000-0005-0000-0000-00008A2F0000}"/>
    <cellStyle name="Normal 19 6 4 2 2" xfId="33578" xr:uid="{00000000-0005-0000-0000-00008B2F0000}"/>
    <cellStyle name="Normal 19 6 4 3" xfId="25531" xr:uid="{00000000-0005-0000-0000-00008C2F0000}"/>
    <cellStyle name="Normal 19 6 5" xfId="13117" xr:uid="{00000000-0005-0000-0000-00008D2F0000}"/>
    <cellStyle name="Normal 19 6 5 2" xfId="29653" xr:uid="{00000000-0005-0000-0000-00008E2F0000}"/>
    <cellStyle name="Normal 19 6 6" xfId="21610" xr:uid="{00000000-0005-0000-0000-00008F2F0000}"/>
    <cellStyle name="Normal 19 7" xfId="3489" xr:uid="{00000000-0005-0000-0000-0000902F0000}"/>
    <cellStyle name="Normal 19 7 2" xfId="3490" xr:uid="{00000000-0005-0000-0000-0000912F0000}"/>
    <cellStyle name="Normal 19 7 2 2" xfId="7644" xr:uid="{00000000-0005-0000-0000-0000922F0000}"/>
    <cellStyle name="Normal 19 7 2 2 2" xfId="17005" xr:uid="{00000000-0005-0000-0000-0000932F0000}"/>
    <cellStyle name="Normal 19 7 2 2 2 2" xfId="33579" xr:uid="{00000000-0005-0000-0000-0000942F0000}"/>
    <cellStyle name="Normal 19 7 2 2 3" xfId="25532" xr:uid="{00000000-0005-0000-0000-0000952F0000}"/>
    <cellStyle name="Normal 19 7 2 3" xfId="13122" xr:uid="{00000000-0005-0000-0000-0000962F0000}"/>
    <cellStyle name="Normal 19 7 2 3 2" xfId="29658" xr:uid="{00000000-0005-0000-0000-0000972F0000}"/>
    <cellStyle name="Normal 19 7 2 4" xfId="21615" xr:uid="{00000000-0005-0000-0000-0000982F0000}"/>
    <cellStyle name="Normal 19 7 3" xfId="7645" xr:uid="{00000000-0005-0000-0000-0000992F0000}"/>
    <cellStyle name="Normal 19 7 3 2" xfId="17006" xr:uid="{00000000-0005-0000-0000-00009A2F0000}"/>
    <cellStyle name="Normal 19 7 3 2 2" xfId="33580" xr:uid="{00000000-0005-0000-0000-00009B2F0000}"/>
    <cellStyle name="Normal 19 7 3 3" xfId="25533" xr:uid="{00000000-0005-0000-0000-00009C2F0000}"/>
    <cellStyle name="Normal 19 7 4" xfId="13121" xr:uid="{00000000-0005-0000-0000-00009D2F0000}"/>
    <cellStyle name="Normal 19 7 4 2" xfId="29657" xr:uid="{00000000-0005-0000-0000-00009E2F0000}"/>
    <cellStyle name="Normal 19 7 5" xfId="21614" xr:uid="{00000000-0005-0000-0000-00009F2F0000}"/>
    <cellStyle name="Normal 19 8" xfId="3491" xr:uid="{00000000-0005-0000-0000-0000A02F0000}"/>
    <cellStyle name="Normal 19 8 2" xfId="7646" xr:uid="{00000000-0005-0000-0000-0000A12F0000}"/>
    <cellStyle name="Normal 19 8 2 2" xfId="17007" xr:uid="{00000000-0005-0000-0000-0000A22F0000}"/>
    <cellStyle name="Normal 19 8 2 2 2" xfId="33581" xr:uid="{00000000-0005-0000-0000-0000A32F0000}"/>
    <cellStyle name="Normal 19 8 2 3" xfId="25534" xr:uid="{00000000-0005-0000-0000-0000A42F0000}"/>
    <cellStyle name="Normal 19 8 3" xfId="13123" xr:uid="{00000000-0005-0000-0000-0000A52F0000}"/>
    <cellStyle name="Normal 19 8 3 2" xfId="29659" xr:uid="{00000000-0005-0000-0000-0000A62F0000}"/>
    <cellStyle name="Normal 19 8 4" xfId="21616" xr:uid="{00000000-0005-0000-0000-0000A72F0000}"/>
    <cellStyle name="Normal 19 9" xfId="7647" xr:uid="{00000000-0005-0000-0000-0000A82F0000}"/>
    <cellStyle name="Normal 19 9 2" xfId="17008" xr:uid="{00000000-0005-0000-0000-0000A92F0000}"/>
    <cellStyle name="Normal 19 9 2 2" xfId="33582" xr:uid="{00000000-0005-0000-0000-0000AA2F0000}"/>
    <cellStyle name="Normal 19 9 3" xfId="25535" xr:uid="{00000000-0005-0000-0000-0000AB2F0000}"/>
    <cellStyle name="Normal 190" xfId="10574" xr:uid="{00000000-0005-0000-0000-0000AC2F0000}"/>
    <cellStyle name="Normal 191" xfId="10577" xr:uid="{00000000-0005-0000-0000-0000AD2F0000}"/>
    <cellStyle name="Normal 192" xfId="10580" xr:uid="{00000000-0005-0000-0000-0000AE2F0000}"/>
    <cellStyle name="Normal 193" xfId="10583" xr:uid="{00000000-0005-0000-0000-0000AF2F0000}"/>
    <cellStyle name="Normal 194" xfId="10586" xr:uid="{00000000-0005-0000-0000-0000B02F0000}"/>
    <cellStyle name="Normal 195" xfId="10589" xr:uid="{00000000-0005-0000-0000-0000B12F0000}"/>
    <cellStyle name="Normal 196" xfId="10592" xr:uid="{00000000-0005-0000-0000-0000B22F0000}"/>
    <cellStyle name="Normal 197" xfId="10595" xr:uid="{00000000-0005-0000-0000-0000B32F0000}"/>
    <cellStyle name="Normal 198" xfId="10598" xr:uid="{00000000-0005-0000-0000-0000B42F0000}"/>
    <cellStyle name="Normal 199" xfId="10601" xr:uid="{00000000-0005-0000-0000-0000B52F0000}"/>
    <cellStyle name="Normal 2" xfId="12" xr:uid="{00000000-0005-0000-0000-0000B62F0000}"/>
    <cellStyle name="Normal 2 10" xfId="1673" xr:uid="{00000000-0005-0000-0000-0000B72F0000}"/>
    <cellStyle name="Normal 2 10 2" xfId="3493" xr:uid="{00000000-0005-0000-0000-0000B82F0000}"/>
    <cellStyle name="Normal 2 10 2 2" xfId="36889" xr:uid="{00000000-0005-0000-0000-0000B92F0000}"/>
    <cellStyle name="Normal 2 11" xfId="3494" xr:uid="{00000000-0005-0000-0000-0000BA2F0000}"/>
    <cellStyle name="Normal 2 11 2" xfId="36890" xr:uid="{00000000-0005-0000-0000-0000BB2F0000}"/>
    <cellStyle name="Normal 2 12" xfId="3492" xr:uid="{00000000-0005-0000-0000-0000BC2F0000}"/>
    <cellStyle name="Normal 2 12 2" xfId="36891" xr:uid="{00000000-0005-0000-0000-0000BD2F0000}"/>
    <cellStyle name="Normal 2 13" xfId="2252" xr:uid="{00000000-0005-0000-0000-0000BE2F0000}"/>
    <cellStyle name="Normal 2 14" xfId="1932" xr:uid="{00000000-0005-0000-0000-0000BF2F0000}"/>
    <cellStyle name="Normal 2 14 2" xfId="28328" xr:uid="{00000000-0005-0000-0000-0000C02F0000}"/>
    <cellStyle name="Normal 2 15" xfId="19834" xr:uid="{00000000-0005-0000-0000-0000C12F0000}"/>
    <cellStyle name="Normal 2 16" xfId="11120" xr:uid="{00000000-0005-0000-0000-0000C22F0000}"/>
    <cellStyle name="Normal 2 2" xfId="205" xr:uid="{00000000-0005-0000-0000-0000C32F0000}"/>
    <cellStyle name="Normal 2 2 10" xfId="3496" xr:uid="{00000000-0005-0000-0000-0000C42F0000}"/>
    <cellStyle name="Normal 2 2 10 2" xfId="7648" xr:uid="{00000000-0005-0000-0000-0000C52F0000}"/>
    <cellStyle name="Normal 2 2 10 2 2" xfId="17009" xr:uid="{00000000-0005-0000-0000-0000C62F0000}"/>
    <cellStyle name="Normal 2 2 10 2 2 2" xfId="33583" xr:uid="{00000000-0005-0000-0000-0000C72F0000}"/>
    <cellStyle name="Normal 2 2 10 2 3" xfId="25536" xr:uid="{00000000-0005-0000-0000-0000C82F0000}"/>
    <cellStyle name="Normal 2 2 10 3" xfId="13125" xr:uid="{00000000-0005-0000-0000-0000C92F0000}"/>
    <cellStyle name="Normal 2 2 10 3 2" xfId="29661" xr:uid="{00000000-0005-0000-0000-0000CA2F0000}"/>
    <cellStyle name="Normal 2 2 10 4" xfId="21618" xr:uid="{00000000-0005-0000-0000-0000CB2F0000}"/>
    <cellStyle name="Normal 2 2 11" xfId="7649" xr:uid="{00000000-0005-0000-0000-0000CC2F0000}"/>
    <cellStyle name="Normal 2 2 12" xfId="3495" xr:uid="{00000000-0005-0000-0000-0000CD2F0000}"/>
    <cellStyle name="Normal 2 2 12 2" xfId="13124" xr:uid="{00000000-0005-0000-0000-0000CE2F0000}"/>
    <cellStyle name="Normal 2 2 12 2 2" xfId="29660" xr:uid="{00000000-0005-0000-0000-0000CF2F0000}"/>
    <cellStyle name="Normal 2 2 12 3" xfId="21617" xr:uid="{00000000-0005-0000-0000-0000D02F0000}"/>
    <cellStyle name="Normal 2 2 13" xfId="10898" xr:uid="{00000000-0005-0000-0000-0000D12F0000}"/>
    <cellStyle name="Normal 2 2 13 2" xfId="28329" xr:uid="{00000000-0005-0000-0000-0000D22F0000}"/>
    <cellStyle name="Normal 2 2 13 3" xfId="11348" xr:uid="{00000000-0005-0000-0000-0000D32F0000}"/>
    <cellStyle name="Normal 2 2 14" xfId="1983" xr:uid="{00000000-0005-0000-0000-0000D42F0000}"/>
    <cellStyle name="Normal 2 2 2" xfId="206" xr:uid="{00000000-0005-0000-0000-0000D52F0000}"/>
    <cellStyle name="Normal 2 2 2 10" xfId="3497" xr:uid="{00000000-0005-0000-0000-0000D62F0000}"/>
    <cellStyle name="Normal 2 2 2 10 2" xfId="29662" xr:uid="{00000000-0005-0000-0000-0000D72F0000}"/>
    <cellStyle name="Normal 2 2 2 11" xfId="21619" xr:uid="{00000000-0005-0000-0000-0000D82F0000}"/>
    <cellStyle name="Normal 2 2 2 2" xfId="207" xr:uid="{00000000-0005-0000-0000-0000D92F0000}"/>
    <cellStyle name="Normal 2 2 2 2 2" xfId="3499" xr:uid="{00000000-0005-0000-0000-0000DA2F0000}"/>
    <cellStyle name="Normal 2 2 2 2 2 2" xfId="3500" xr:uid="{00000000-0005-0000-0000-0000DB2F0000}"/>
    <cellStyle name="Normal 2 2 2 2 2 2 2" xfId="13127" xr:uid="{00000000-0005-0000-0000-0000DC2F0000}"/>
    <cellStyle name="Normal 2 2 2 2 2 2 2 2" xfId="29665" xr:uid="{00000000-0005-0000-0000-0000DD2F0000}"/>
    <cellStyle name="Normal 2 2 2 2 2 2 3" xfId="21622" xr:uid="{00000000-0005-0000-0000-0000DE2F0000}"/>
    <cellStyle name="Normal 2 2 2 2 2 3" xfId="13126" xr:uid="{00000000-0005-0000-0000-0000DF2F0000}"/>
    <cellStyle name="Normal 2 2 2 2 2 3 2" xfId="29664" xr:uid="{00000000-0005-0000-0000-0000E02F0000}"/>
    <cellStyle name="Normal 2 2 2 2 2 4" xfId="21621" xr:uid="{00000000-0005-0000-0000-0000E12F0000}"/>
    <cellStyle name="Normal 2 2 2 2 3" xfId="3501" xr:uid="{00000000-0005-0000-0000-0000E22F0000}"/>
    <cellStyle name="Normal 2 2 2 2 3 2" xfId="3502" xr:uid="{00000000-0005-0000-0000-0000E32F0000}"/>
    <cellStyle name="Normal 2 2 2 2 3 2 2" xfId="13129" xr:uid="{00000000-0005-0000-0000-0000E42F0000}"/>
    <cellStyle name="Normal 2 2 2 2 3 2 2 2" xfId="29667" xr:uid="{00000000-0005-0000-0000-0000E52F0000}"/>
    <cellStyle name="Normal 2 2 2 2 3 2 3" xfId="21624" xr:uid="{00000000-0005-0000-0000-0000E62F0000}"/>
    <cellStyle name="Normal 2 2 2 2 3 3" xfId="13128" xr:uid="{00000000-0005-0000-0000-0000E72F0000}"/>
    <cellStyle name="Normal 2 2 2 2 3 3 2" xfId="29666" xr:uid="{00000000-0005-0000-0000-0000E82F0000}"/>
    <cellStyle name="Normal 2 2 2 2 3 4" xfId="21623" xr:uid="{00000000-0005-0000-0000-0000E92F0000}"/>
    <cellStyle name="Normal 2 2 2 2 4" xfId="3503" xr:uid="{00000000-0005-0000-0000-0000EA2F0000}"/>
    <cellStyle name="Normal 2 2 2 2 5" xfId="3498" xr:uid="{00000000-0005-0000-0000-0000EB2F0000}"/>
    <cellStyle name="Normal 2 2 2 2 5 2" xfId="29663" xr:uid="{00000000-0005-0000-0000-0000EC2F0000}"/>
    <cellStyle name="Normal 2 2 2 2 6" xfId="21620" xr:uid="{00000000-0005-0000-0000-0000ED2F0000}"/>
    <cellStyle name="Normal 2 2 2 3" xfId="3504" xr:uid="{00000000-0005-0000-0000-0000EE2F0000}"/>
    <cellStyle name="Normal 2 2 2 3 2" xfId="3505" xr:uid="{00000000-0005-0000-0000-0000EF2F0000}"/>
    <cellStyle name="Normal 2 2 2 3 2 2" xfId="3506" xr:uid="{00000000-0005-0000-0000-0000F02F0000}"/>
    <cellStyle name="Normal 2 2 2 3 2 2 2" xfId="3507" xr:uid="{00000000-0005-0000-0000-0000F12F0000}"/>
    <cellStyle name="Normal 2 2 2 3 2 2 2 2" xfId="7650" xr:uid="{00000000-0005-0000-0000-0000F22F0000}"/>
    <cellStyle name="Normal 2 2 2 3 2 2 2 2 2" xfId="17010" xr:uid="{00000000-0005-0000-0000-0000F32F0000}"/>
    <cellStyle name="Normal 2 2 2 3 2 2 2 2 2 2" xfId="33584" xr:uid="{00000000-0005-0000-0000-0000F42F0000}"/>
    <cellStyle name="Normal 2 2 2 3 2 2 2 2 3" xfId="25537" xr:uid="{00000000-0005-0000-0000-0000F52F0000}"/>
    <cellStyle name="Normal 2 2 2 3 2 2 2 3" xfId="13132" xr:uid="{00000000-0005-0000-0000-0000F62F0000}"/>
    <cellStyle name="Normal 2 2 2 3 2 2 2 3 2" xfId="29670" xr:uid="{00000000-0005-0000-0000-0000F72F0000}"/>
    <cellStyle name="Normal 2 2 2 3 2 2 2 4" xfId="21627" xr:uid="{00000000-0005-0000-0000-0000F82F0000}"/>
    <cellStyle name="Normal 2 2 2 3 2 2 3" xfId="7651" xr:uid="{00000000-0005-0000-0000-0000F92F0000}"/>
    <cellStyle name="Normal 2 2 2 3 2 2 3 2" xfId="17011" xr:uid="{00000000-0005-0000-0000-0000FA2F0000}"/>
    <cellStyle name="Normal 2 2 2 3 2 2 3 2 2" xfId="33585" xr:uid="{00000000-0005-0000-0000-0000FB2F0000}"/>
    <cellStyle name="Normal 2 2 2 3 2 2 3 3" xfId="25538" xr:uid="{00000000-0005-0000-0000-0000FC2F0000}"/>
    <cellStyle name="Normal 2 2 2 3 2 2 4" xfId="13131" xr:uid="{00000000-0005-0000-0000-0000FD2F0000}"/>
    <cellStyle name="Normal 2 2 2 3 2 2 4 2" xfId="29669" xr:uid="{00000000-0005-0000-0000-0000FE2F0000}"/>
    <cellStyle name="Normal 2 2 2 3 2 2 5" xfId="21626" xr:uid="{00000000-0005-0000-0000-0000FF2F0000}"/>
    <cellStyle name="Normal 2 2 2 3 2 3" xfId="3508" xr:uid="{00000000-0005-0000-0000-000000300000}"/>
    <cellStyle name="Normal 2 2 2 3 2 3 2" xfId="7652" xr:uid="{00000000-0005-0000-0000-000001300000}"/>
    <cellStyle name="Normal 2 2 2 3 2 3 2 2" xfId="17012" xr:uid="{00000000-0005-0000-0000-000002300000}"/>
    <cellStyle name="Normal 2 2 2 3 2 3 2 2 2" xfId="33586" xr:uid="{00000000-0005-0000-0000-000003300000}"/>
    <cellStyle name="Normal 2 2 2 3 2 3 2 3" xfId="25539" xr:uid="{00000000-0005-0000-0000-000004300000}"/>
    <cellStyle name="Normal 2 2 2 3 2 3 3" xfId="13133" xr:uid="{00000000-0005-0000-0000-000005300000}"/>
    <cellStyle name="Normal 2 2 2 3 2 3 3 2" xfId="29671" xr:uid="{00000000-0005-0000-0000-000006300000}"/>
    <cellStyle name="Normal 2 2 2 3 2 3 4" xfId="21628" xr:uid="{00000000-0005-0000-0000-000007300000}"/>
    <cellStyle name="Normal 2 2 2 3 2 4" xfId="7653" xr:uid="{00000000-0005-0000-0000-000008300000}"/>
    <cellStyle name="Normal 2 2 2 3 2 4 2" xfId="17013" xr:uid="{00000000-0005-0000-0000-000009300000}"/>
    <cellStyle name="Normal 2 2 2 3 2 4 2 2" xfId="33587" xr:uid="{00000000-0005-0000-0000-00000A300000}"/>
    <cellStyle name="Normal 2 2 2 3 2 4 3" xfId="25540" xr:uid="{00000000-0005-0000-0000-00000B300000}"/>
    <cellStyle name="Normal 2 2 2 3 2 5" xfId="13130" xr:uid="{00000000-0005-0000-0000-00000C300000}"/>
    <cellStyle name="Normal 2 2 2 3 2 5 2" xfId="29668" xr:uid="{00000000-0005-0000-0000-00000D300000}"/>
    <cellStyle name="Normal 2 2 2 3 2 6" xfId="21625" xr:uid="{00000000-0005-0000-0000-00000E300000}"/>
    <cellStyle name="Normal 2 2 2 3 3" xfId="3509" xr:uid="{00000000-0005-0000-0000-00000F300000}"/>
    <cellStyle name="Normal 2 2 2 3 3 2" xfId="3510" xr:uid="{00000000-0005-0000-0000-000010300000}"/>
    <cellStyle name="Normal 2 2 2 3 3 2 2" xfId="7654" xr:uid="{00000000-0005-0000-0000-000011300000}"/>
    <cellStyle name="Normal 2 2 2 3 3 2 2 2" xfId="17014" xr:uid="{00000000-0005-0000-0000-000012300000}"/>
    <cellStyle name="Normal 2 2 2 3 3 2 2 2 2" xfId="33588" xr:uid="{00000000-0005-0000-0000-000013300000}"/>
    <cellStyle name="Normal 2 2 2 3 3 2 2 3" xfId="25541" xr:uid="{00000000-0005-0000-0000-000014300000}"/>
    <cellStyle name="Normal 2 2 2 3 3 2 3" xfId="13135" xr:uid="{00000000-0005-0000-0000-000015300000}"/>
    <cellStyle name="Normal 2 2 2 3 3 2 3 2" xfId="29673" xr:uid="{00000000-0005-0000-0000-000016300000}"/>
    <cellStyle name="Normal 2 2 2 3 3 2 4" xfId="21630" xr:uid="{00000000-0005-0000-0000-000017300000}"/>
    <cellStyle name="Normal 2 2 2 3 3 3" xfId="7655" xr:uid="{00000000-0005-0000-0000-000018300000}"/>
    <cellStyle name="Normal 2 2 2 3 3 3 2" xfId="17015" xr:uid="{00000000-0005-0000-0000-000019300000}"/>
    <cellStyle name="Normal 2 2 2 3 3 3 2 2" xfId="33589" xr:uid="{00000000-0005-0000-0000-00001A300000}"/>
    <cellStyle name="Normal 2 2 2 3 3 3 3" xfId="25542" xr:uid="{00000000-0005-0000-0000-00001B300000}"/>
    <cellStyle name="Normal 2 2 2 3 3 4" xfId="13134" xr:uid="{00000000-0005-0000-0000-00001C300000}"/>
    <cellStyle name="Normal 2 2 2 3 3 4 2" xfId="29672" xr:uid="{00000000-0005-0000-0000-00001D300000}"/>
    <cellStyle name="Normal 2 2 2 3 3 5" xfId="21629" xr:uid="{00000000-0005-0000-0000-00001E300000}"/>
    <cellStyle name="Normal 2 2 2 3 4" xfId="3511" xr:uid="{00000000-0005-0000-0000-00001F300000}"/>
    <cellStyle name="Normal 2 2 2 3 4 2" xfId="7656" xr:uid="{00000000-0005-0000-0000-000020300000}"/>
    <cellStyle name="Normal 2 2 2 3 4 2 2" xfId="17016" xr:uid="{00000000-0005-0000-0000-000021300000}"/>
    <cellStyle name="Normal 2 2 2 3 4 2 2 2" xfId="33590" xr:uid="{00000000-0005-0000-0000-000022300000}"/>
    <cellStyle name="Normal 2 2 2 3 4 2 3" xfId="25543" xr:uid="{00000000-0005-0000-0000-000023300000}"/>
    <cellStyle name="Normal 2 2 2 3 4 3" xfId="13136" xr:uid="{00000000-0005-0000-0000-000024300000}"/>
    <cellStyle name="Normal 2 2 2 3 4 3 2" xfId="29674" xr:uid="{00000000-0005-0000-0000-000025300000}"/>
    <cellStyle name="Normal 2 2 2 3 4 4" xfId="21631" xr:uid="{00000000-0005-0000-0000-000026300000}"/>
    <cellStyle name="Normal 2 2 2 3 5" xfId="3512" xr:uid="{00000000-0005-0000-0000-000027300000}"/>
    <cellStyle name="Normal 2 2 2 3 5 2" xfId="13137" xr:uid="{00000000-0005-0000-0000-000028300000}"/>
    <cellStyle name="Normal 2 2 2 3 5 2 2" xfId="29675" xr:uid="{00000000-0005-0000-0000-000029300000}"/>
    <cellStyle name="Normal 2 2 2 3 5 3" xfId="21632" xr:uid="{00000000-0005-0000-0000-00002A300000}"/>
    <cellStyle name="Normal 2 2 2 4" xfId="3513" xr:uid="{00000000-0005-0000-0000-00002B300000}"/>
    <cellStyle name="Normal 2 2 2 4 2" xfId="3514" xr:uid="{00000000-0005-0000-0000-00002C300000}"/>
    <cellStyle name="Normal 2 2 2 4 2 2" xfId="3515" xr:uid="{00000000-0005-0000-0000-00002D300000}"/>
    <cellStyle name="Normal 2 2 2 4 2 2 2" xfId="3516" xr:uid="{00000000-0005-0000-0000-00002E300000}"/>
    <cellStyle name="Normal 2 2 2 4 2 2 2 2" xfId="7657" xr:uid="{00000000-0005-0000-0000-00002F300000}"/>
    <cellStyle name="Normal 2 2 2 4 2 2 2 2 2" xfId="17017" xr:uid="{00000000-0005-0000-0000-000030300000}"/>
    <cellStyle name="Normal 2 2 2 4 2 2 2 2 2 2" xfId="33591" xr:uid="{00000000-0005-0000-0000-000031300000}"/>
    <cellStyle name="Normal 2 2 2 4 2 2 2 2 3" xfId="25544" xr:uid="{00000000-0005-0000-0000-000032300000}"/>
    <cellStyle name="Normal 2 2 2 4 2 2 2 3" xfId="13141" xr:uid="{00000000-0005-0000-0000-000033300000}"/>
    <cellStyle name="Normal 2 2 2 4 2 2 2 3 2" xfId="29679" xr:uid="{00000000-0005-0000-0000-000034300000}"/>
    <cellStyle name="Normal 2 2 2 4 2 2 2 4" xfId="21636" xr:uid="{00000000-0005-0000-0000-000035300000}"/>
    <cellStyle name="Normal 2 2 2 4 2 2 3" xfId="7658" xr:uid="{00000000-0005-0000-0000-000036300000}"/>
    <cellStyle name="Normal 2 2 2 4 2 2 3 2" xfId="17018" xr:uid="{00000000-0005-0000-0000-000037300000}"/>
    <cellStyle name="Normal 2 2 2 4 2 2 3 2 2" xfId="33592" xr:uid="{00000000-0005-0000-0000-000038300000}"/>
    <cellStyle name="Normal 2 2 2 4 2 2 3 3" xfId="25545" xr:uid="{00000000-0005-0000-0000-000039300000}"/>
    <cellStyle name="Normal 2 2 2 4 2 2 4" xfId="13140" xr:uid="{00000000-0005-0000-0000-00003A300000}"/>
    <cellStyle name="Normal 2 2 2 4 2 2 4 2" xfId="29678" xr:uid="{00000000-0005-0000-0000-00003B300000}"/>
    <cellStyle name="Normal 2 2 2 4 2 2 5" xfId="21635" xr:uid="{00000000-0005-0000-0000-00003C300000}"/>
    <cellStyle name="Normal 2 2 2 4 2 3" xfId="3517" xr:uid="{00000000-0005-0000-0000-00003D300000}"/>
    <cellStyle name="Normal 2 2 2 4 2 3 2" xfId="7659" xr:uid="{00000000-0005-0000-0000-00003E300000}"/>
    <cellStyle name="Normal 2 2 2 4 2 3 2 2" xfId="17019" xr:uid="{00000000-0005-0000-0000-00003F300000}"/>
    <cellStyle name="Normal 2 2 2 4 2 3 2 2 2" xfId="33593" xr:uid="{00000000-0005-0000-0000-000040300000}"/>
    <cellStyle name="Normal 2 2 2 4 2 3 2 3" xfId="25546" xr:uid="{00000000-0005-0000-0000-000041300000}"/>
    <cellStyle name="Normal 2 2 2 4 2 3 3" xfId="13142" xr:uid="{00000000-0005-0000-0000-000042300000}"/>
    <cellStyle name="Normal 2 2 2 4 2 3 3 2" xfId="29680" xr:uid="{00000000-0005-0000-0000-000043300000}"/>
    <cellStyle name="Normal 2 2 2 4 2 3 4" xfId="21637" xr:uid="{00000000-0005-0000-0000-000044300000}"/>
    <cellStyle name="Normal 2 2 2 4 2 4" xfId="7660" xr:uid="{00000000-0005-0000-0000-000045300000}"/>
    <cellStyle name="Normal 2 2 2 4 2 4 2" xfId="17020" xr:uid="{00000000-0005-0000-0000-000046300000}"/>
    <cellStyle name="Normal 2 2 2 4 2 4 2 2" xfId="33594" xr:uid="{00000000-0005-0000-0000-000047300000}"/>
    <cellStyle name="Normal 2 2 2 4 2 4 3" xfId="25547" xr:uid="{00000000-0005-0000-0000-000048300000}"/>
    <cellStyle name="Normal 2 2 2 4 2 5" xfId="13139" xr:uid="{00000000-0005-0000-0000-000049300000}"/>
    <cellStyle name="Normal 2 2 2 4 2 5 2" xfId="29677" xr:uid="{00000000-0005-0000-0000-00004A300000}"/>
    <cellStyle name="Normal 2 2 2 4 2 6" xfId="21634" xr:uid="{00000000-0005-0000-0000-00004B300000}"/>
    <cellStyle name="Normal 2 2 2 4 3" xfId="3518" xr:uid="{00000000-0005-0000-0000-00004C300000}"/>
    <cellStyle name="Normal 2 2 2 4 3 2" xfId="3519" xr:uid="{00000000-0005-0000-0000-00004D300000}"/>
    <cellStyle name="Normal 2 2 2 4 3 2 2" xfId="7661" xr:uid="{00000000-0005-0000-0000-00004E300000}"/>
    <cellStyle name="Normal 2 2 2 4 3 2 2 2" xfId="17021" xr:uid="{00000000-0005-0000-0000-00004F300000}"/>
    <cellStyle name="Normal 2 2 2 4 3 2 2 2 2" xfId="33595" xr:uid="{00000000-0005-0000-0000-000050300000}"/>
    <cellStyle name="Normal 2 2 2 4 3 2 2 3" xfId="25548" xr:uid="{00000000-0005-0000-0000-000051300000}"/>
    <cellStyle name="Normal 2 2 2 4 3 2 3" xfId="13144" xr:uid="{00000000-0005-0000-0000-000052300000}"/>
    <cellStyle name="Normal 2 2 2 4 3 2 3 2" xfId="29682" xr:uid="{00000000-0005-0000-0000-000053300000}"/>
    <cellStyle name="Normal 2 2 2 4 3 2 4" xfId="21639" xr:uid="{00000000-0005-0000-0000-000054300000}"/>
    <cellStyle name="Normal 2 2 2 4 3 3" xfId="7662" xr:uid="{00000000-0005-0000-0000-000055300000}"/>
    <cellStyle name="Normal 2 2 2 4 3 3 2" xfId="17022" xr:uid="{00000000-0005-0000-0000-000056300000}"/>
    <cellStyle name="Normal 2 2 2 4 3 3 2 2" xfId="33596" xr:uid="{00000000-0005-0000-0000-000057300000}"/>
    <cellStyle name="Normal 2 2 2 4 3 3 3" xfId="25549" xr:uid="{00000000-0005-0000-0000-000058300000}"/>
    <cellStyle name="Normal 2 2 2 4 3 4" xfId="13143" xr:uid="{00000000-0005-0000-0000-000059300000}"/>
    <cellStyle name="Normal 2 2 2 4 3 4 2" xfId="29681" xr:uid="{00000000-0005-0000-0000-00005A300000}"/>
    <cellStyle name="Normal 2 2 2 4 3 5" xfId="21638" xr:uid="{00000000-0005-0000-0000-00005B300000}"/>
    <cellStyle name="Normal 2 2 2 4 4" xfId="3520" xr:uid="{00000000-0005-0000-0000-00005C300000}"/>
    <cellStyle name="Normal 2 2 2 4 4 2" xfId="7663" xr:uid="{00000000-0005-0000-0000-00005D300000}"/>
    <cellStyle name="Normal 2 2 2 4 4 2 2" xfId="17023" xr:uid="{00000000-0005-0000-0000-00005E300000}"/>
    <cellStyle name="Normal 2 2 2 4 4 2 2 2" xfId="33597" xr:uid="{00000000-0005-0000-0000-00005F300000}"/>
    <cellStyle name="Normal 2 2 2 4 4 2 3" xfId="25550" xr:uid="{00000000-0005-0000-0000-000060300000}"/>
    <cellStyle name="Normal 2 2 2 4 4 3" xfId="13145" xr:uid="{00000000-0005-0000-0000-000061300000}"/>
    <cellStyle name="Normal 2 2 2 4 4 3 2" xfId="29683" xr:uid="{00000000-0005-0000-0000-000062300000}"/>
    <cellStyle name="Normal 2 2 2 4 4 4" xfId="21640" xr:uid="{00000000-0005-0000-0000-000063300000}"/>
    <cellStyle name="Normal 2 2 2 4 5" xfId="7664" xr:uid="{00000000-0005-0000-0000-000064300000}"/>
    <cellStyle name="Normal 2 2 2 4 5 2" xfId="17024" xr:uid="{00000000-0005-0000-0000-000065300000}"/>
    <cellStyle name="Normal 2 2 2 4 5 2 2" xfId="33598" xr:uid="{00000000-0005-0000-0000-000066300000}"/>
    <cellStyle name="Normal 2 2 2 4 5 3" xfId="25551" xr:uid="{00000000-0005-0000-0000-000067300000}"/>
    <cellStyle name="Normal 2 2 2 4 6" xfId="13138" xr:uid="{00000000-0005-0000-0000-000068300000}"/>
    <cellStyle name="Normal 2 2 2 4 6 2" xfId="29676" xr:uid="{00000000-0005-0000-0000-000069300000}"/>
    <cellStyle name="Normal 2 2 2 4 7" xfId="21633" xr:uid="{00000000-0005-0000-0000-00006A300000}"/>
    <cellStyle name="Normal 2 2 2 5" xfId="3521" xr:uid="{00000000-0005-0000-0000-00006B300000}"/>
    <cellStyle name="Normal 2 2 2 5 2" xfId="3522" xr:uid="{00000000-0005-0000-0000-00006C300000}"/>
    <cellStyle name="Normal 2 2 2 5 2 2" xfId="3523" xr:uid="{00000000-0005-0000-0000-00006D300000}"/>
    <cellStyle name="Normal 2 2 2 5 2 2 2" xfId="3524" xr:uid="{00000000-0005-0000-0000-00006E300000}"/>
    <cellStyle name="Normal 2 2 2 5 2 2 2 2" xfId="7665" xr:uid="{00000000-0005-0000-0000-00006F300000}"/>
    <cellStyle name="Normal 2 2 2 5 2 2 2 2 2" xfId="17025" xr:uid="{00000000-0005-0000-0000-000070300000}"/>
    <cellStyle name="Normal 2 2 2 5 2 2 2 2 2 2" xfId="33599" xr:uid="{00000000-0005-0000-0000-000071300000}"/>
    <cellStyle name="Normal 2 2 2 5 2 2 2 2 3" xfId="25552" xr:uid="{00000000-0005-0000-0000-000072300000}"/>
    <cellStyle name="Normal 2 2 2 5 2 2 2 3" xfId="13149" xr:uid="{00000000-0005-0000-0000-000073300000}"/>
    <cellStyle name="Normal 2 2 2 5 2 2 2 3 2" xfId="29687" xr:uid="{00000000-0005-0000-0000-000074300000}"/>
    <cellStyle name="Normal 2 2 2 5 2 2 2 4" xfId="21644" xr:uid="{00000000-0005-0000-0000-000075300000}"/>
    <cellStyle name="Normal 2 2 2 5 2 2 3" xfId="7666" xr:uid="{00000000-0005-0000-0000-000076300000}"/>
    <cellStyle name="Normal 2 2 2 5 2 2 3 2" xfId="17026" xr:uid="{00000000-0005-0000-0000-000077300000}"/>
    <cellStyle name="Normal 2 2 2 5 2 2 3 2 2" xfId="33600" xr:uid="{00000000-0005-0000-0000-000078300000}"/>
    <cellStyle name="Normal 2 2 2 5 2 2 3 3" xfId="25553" xr:uid="{00000000-0005-0000-0000-000079300000}"/>
    <cellStyle name="Normal 2 2 2 5 2 2 4" xfId="13148" xr:uid="{00000000-0005-0000-0000-00007A300000}"/>
    <cellStyle name="Normal 2 2 2 5 2 2 4 2" xfId="29686" xr:uid="{00000000-0005-0000-0000-00007B300000}"/>
    <cellStyle name="Normal 2 2 2 5 2 2 5" xfId="21643" xr:uid="{00000000-0005-0000-0000-00007C300000}"/>
    <cellStyle name="Normal 2 2 2 5 2 3" xfId="3525" xr:uid="{00000000-0005-0000-0000-00007D300000}"/>
    <cellStyle name="Normal 2 2 2 5 2 3 2" xfId="7667" xr:uid="{00000000-0005-0000-0000-00007E300000}"/>
    <cellStyle name="Normal 2 2 2 5 2 3 2 2" xfId="17027" xr:uid="{00000000-0005-0000-0000-00007F300000}"/>
    <cellStyle name="Normal 2 2 2 5 2 3 2 2 2" xfId="33601" xr:uid="{00000000-0005-0000-0000-000080300000}"/>
    <cellStyle name="Normal 2 2 2 5 2 3 2 3" xfId="25554" xr:uid="{00000000-0005-0000-0000-000081300000}"/>
    <cellStyle name="Normal 2 2 2 5 2 3 3" xfId="13150" xr:uid="{00000000-0005-0000-0000-000082300000}"/>
    <cellStyle name="Normal 2 2 2 5 2 3 3 2" xfId="29688" xr:uid="{00000000-0005-0000-0000-000083300000}"/>
    <cellStyle name="Normal 2 2 2 5 2 3 4" xfId="21645" xr:uid="{00000000-0005-0000-0000-000084300000}"/>
    <cellStyle name="Normal 2 2 2 5 2 4" xfId="7668" xr:uid="{00000000-0005-0000-0000-000085300000}"/>
    <cellStyle name="Normal 2 2 2 5 2 4 2" xfId="17028" xr:uid="{00000000-0005-0000-0000-000086300000}"/>
    <cellStyle name="Normal 2 2 2 5 2 4 2 2" xfId="33602" xr:uid="{00000000-0005-0000-0000-000087300000}"/>
    <cellStyle name="Normal 2 2 2 5 2 4 3" xfId="25555" xr:uid="{00000000-0005-0000-0000-000088300000}"/>
    <cellStyle name="Normal 2 2 2 5 2 5" xfId="13147" xr:uid="{00000000-0005-0000-0000-000089300000}"/>
    <cellStyle name="Normal 2 2 2 5 2 5 2" xfId="29685" xr:uid="{00000000-0005-0000-0000-00008A300000}"/>
    <cellStyle name="Normal 2 2 2 5 2 6" xfId="21642" xr:uid="{00000000-0005-0000-0000-00008B300000}"/>
    <cellStyle name="Normal 2 2 2 5 3" xfId="3526" xr:uid="{00000000-0005-0000-0000-00008C300000}"/>
    <cellStyle name="Normal 2 2 2 5 3 2" xfId="3527" xr:uid="{00000000-0005-0000-0000-00008D300000}"/>
    <cellStyle name="Normal 2 2 2 5 3 2 2" xfId="7669" xr:uid="{00000000-0005-0000-0000-00008E300000}"/>
    <cellStyle name="Normal 2 2 2 5 3 2 2 2" xfId="17029" xr:uid="{00000000-0005-0000-0000-00008F300000}"/>
    <cellStyle name="Normal 2 2 2 5 3 2 2 2 2" xfId="33603" xr:uid="{00000000-0005-0000-0000-000090300000}"/>
    <cellStyle name="Normal 2 2 2 5 3 2 2 3" xfId="25556" xr:uid="{00000000-0005-0000-0000-000091300000}"/>
    <cellStyle name="Normal 2 2 2 5 3 2 3" xfId="13152" xr:uid="{00000000-0005-0000-0000-000092300000}"/>
    <cellStyle name="Normal 2 2 2 5 3 2 3 2" xfId="29690" xr:uid="{00000000-0005-0000-0000-000093300000}"/>
    <cellStyle name="Normal 2 2 2 5 3 2 4" xfId="21647" xr:uid="{00000000-0005-0000-0000-000094300000}"/>
    <cellStyle name="Normal 2 2 2 5 3 3" xfId="7670" xr:uid="{00000000-0005-0000-0000-000095300000}"/>
    <cellStyle name="Normal 2 2 2 5 3 3 2" xfId="17030" xr:uid="{00000000-0005-0000-0000-000096300000}"/>
    <cellStyle name="Normal 2 2 2 5 3 3 2 2" xfId="33604" xr:uid="{00000000-0005-0000-0000-000097300000}"/>
    <cellStyle name="Normal 2 2 2 5 3 3 3" xfId="25557" xr:uid="{00000000-0005-0000-0000-000098300000}"/>
    <cellStyle name="Normal 2 2 2 5 3 4" xfId="13151" xr:uid="{00000000-0005-0000-0000-000099300000}"/>
    <cellStyle name="Normal 2 2 2 5 3 4 2" xfId="29689" xr:uid="{00000000-0005-0000-0000-00009A300000}"/>
    <cellStyle name="Normal 2 2 2 5 3 5" xfId="21646" xr:uid="{00000000-0005-0000-0000-00009B300000}"/>
    <cellStyle name="Normal 2 2 2 5 4" xfId="3528" xr:uid="{00000000-0005-0000-0000-00009C300000}"/>
    <cellStyle name="Normal 2 2 2 5 4 2" xfId="7671" xr:uid="{00000000-0005-0000-0000-00009D300000}"/>
    <cellStyle name="Normal 2 2 2 5 4 2 2" xfId="17031" xr:uid="{00000000-0005-0000-0000-00009E300000}"/>
    <cellStyle name="Normal 2 2 2 5 4 2 2 2" xfId="33605" xr:uid="{00000000-0005-0000-0000-00009F300000}"/>
    <cellStyle name="Normal 2 2 2 5 4 2 3" xfId="25558" xr:uid="{00000000-0005-0000-0000-0000A0300000}"/>
    <cellStyle name="Normal 2 2 2 5 4 3" xfId="13153" xr:uid="{00000000-0005-0000-0000-0000A1300000}"/>
    <cellStyle name="Normal 2 2 2 5 4 3 2" xfId="29691" xr:uid="{00000000-0005-0000-0000-0000A2300000}"/>
    <cellStyle name="Normal 2 2 2 5 4 4" xfId="21648" xr:uid="{00000000-0005-0000-0000-0000A3300000}"/>
    <cellStyle name="Normal 2 2 2 5 5" xfId="7672" xr:uid="{00000000-0005-0000-0000-0000A4300000}"/>
    <cellStyle name="Normal 2 2 2 5 5 2" xfId="17032" xr:uid="{00000000-0005-0000-0000-0000A5300000}"/>
    <cellStyle name="Normal 2 2 2 5 5 2 2" xfId="33606" xr:uid="{00000000-0005-0000-0000-0000A6300000}"/>
    <cellStyle name="Normal 2 2 2 5 5 3" xfId="25559" xr:uid="{00000000-0005-0000-0000-0000A7300000}"/>
    <cellStyle name="Normal 2 2 2 5 6" xfId="13146" xr:uid="{00000000-0005-0000-0000-0000A8300000}"/>
    <cellStyle name="Normal 2 2 2 5 6 2" xfId="29684" xr:uid="{00000000-0005-0000-0000-0000A9300000}"/>
    <cellStyle name="Normal 2 2 2 5 7" xfId="21641" xr:uid="{00000000-0005-0000-0000-0000AA300000}"/>
    <cellStyle name="Normal 2 2 2 6" xfId="3529" xr:uid="{00000000-0005-0000-0000-0000AB300000}"/>
    <cellStyle name="Normal 2 2 2 6 2" xfId="3530" xr:uid="{00000000-0005-0000-0000-0000AC300000}"/>
    <cellStyle name="Normal 2 2 2 6 2 2" xfId="3531" xr:uid="{00000000-0005-0000-0000-0000AD300000}"/>
    <cellStyle name="Normal 2 2 2 6 2 2 2" xfId="7673" xr:uid="{00000000-0005-0000-0000-0000AE300000}"/>
    <cellStyle name="Normal 2 2 2 6 2 2 2 2" xfId="17033" xr:uid="{00000000-0005-0000-0000-0000AF300000}"/>
    <cellStyle name="Normal 2 2 2 6 2 2 2 2 2" xfId="33607" xr:uid="{00000000-0005-0000-0000-0000B0300000}"/>
    <cellStyle name="Normal 2 2 2 6 2 2 2 3" xfId="25560" xr:uid="{00000000-0005-0000-0000-0000B1300000}"/>
    <cellStyle name="Normal 2 2 2 6 2 2 3" xfId="13156" xr:uid="{00000000-0005-0000-0000-0000B2300000}"/>
    <cellStyle name="Normal 2 2 2 6 2 2 3 2" xfId="29694" xr:uid="{00000000-0005-0000-0000-0000B3300000}"/>
    <cellStyle name="Normal 2 2 2 6 2 2 4" xfId="21651" xr:uid="{00000000-0005-0000-0000-0000B4300000}"/>
    <cellStyle name="Normal 2 2 2 6 2 3" xfId="7674" xr:uid="{00000000-0005-0000-0000-0000B5300000}"/>
    <cellStyle name="Normal 2 2 2 6 2 3 2" xfId="17034" xr:uid="{00000000-0005-0000-0000-0000B6300000}"/>
    <cellStyle name="Normal 2 2 2 6 2 3 2 2" xfId="33608" xr:uid="{00000000-0005-0000-0000-0000B7300000}"/>
    <cellStyle name="Normal 2 2 2 6 2 3 3" xfId="25561" xr:uid="{00000000-0005-0000-0000-0000B8300000}"/>
    <cellStyle name="Normal 2 2 2 6 2 4" xfId="13155" xr:uid="{00000000-0005-0000-0000-0000B9300000}"/>
    <cellStyle name="Normal 2 2 2 6 2 4 2" xfId="29693" xr:uid="{00000000-0005-0000-0000-0000BA300000}"/>
    <cellStyle name="Normal 2 2 2 6 2 5" xfId="21650" xr:uid="{00000000-0005-0000-0000-0000BB300000}"/>
    <cellStyle name="Normal 2 2 2 6 3" xfId="3532" xr:uid="{00000000-0005-0000-0000-0000BC300000}"/>
    <cellStyle name="Normal 2 2 2 6 3 2" xfId="7675" xr:uid="{00000000-0005-0000-0000-0000BD300000}"/>
    <cellStyle name="Normal 2 2 2 6 3 2 2" xfId="17035" xr:uid="{00000000-0005-0000-0000-0000BE300000}"/>
    <cellStyle name="Normal 2 2 2 6 3 2 2 2" xfId="33609" xr:uid="{00000000-0005-0000-0000-0000BF300000}"/>
    <cellStyle name="Normal 2 2 2 6 3 2 3" xfId="25562" xr:uid="{00000000-0005-0000-0000-0000C0300000}"/>
    <cellStyle name="Normal 2 2 2 6 3 3" xfId="13157" xr:uid="{00000000-0005-0000-0000-0000C1300000}"/>
    <cellStyle name="Normal 2 2 2 6 3 3 2" xfId="29695" xr:uid="{00000000-0005-0000-0000-0000C2300000}"/>
    <cellStyle name="Normal 2 2 2 6 3 4" xfId="21652" xr:uid="{00000000-0005-0000-0000-0000C3300000}"/>
    <cellStyle name="Normal 2 2 2 6 4" xfId="7676" xr:uid="{00000000-0005-0000-0000-0000C4300000}"/>
    <cellStyle name="Normal 2 2 2 6 4 2" xfId="17036" xr:uid="{00000000-0005-0000-0000-0000C5300000}"/>
    <cellStyle name="Normal 2 2 2 6 4 2 2" xfId="33610" xr:uid="{00000000-0005-0000-0000-0000C6300000}"/>
    <cellStyle name="Normal 2 2 2 6 4 3" xfId="25563" xr:uid="{00000000-0005-0000-0000-0000C7300000}"/>
    <cellStyle name="Normal 2 2 2 6 5" xfId="13154" xr:uid="{00000000-0005-0000-0000-0000C8300000}"/>
    <cellStyle name="Normal 2 2 2 6 5 2" xfId="29692" xr:uid="{00000000-0005-0000-0000-0000C9300000}"/>
    <cellStyle name="Normal 2 2 2 6 6" xfId="21649" xr:uid="{00000000-0005-0000-0000-0000CA300000}"/>
    <cellStyle name="Normal 2 2 2 7" xfId="3533" xr:uid="{00000000-0005-0000-0000-0000CB300000}"/>
    <cellStyle name="Normal 2 2 2 7 2" xfId="3534" xr:uid="{00000000-0005-0000-0000-0000CC300000}"/>
    <cellStyle name="Normal 2 2 2 7 2 2" xfId="7677" xr:uid="{00000000-0005-0000-0000-0000CD300000}"/>
    <cellStyle name="Normal 2 2 2 7 2 2 2" xfId="17037" xr:uid="{00000000-0005-0000-0000-0000CE300000}"/>
    <cellStyle name="Normal 2 2 2 7 2 2 2 2" xfId="33611" xr:uid="{00000000-0005-0000-0000-0000CF300000}"/>
    <cellStyle name="Normal 2 2 2 7 2 2 3" xfId="25564" xr:uid="{00000000-0005-0000-0000-0000D0300000}"/>
    <cellStyle name="Normal 2 2 2 7 2 3" xfId="13159" xr:uid="{00000000-0005-0000-0000-0000D1300000}"/>
    <cellStyle name="Normal 2 2 2 7 2 3 2" xfId="29697" xr:uid="{00000000-0005-0000-0000-0000D2300000}"/>
    <cellStyle name="Normal 2 2 2 7 2 4" xfId="21654" xr:uid="{00000000-0005-0000-0000-0000D3300000}"/>
    <cellStyle name="Normal 2 2 2 7 3" xfId="7678" xr:uid="{00000000-0005-0000-0000-0000D4300000}"/>
    <cellStyle name="Normal 2 2 2 7 3 2" xfId="17038" xr:uid="{00000000-0005-0000-0000-0000D5300000}"/>
    <cellStyle name="Normal 2 2 2 7 3 2 2" xfId="33612" xr:uid="{00000000-0005-0000-0000-0000D6300000}"/>
    <cellStyle name="Normal 2 2 2 7 3 3" xfId="25565" xr:uid="{00000000-0005-0000-0000-0000D7300000}"/>
    <cellStyle name="Normal 2 2 2 7 4" xfId="13158" xr:uid="{00000000-0005-0000-0000-0000D8300000}"/>
    <cellStyle name="Normal 2 2 2 7 4 2" xfId="29696" xr:uid="{00000000-0005-0000-0000-0000D9300000}"/>
    <cellStyle name="Normal 2 2 2 7 5" xfId="21653" xr:uid="{00000000-0005-0000-0000-0000DA300000}"/>
    <cellStyle name="Normal 2 2 2 8" xfId="3535" xr:uid="{00000000-0005-0000-0000-0000DB300000}"/>
    <cellStyle name="Normal 2 2 2 8 2" xfId="7679" xr:uid="{00000000-0005-0000-0000-0000DC300000}"/>
    <cellStyle name="Normal 2 2 2 8 2 2" xfId="17039" xr:uid="{00000000-0005-0000-0000-0000DD300000}"/>
    <cellStyle name="Normal 2 2 2 8 2 2 2" xfId="33613" xr:uid="{00000000-0005-0000-0000-0000DE300000}"/>
    <cellStyle name="Normal 2 2 2 8 2 3" xfId="25566" xr:uid="{00000000-0005-0000-0000-0000DF300000}"/>
    <cellStyle name="Normal 2 2 2 8 3" xfId="13160" xr:uid="{00000000-0005-0000-0000-0000E0300000}"/>
    <cellStyle name="Normal 2 2 2 8 3 2" xfId="29698" xr:uid="{00000000-0005-0000-0000-0000E1300000}"/>
    <cellStyle name="Normal 2 2 2 8 4" xfId="21655" xr:uid="{00000000-0005-0000-0000-0000E2300000}"/>
    <cellStyle name="Normal 2 2 2 9" xfId="7680" xr:uid="{00000000-0005-0000-0000-0000E3300000}"/>
    <cellStyle name="Normal 2 2 2 9 2" xfId="17040" xr:uid="{00000000-0005-0000-0000-0000E4300000}"/>
    <cellStyle name="Normal 2 2 2 9 2 2" xfId="33614" xr:uid="{00000000-0005-0000-0000-0000E5300000}"/>
    <cellStyle name="Normal 2 2 2 9 3" xfId="25567" xr:uid="{00000000-0005-0000-0000-0000E6300000}"/>
    <cellStyle name="Normal 2 2 3" xfId="4" xr:uid="{00000000-0005-0000-0000-0000E7300000}"/>
    <cellStyle name="Normal 2 2 3 10" xfId="10401" xr:uid="{00000000-0005-0000-0000-0000E8300000}"/>
    <cellStyle name="Normal 2 2 3 11" xfId="3536" xr:uid="{00000000-0005-0000-0000-0000E9300000}"/>
    <cellStyle name="Normal 2 2 3 11 2" xfId="29699" xr:uid="{00000000-0005-0000-0000-0000EA300000}"/>
    <cellStyle name="Normal 2 2 3 12" xfId="21656" xr:uid="{00000000-0005-0000-0000-0000EB300000}"/>
    <cellStyle name="Normal 2 2 3 2" xfId="208" xr:uid="{00000000-0005-0000-0000-0000EC300000}"/>
    <cellStyle name="Normal 2 2 3 2 2" xfId="3538" xr:uid="{00000000-0005-0000-0000-0000ED300000}"/>
    <cellStyle name="Normal 2 2 3 2 3" xfId="3537" xr:uid="{00000000-0005-0000-0000-0000EE300000}"/>
    <cellStyle name="Normal 2 2 3 2 3 2" xfId="29700" xr:uid="{00000000-0005-0000-0000-0000EF300000}"/>
    <cellStyle name="Normal 2 2 3 2 4" xfId="21657" xr:uid="{00000000-0005-0000-0000-0000F0300000}"/>
    <cellStyle name="Normal 2 2 3 3" xfId="3539" xr:uid="{00000000-0005-0000-0000-0000F1300000}"/>
    <cellStyle name="Normal 2 2 3 3 2" xfId="3540" xr:uid="{00000000-0005-0000-0000-0000F2300000}"/>
    <cellStyle name="Normal 2 2 3 3 2 2" xfId="3541" xr:uid="{00000000-0005-0000-0000-0000F3300000}"/>
    <cellStyle name="Normal 2 2 3 3 2 2 2" xfId="3542" xr:uid="{00000000-0005-0000-0000-0000F4300000}"/>
    <cellStyle name="Normal 2 2 3 3 2 2 2 2" xfId="7681" xr:uid="{00000000-0005-0000-0000-0000F5300000}"/>
    <cellStyle name="Normal 2 2 3 3 2 2 2 2 2" xfId="17041" xr:uid="{00000000-0005-0000-0000-0000F6300000}"/>
    <cellStyle name="Normal 2 2 3 3 2 2 2 2 2 2" xfId="33615" xr:uid="{00000000-0005-0000-0000-0000F7300000}"/>
    <cellStyle name="Normal 2 2 3 3 2 2 2 2 3" xfId="25568" xr:uid="{00000000-0005-0000-0000-0000F8300000}"/>
    <cellStyle name="Normal 2 2 3 3 2 2 2 3" xfId="13163" xr:uid="{00000000-0005-0000-0000-0000F9300000}"/>
    <cellStyle name="Normal 2 2 3 3 2 2 2 3 2" xfId="29703" xr:uid="{00000000-0005-0000-0000-0000FA300000}"/>
    <cellStyle name="Normal 2 2 3 3 2 2 2 4" xfId="21660" xr:uid="{00000000-0005-0000-0000-0000FB300000}"/>
    <cellStyle name="Normal 2 2 3 3 2 2 3" xfId="7682" xr:uid="{00000000-0005-0000-0000-0000FC300000}"/>
    <cellStyle name="Normal 2 2 3 3 2 2 3 2" xfId="17042" xr:uid="{00000000-0005-0000-0000-0000FD300000}"/>
    <cellStyle name="Normal 2 2 3 3 2 2 3 2 2" xfId="33616" xr:uid="{00000000-0005-0000-0000-0000FE300000}"/>
    <cellStyle name="Normal 2 2 3 3 2 2 3 3" xfId="25569" xr:uid="{00000000-0005-0000-0000-0000FF300000}"/>
    <cellStyle name="Normal 2 2 3 3 2 2 4" xfId="13162" xr:uid="{00000000-0005-0000-0000-000000310000}"/>
    <cellStyle name="Normal 2 2 3 3 2 2 4 2" xfId="29702" xr:uid="{00000000-0005-0000-0000-000001310000}"/>
    <cellStyle name="Normal 2 2 3 3 2 2 5" xfId="21659" xr:uid="{00000000-0005-0000-0000-000002310000}"/>
    <cellStyle name="Normal 2 2 3 3 2 3" xfId="3543" xr:uid="{00000000-0005-0000-0000-000003310000}"/>
    <cellStyle name="Normal 2 2 3 3 2 3 2" xfId="7683" xr:uid="{00000000-0005-0000-0000-000004310000}"/>
    <cellStyle name="Normal 2 2 3 3 2 3 2 2" xfId="17043" xr:uid="{00000000-0005-0000-0000-000005310000}"/>
    <cellStyle name="Normal 2 2 3 3 2 3 2 2 2" xfId="33617" xr:uid="{00000000-0005-0000-0000-000006310000}"/>
    <cellStyle name="Normal 2 2 3 3 2 3 2 3" xfId="25570" xr:uid="{00000000-0005-0000-0000-000007310000}"/>
    <cellStyle name="Normal 2 2 3 3 2 3 3" xfId="13164" xr:uid="{00000000-0005-0000-0000-000008310000}"/>
    <cellStyle name="Normal 2 2 3 3 2 3 3 2" xfId="29704" xr:uid="{00000000-0005-0000-0000-000009310000}"/>
    <cellStyle name="Normal 2 2 3 3 2 3 4" xfId="21661" xr:uid="{00000000-0005-0000-0000-00000A310000}"/>
    <cellStyle name="Normal 2 2 3 3 2 4" xfId="7684" xr:uid="{00000000-0005-0000-0000-00000B310000}"/>
    <cellStyle name="Normal 2 2 3 3 2 4 2" xfId="17044" xr:uid="{00000000-0005-0000-0000-00000C310000}"/>
    <cellStyle name="Normal 2 2 3 3 2 4 2 2" xfId="33618" xr:uid="{00000000-0005-0000-0000-00000D310000}"/>
    <cellStyle name="Normal 2 2 3 3 2 4 3" xfId="25571" xr:uid="{00000000-0005-0000-0000-00000E310000}"/>
    <cellStyle name="Normal 2 2 3 3 2 5" xfId="13161" xr:uid="{00000000-0005-0000-0000-00000F310000}"/>
    <cellStyle name="Normal 2 2 3 3 2 5 2" xfId="29701" xr:uid="{00000000-0005-0000-0000-000010310000}"/>
    <cellStyle name="Normal 2 2 3 3 2 6" xfId="21658" xr:uid="{00000000-0005-0000-0000-000011310000}"/>
    <cellStyle name="Normal 2 2 3 3 3" xfId="3544" xr:uid="{00000000-0005-0000-0000-000012310000}"/>
    <cellStyle name="Normal 2 2 3 3 3 2" xfId="3545" xr:uid="{00000000-0005-0000-0000-000013310000}"/>
    <cellStyle name="Normal 2 2 3 3 3 2 2" xfId="7685" xr:uid="{00000000-0005-0000-0000-000014310000}"/>
    <cellStyle name="Normal 2 2 3 3 3 2 2 2" xfId="17045" xr:uid="{00000000-0005-0000-0000-000015310000}"/>
    <cellStyle name="Normal 2 2 3 3 3 2 2 2 2" xfId="33619" xr:uid="{00000000-0005-0000-0000-000016310000}"/>
    <cellStyle name="Normal 2 2 3 3 3 2 2 3" xfId="25572" xr:uid="{00000000-0005-0000-0000-000017310000}"/>
    <cellStyle name="Normal 2 2 3 3 3 2 3" xfId="13166" xr:uid="{00000000-0005-0000-0000-000018310000}"/>
    <cellStyle name="Normal 2 2 3 3 3 2 3 2" xfId="29706" xr:uid="{00000000-0005-0000-0000-000019310000}"/>
    <cellStyle name="Normal 2 2 3 3 3 2 4" xfId="21663" xr:uid="{00000000-0005-0000-0000-00001A310000}"/>
    <cellStyle name="Normal 2 2 3 3 3 3" xfId="7686" xr:uid="{00000000-0005-0000-0000-00001B310000}"/>
    <cellStyle name="Normal 2 2 3 3 3 3 2" xfId="17046" xr:uid="{00000000-0005-0000-0000-00001C310000}"/>
    <cellStyle name="Normal 2 2 3 3 3 3 2 2" xfId="33620" xr:uid="{00000000-0005-0000-0000-00001D310000}"/>
    <cellStyle name="Normal 2 2 3 3 3 3 3" xfId="25573" xr:uid="{00000000-0005-0000-0000-00001E310000}"/>
    <cellStyle name="Normal 2 2 3 3 3 4" xfId="13165" xr:uid="{00000000-0005-0000-0000-00001F310000}"/>
    <cellStyle name="Normal 2 2 3 3 3 4 2" xfId="29705" xr:uid="{00000000-0005-0000-0000-000020310000}"/>
    <cellStyle name="Normal 2 2 3 3 3 5" xfId="21662" xr:uid="{00000000-0005-0000-0000-000021310000}"/>
    <cellStyle name="Normal 2 2 3 3 4" xfId="3546" xr:uid="{00000000-0005-0000-0000-000022310000}"/>
    <cellStyle name="Normal 2 2 3 3 4 2" xfId="7687" xr:uid="{00000000-0005-0000-0000-000023310000}"/>
    <cellStyle name="Normal 2 2 3 3 4 2 2" xfId="17047" xr:uid="{00000000-0005-0000-0000-000024310000}"/>
    <cellStyle name="Normal 2 2 3 3 4 2 2 2" xfId="33621" xr:uid="{00000000-0005-0000-0000-000025310000}"/>
    <cellStyle name="Normal 2 2 3 3 4 2 3" xfId="25574" xr:uid="{00000000-0005-0000-0000-000026310000}"/>
    <cellStyle name="Normal 2 2 3 3 4 3" xfId="13167" xr:uid="{00000000-0005-0000-0000-000027310000}"/>
    <cellStyle name="Normal 2 2 3 3 4 3 2" xfId="29707" xr:uid="{00000000-0005-0000-0000-000028310000}"/>
    <cellStyle name="Normal 2 2 3 3 4 4" xfId="21664" xr:uid="{00000000-0005-0000-0000-000029310000}"/>
    <cellStyle name="Normal 2 2 3 3 5" xfId="3547" xr:uid="{00000000-0005-0000-0000-00002A310000}"/>
    <cellStyle name="Normal 2 2 3 3 5 2" xfId="13168" xr:uid="{00000000-0005-0000-0000-00002B310000}"/>
    <cellStyle name="Normal 2 2 3 3 5 2 2" xfId="29708" xr:uid="{00000000-0005-0000-0000-00002C310000}"/>
    <cellStyle name="Normal 2 2 3 3 5 3" xfId="21665" xr:uid="{00000000-0005-0000-0000-00002D310000}"/>
    <cellStyle name="Normal 2 2 3 4" xfId="3548" xr:uid="{00000000-0005-0000-0000-00002E310000}"/>
    <cellStyle name="Normal 2 2 3 4 2" xfId="3549" xr:uid="{00000000-0005-0000-0000-00002F310000}"/>
    <cellStyle name="Normal 2 2 3 4 2 2" xfId="3550" xr:uid="{00000000-0005-0000-0000-000030310000}"/>
    <cellStyle name="Normal 2 2 3 4 2 2 2" xfId="3551" xr:uid="{00000000-0005-0000-0000-000031310000}"/>
    <cellStyle name="Normal 2 2 3 4 2 2 2 2" xfId="7688" xr:uid="{00000000-0005-0000-0000-000032310000}"/>
    <cellStyle name="Normal 2 2 3 4 2 2 2 2 2" xfId="17048" xr:uid="{00000000-0005-0000-0000-000033310000}"/>
    <cellStyle name="Normal 2 2 3 4 2 2 2 2 2 2" xfId="33622" xr:uid="{00000000-0005-0000-0000-000034310000}"/>
    <cellStyle name="Normal 2 2 3 4 2 2 2 2 3" xfId="25575" xr:uid="{00000000-0005-0000-0000-000035310000}"/>
    <cellStyle name="Normal 2 2 3 4 2 2 2 3" xfId="13172" xr:uid="{00000000-0005-0000-0000-000036310000}"/>
    <cellStyle name="Normal 2 2 3 4 2 2 2 3 2" xfId="29712" xr:uid="{00000000-0005-0000-0000-000037310000}"/>
    <cellStyle name="Normal 2 2 3 4 2 2 2 4" xfId="21669" xr:uid="{00000000-0005-0000-0000-000038310000}"/>
    <cellStyle name="Normal 2 2 3 4 2 2 3" xfId="7689" xr:uid="{00000000-0005-0000-0000-000039310000}"/>
    <cellStyle name="Normal 2 2 3 4 2 2 3 2" xfId="17049" xr:uid="{00000000-0005-0000-0000-00003A310000}"/>
    <cellStyle name="Normal 2 2 3 4 2 2 3 2 2" xfId="33623" xr:uid="{00000000-0005-0000-0000-00003B310000}"/>
    <cellStyle name="Normal 2 2 3 4 2 2 3 3" xfId="25576" xr:uid="{00000000-0005-0000-0000-00003C310000}"/>
    <cellStyle name="Normal 2 2 3 4 2 2 4" xfId="13171" xr:uid="{00000000-0005-0000-0000-00003D310000}"/>
    <cellStyle name="Normal 2 2 3 4 2 2 4 2" xfId="29711" xr:uid="{00000000-0005-0000-0000-00003E310000}"/>
    <cellStyle name="Normal 2 2 3 4 2 2 5" xfId="21668" xr:uid="{00000000-0005-0000-0000-00003F310000}"/>
    <cellStyle name="Normal 2 2 3 4 2 3" xfId="3552" xr:uid="{00000000-0005-0000-0000-000040310000}"/>
    <cellStyle name="Normal 2 2 3 4 2 3 2" xfId="7690" xr:uid="{00000000-0005-0000-0000-000041310000}"/>
    <cellStyle name="Normal 2 2 3 4 2 3 2 2" xfId="17050" xr:uid="{00000000-0005-0000-0000-000042310000}"/>
    <cellStyle name="Normal 2 2 3 4 2 3 2 2 2" xfId="33624" xr:uid="{00000000-0005-0000-0000-000043310000}"/>
    <cellStyle name="Normal 2 2 3 4 2 3 2 3" xfId="25577" xr:uid="{00000000-0005-0000-0000-000044310000}"/>
    <cellStyle name="Normal 2 2 3 4 2 3 3" xfId="13173" xr:uid="{00000000-0005-0000-0000-000045310000}"/>
    <cellStyle name="Normal 2 2 3 4 2 3 3 2" xfId="29713" xr:uid="{00000000-0005-0000-0000-000046310000}"/>
    <cellStyle name="Normal 2 2 3 4 2 3 4" xfId="21670" xr:uid="{00000000-0005-0000-0000-000047310000}"/>
    <cellStyle name="Normal 2 2 3 4 2 4" xfId="7691" xr:uid="{00000000-0005-0000-0000-000048310000}"/>
    <cellStyle name="Normal 2 2 3 4 2 4 2" xfId="17051" xr:uid="{00000000-0005-0000-0000-000049310000}"/>
    <cellStyle name="Normal 2 2 3 4 2 4 2 2" xfId="33625" xr:uid="{00000000-0005-0000-0000-00004A310000}"/>
    <cellStyle name="Normal 2 2 3 4 2 4 3" xfId="25578" xr:uid="{00000000-0005-0000-0000-00004B310000}"/>
    <cellStyle name="Normal 2 2 3 4 2 5" xfId="13170" xr:uid="{00000000-0005-0000-0000-00004C310000}"/>
    <cellStyle name="Normal 2 2 3 4 2 5 2" xfId="29710" xr:uid="{00000000-0005-0000-0000-00004D310000}"/>
    <cellStyle name="Normal 2 2 3 4 2 6" xfId="21667" xr:uid="{00000000-0005-0000-0000-00004E310000}"/>
    <cellStyle name="Normal 2 2 3 4 3" xfId="3553" xr:uid="{00000000-0005-0000-0000-00004F310000}"/>
    <cellStyle name="Normal 2 2 3 4 3 2" xfId="3554" xr:uid="{00000000-0005-0000-0000-000050310000}"/>
    <cellStyle name="Normal 2 2 3 4 3 2 2" xfId="7692" xr:uid="{00000000-0005-0000-0000-000051310000}"/>
    <cellStyle name="Normal 2 2 3 4 3 2 2 2" xfId="17052" xr:uid="{00000000-0005-0000-0000-000052310000}"/>
    <cellStyle name="Normal 2 2 3 4 3 2 2 2 2" xfId="33626" xr:uid="{00000000-0005-0000-0000-000053310000}"/>
    <cellStyle name="Normal 2 2 3 4 3 2 2 3" xfId="25579" xr:uid="{00000000-0005-0000-0000-000054310000}"/>
    <cellStyle name="Normal 2 2 3 4 3 2 3" xfId="13175" xr:uid="{00000000-0005-0000-0000-000055310000}"/>
    <cellStyle name="Normal 2 2 3 4 3 2 3 2" xfId="29715" xr:uid="{00000000-0005-0000-0000-000056310000}"/>
    <cellStyle name="Normal 2 2 3 4 3 2 4" xfId="21672" xr:uid="{00000000-0005-0000-0000-000057310000}"/>
    <cellStyle name="Normal 2 2 3 4 3 3" xfId="7693" xr:uid="{00000000-0005-0000-0000-000058310000}"/>
    <cellStyle name="Normal 2 2 3 4 3 3 2" xfId="17053" xr:uid="{00000000-0005-0000-0000-000059310000}"/>
    <cellStyle name="Normal 2 2 3 4 3 3 2 2" xfId="33627" xr:uid="{00000000-0005-0000-0000-00005A310000}"/>
    <cellStyle name="Normal 2 2 3 4 3 3 3" xfId="25580" xr:uid="{00000000-0005-0000-0000-00005B310000}"/>
    <cellStyle name="Normal 2 2 3 4 3 4" xfId="13174" xr:uid="{00000000-0005-0000-0000-00005C310000}"/>
    <cellStyle name="Normal 2 2 3 4 3 4 2" xfId="29714" xr:uid="{00000000-0005-0000-0000-00005D310000}"/>
    <cellStyle name="Normal 2 2 3 4 3 5" xfId="21671" xr:uid="{00000000-0005-0000-0000-00005E310000}"/>
    <cellStyle name="Normal 2 2 3 4 4" xfId="3555" xr:uid="{00000000-0005-0000-0000-00005F310000}"/>
    <cellStyle name="Normal 2 2 3 4 4 2" xfId="7694" xr:uid="{00000000-0005-0000-0000-000060310000}"/>
    <cellStyle name="Normal 2 2 3 4 4 2 2" xfId="17054" xr:uid="{00000000-0005-0000-0000-000061310000}"/>
    <cellStyle name="Normal 2 2 3 4 4 2 2 2" xfId="33628" xr:uid="{00000000-0005-0000-0000-000062310000}"/>
    <cellStyle name="Normal 2 2 3 4 4 2 3" xfId="25581" xr:uid="{00000000-0005-0000-0000-000063310000}"/>
    <cellStyle name="Normal 2 2 3 4 4 3" xfId="13176" xr:uid="{00000000-0005-0000-0000-000064310000}"/>
    <cellStyle name="Normal 2 2 3 4 4 3 2" xfId="29716" xr:uid="{00000000-0005-0000-0000-000065310000}"/>
    <cellStyle name="Normal 2 2 3 4 4 4" xfId="21673" xr:uid="{00000000-0005-0000-0000-000066310000}"/>
    <cellStyle name="Normal 2 2 3 4 5" xfId="7695" xr:uid="{00000000-0005-0000-0000-000067310000}"/>
    <cellStyle name="Normal 2 2 3 4 5 2" xfId="17055" xr:uid="{00000000-0005-0000-0000-000068310000}"/>
    <cellStyle name="Normal 2 2 3 4 5 2 2" xfId="33629" xr:uid="{00000000-0005-0000-0000-000069310000}"/>
    <cellStyle name="Normal 2 2 3 4 5 3" xfId="25582" xr:uid="{00000000-0005-0000-0000-00006A310000}"/>
    <cellStyle name="Normal 2 2 3 4 6" xfId="13169" xr:uid="{00000000-0005-0000-0000-00006B310000}"/>
    <cellStyle name="Normal 2 2 3 4 6 2" xfId="29709" xr:uid="{00000000-0005-0000-0000-00006C310000}"/>
    <cellStyle name="Normal 2 2 3 4 7" xfId="21666" xr:uid="{00000000-0005-0000-0000-00006D310000}"/>
    <cellStyle name="Normal 2 2 3 5" xfId="3556" xr:uid="{00000000-0005-0000-0000-00006E310000}"/>
    <cellStyle name="Normal 2 2 3 5 2" xfId="3557" xr:uid="{00000000-0005-0000-0000-00006F310000}"/>
    <cellStyle name="Normal 2 2 3 5 2 2" xfId="3558" xr:uid="{00000000-0005-0000-0000-000070310000}"/>
    <cellStyle name="Normal 2 2 3 5 2 2 2" xfId="3559" xr:uid="{00000000-0005-0000-0000-000071310000}"/>
    <cellStyle name="Normal 2 2 3 5 2 2 2 2" xfId="7696" xr:uid="{00000000-0005-0000-0000-000072310000}"/>
    <cellStyle name="Normal 2 2 3 5 2 2 2 2 2" xfId="17056" xr:uid="{00000000-0005-0000-0000-000073310000}"/>
    <cellStyle name="Normal 2 2 3 5 2 2 2 2 2 2" xfId="33630" xr:uid="{00000000-0005-0000-0000-000074310000}"/>
    <cellStyle name="Normal 2 2 3 5 2 2 2 2 3" xfId="25583" xr:uid="{00000000-0005-0000-0000-000075310000}"/>
    <cellStyle name="Normal 2 2 3 5 2 2 2 3" xfId="13180" xr:uid="{00000000-0005-0000-0000-000076310000}"/>
    <cellStyle name="Normal 2 2 3 5 2 2 2 3 2" xfId="29720" xr:uid="{00000000-0005-0000-0000-000077310000}"/>
    <cellStyle name="Normal 2 2 3 5 2 2 2 4" xfId="21677" xr:uid="{00000000-0005-0000-0000-000078310000}"/>
    <cellStyle name="Normal 2 2 3 5 2 2 3" xfId="7697" xr:uid="{00000000-0005-0000-0000-000079310000}"/>
    <cellStyle name="Normal 2 2 3 5 2 2 3 2" xfId="17057" xr:uid="{00000000-0005-0000-0000-00007A310000}"/>
    <cellStyle name="Normal 2 2 3 5 2 2 3 2 2" xfId="33631" xr:uid="{00000000-0005-0000-0000-00007B310000}"/>
    <cellStyle name="Normal 2 2 3 5 2 2 3 3" xfId="25584" xr:uid="{00000000-0005-0000-0000-00007C310000}"/>
    <cellStyle name="Normal 2 2 3 5 2 2 4" xfId="13179" xr:uid="{00000000-0005-0000-0000-00007D310000}"/>
    <cellStyle name="Normal 2 2 3 5 2 2 4 2" xfId="29719" xr:uid="{00000000-0005-0000-0000-00007E310000}"/>
    <cellStyle name="Normal 2 2 3 5 2 2 5" xfId="21676" xr:uid="{00000000-0005-0000-0000-00007F310000}"/>
    <cellStyle name="Normal 2 2 3 5 2 3" xfId="3560" xr:uid="{00000000-0005-0000-0000-000080310000}"/>
    <cellStyle name="Normal 2 2 3 5 2 3 2" xfId="7698" xr:uid="{00000000-0005-0000-0000-000081310000}"/>
    <cellStyle name="Normal 2 2 3 5 2 3 2 2" xfId="17058" xr:uid="{00000000-0005-0000-0000-000082310000}"/>
    <cellStyle name="Normal 2 2 3 5 2 3 2 2 2" xfId="33632" xr:uid="{00000000-0005-0000-0000-000083310000}"/>
    <cellStyle name="Normal 2 2 3 5 2 3 2 3" xfId="25585" xr:uid="{00000000-0005-0000-0000-000084310000}"/>
    <cellStyle name="Normal 2 2 3 5 2 3 3" xfId="13181" xr:uid="{00000000-0005-0000-0000-000085310000}"/>
    <cellStyle name="Normal 2 2 3 5 2 3 3 2" xfId="29721" xr:uid="{00000000-0005-0000-0000-000086310000}"/>
    <cellStyle name="Normal 2 2 3 5 2 3 4" xfId="21678" xr:uid="{00000000-0005-0000-0000-000087310000}"/>
    <cellStyle name="Normal 2 2 3 5 2 4" xfId="7699" xr:uid="{00000000-0005-0000-0000-000088310000}"/>
    <cellStyle name="Normal 2 2 3 5 2 4 2" xfId="17059" xr:uid="{00000000-0005-0000-0000-000089310000}"/>
    <cellStyle name="Normal 2 2 3 5 2 4 2 2" xfId="33633" xr:uid="{00000000-0005-0000-0000-00008A310000}"/>
    <cellStyle name="Normal 2 2 3 5 2 4 3" xfId="25586" xr:uid="{00000000-0005-0000-0000-00008B310000}"/>
    <cellStyle name="Normal 2 2 3 5 2 5" xfId="13178" xr:uid="{00000000-0005-0000-0000-00008C310000}"/>
    <cellStyle name="Normal 2 2 3 5 2 5 2" xfId="29718" xr:uid="{00000000-0005-0000-0000-00008D310000}"/>
    <cellStyle name="Normal 2 2 3 5 2 6" xfId="21675" xr:uid="{00000000-0005-0000-0000-00008E310000}"/>
    <cellStyle name="Normal 2 2 3 5 3" xfId="3561" xr:uid="{00000000-0005-0000-0000-00008F310000}"/>
    <cellStyle name="Normal 2 2 3 5 3 2" xfId="3562" xr:uid="{00000000-0005-0000-0000-000090310000}"/>
    <cellStyle name="Normal 2 2 3 5 3 2 2" xfId="7700" xr:uid="{00000000-0005-0000-0000-000091310000}"/>
    <cellStyle name="Normal 2 2 3 5 3 2 2 2" xfId="17060" xr:uid="{00000000-0005-0000-0000-000092310000}"/>
    <cellStyle name="Normal 2 2 3 5 3 2 2 2 2" xfId="33634" xr:uid="{00000000-0005-0000-0000-000093310000}"/>
    <cellStyle name="Normal 2 2 3 5 3 2 2 3" xfId="25587" xr:uid="{00000000-0005-0000-0000-000094310000}"/>
    <cellStyle name="Normal 2 2 3 5 3 2 3" xfId="13183" xr:uid="{00000000-0005-0000-0000-000095310000}"/>
    <cellStyle name="Normal 2 2 3 5 3 2 3 2" xfId="29723" xr:uid="{00000000-0005-0000-0000-000096310000}"/>
    <cellStyle name="Normal 2 2 3 5 3 2 4" xfId="21680" xr:uid="{00000000-0005-0000-0000-000097310000}"/>
    <cellStyle name="Normal 2 2 3 5 3 3" xfId="7701" xr:uid="{00000000-0005-0000-0000-000098310000}"/>
    <cellStyle name="Normal 2 2 3 5 3 3 2" xfId="17061" xr:uid="{00000000-0005-0000-0000-000099310000}"/>
    <cellStyle name="Normal 2 2 3 5 3 3 2 2" xfId="33635" xr:uid="{00000000-0005-0000-0000-00009A310000}"/>
    <cellStyle name="Normal 2 2 3 5 3 3 3" xfId="25588" xr:uid="{00000000-0005-0000-0000-00009B310000}"/>
    <cellStyle name="Normal 2 2 3 5 3 4" xfId="13182" xr:uid="{00000000-0005-0000-0000-00009C310000}"/>
    <cellStyle name="Normal 2 2 3 5 3 4 2" xfId="29722" xr:uid="{00000000-0005-0000-0000-00009D310000}"/>
    <cellStyle name="Normal 2 2 3 5 3 5" xfId="21679" xr:uid="{00000000-0005-0000-0000-00009E310000}"/>
    <cellStyle name="Normal 2 2 3 5 4" xfId="3563" xr:uid="{00000000-0005-0000-0000-00009F310000}"/>
    <cellStyle name="Normal 2 2 3 5 4 2" xfId="7702" xr:uid="{00000000-0005-0000-0000-0000A0310000}"/>
    <cellStyle name="Normal 2 2 3 5 4 2 2" xfId="17062" xr:uid="{00000000-0005-0000-0000-0000A1310000}"/>
    <cellStyle name="Normal 2 2 3 5 4 2 2 2" xfId="33636" xr:uid="{00000000-0005-0000-0000-0000A2310000}"/>
    <cellStyle name="Normal 2 2 3 5 4 2 3" xfId="25589" xr:uid="{00000000-0005-0000-0000-0000A3310000}"/>
    <cellStyle name="Normal 2 2 3 5 4 3" xfId="13184" xr:uid="{00000000-0005-0000-0000-0000A4310000}"/>
    <cellStyle name="Normal 2 2 3 5 4 3 2" xfId="29724" xr:uid="{00000000-0005-0000-0000-0000A5310000}"/>
    <cellStyle name="Normal 2 2 3 5 4 4" xfId="21681" xr:uid="{00000000-0005-0000-0000-0000A6310000}"/>
    <cellStyle name="Normal 2 2 3 5 5" xfId="7703" xr:uid="{00000000-0005-0000-0000-0000A7310000}"/>
    <cellStyle name="Normal 2 2 3 5 5 2" xfId="17063" xr:uid="{00000000-0005-0000-0000-0000A8310000}"/>
    <cellStyle name="Normal 2 2 3 5 5 2 2" xfId="33637" xr:uid="{00000000-0005-0000-0000-0000A9310000}"/>
    <cellStyle name="Normal 2 2 3 5 5 3" xfId="25590" xr:uid="{00000000-0005-0000-0000-0000AA310000}"/>
    <cellStyle name="Normal 2 2 3 5 6" xfId="13177" xr:uid="{00000000-0005-0000-0000-0000AB310000}"/>
    <cellStyle name="Normal 2 2 3 5 6 2" xfId="29717" xr:uid="{00000000-0005-0000-0000-0000AC310000}"/>
    <cellStyle name="Normal 2 2 3 5 7" xfId="21674" xr:uid="{00000000-0005-0000-0000-0000AD310000}"/>
    <cellStyle name="Normal 2 2 3 6" xfId="3564" xr:uid="{00000000-0005-0000-0000-0000AE310000}"/>
    <cellStyle name="Normal 2 2 3 6 2" xfId="3565" xr:uid="{00000000-0005-0000-0000-0000AF310000}"/>
    <cellStyle name="Normal 2 2 3 6 2 2" xfId="3566" xr:uid="{00000000-0005-0000-0000-0000B0310000}"/>
    <cellStyle name="Normal 2 2 3 6 2 2 2" xfId="7704" xr:uid="{00000000-0005-0000-0000-0000B1310000}"/>
    <cellStyle name="Normal 2 2 3 6 2 2 2 2" xfId="17064" xr:uid="{00000000-0005-0000-0000-0000B2310000}"/>
    <cellStyle name="Normal 2 2 3 6 2 2 2 2 2" xfId="33638" xr:uid="{00000000-0005-0000-0000-0000B3310000}"/>
    <cellStyle name="Normal 2 2 3 6 2 2 2 3" xfId="25591" xr:uid="{00000000-0005-0000-0000-0000B4310000}"/>
    <cellStyle name="Normal 2 2 3 6 2 2 3" xfId="13187" xr:uid="{00000000-0005-0000-0000-0000B5310000}"/>
    <cellStyle name="Normal 2 2 3 6 2 2 3 2" xfId="29727" xr:uid="{00000000-0005-0000-0000-0000B6310000}"/>
    <cellStyle name="Normal 2 2 3 6 2 2 4" xfId="21684" xr:uid="{00000000-0005-0000-0000-0000B7310000}"/>
    <cellStyle name="Normal 2 2 3 6 2 3" xfId="7705" xr:uid="{00000000-0005-0000-0000-0000B8310000}"/>
    <cellStyle name="Normal 2 2 3 6 2 3 2" xfId="17065" xr:uid="{00000000-0005-0000-0000-0000B9310000}"/>
    <cellStyle name="Normal 2 2 3 6 2 3 2 2" xfId="33639" xr:uid="{00000000-0005-0000-0000-0000BA310000}"/>
    <cellStyle name="Normal 2 2 3 6 2 3 3" xfId="25592" xr:uid="{00000000-0005-0000-0000-0000BB310000}"/>
    <cellStyle name="Normal 2 2 3 6 2 4" xfId="13186" xr:uid="{00000000-0005-0000-0000-0000BC310000}"/>
    <cellStyle name="Normal 2 2 3 6 2 4 2" xfId="29726" xr:uid="{00000000-0005-0000-0000-0000BD310000}"/>
    <cellStyle name="Normal 2 2 3 6 2 5" xfId="21683" xr:uid="{00000000-0005-0000-0000-0000BE310000}"/>
    <cellStyle name="Normal 2 2 3 6 3" xfId="3567" xr:uid="{00000000-0005-0000-0000-0000BF310000}"/>
    <cellStyle name="Normal 2 2 3 6 3 2" xfId="7706" xr:uid="{00000000-0005-0000-0000-0000C0310000}"/>
    <cellStyle name="Normal 2 2 3 6 3 2 2" xfId="17066" xr:uid="{00000000-0005-0000-0000-0000C1310000}"/>
    <cellStyle name="Normal 2 2 3 6 3 2 2 2" xfId="33640" xr:uid="{00000000-0005-0000-0000-0000C2310000}"/>
    <cellStyle name="Normal 2 2 3 6 3 2 3" xfId="25593" xr:uid="{00000000-0005-0000-0000-0000C3310000}"/>
    <cellStyle name="Normal 2 2 3 6 3 3" xfId="13188" xr:uid="{00000000-0005-0000-0000-0000C4310000}"/>
    <cellStyle name="Normal 2 2 3 6 3 3 2" xfId="29728" xr:uid="{00000000-0005-0000-0000-0000C5310000}"/>
    <cellStyle name="Normal 2 2 3 6 3 4" xfId="21685" xr:uid="{00000000-0005-0000-0000-0000C6310000}"/>
    <cellStyle name="Normal 2 2 3 6 4" xfId="7707" xr:uid="{00000000-0005-0000-0000-0000C7310000}"/>
    <cellStyle name="Normal 2 2 3 6 4 2" xfId="17067" xr:uid="{00000000-0005-0000-0000-0000C8310000}"/>
    <cellStyle name="Normal 2 2 3 6 4 2 2" xfId="33641" xr:uid="{00000000-0005-0000-0000-0000C9310000}"/>
    <cellStyle name="Normal 2 2 3 6 4 3" xfId="25594" xr:uid="{00000000-0005-0000-0000-0000CA310000}"/>
    <cellStyle name="Normal 2 2 3 6 5" xfId="13185" xr:uid="{00000000-0005-0000-0000-0000CB310000}"/>
    <cellStyle name="Normal 2 2 3 6 5 2" xfId="29725" xr:uid="{00000000-0005-0000-0000-0000CC310000}"/>
    <cellStyle name="Normal 2 2 3 6 6" xfId="21682" xr:uid="{00000000-0005-0000-0000-0000CD310000}"/>
    <cellStyle name="Normal 2 2 3 7" xfId="3568" xr:uid="{00000000-0005-0000-0000-0000CE310000}"/>
    <cellStyle name="Normal 2 2 3 7 2" xfId="3569" xr:uid="{00000000-0005-0000-0000-0000CF310000}"/>
    <cellStyle name="Normal 2 2 3 7 2 2" xfId="7708" xr:uid="{00000000-0005-0000-0000-0000D0310000}"/>
    <cellStyle name="Normal 2 2 3 7 2 2 2" xfId="17068" xr:uid="{00000000-0005-0000-0000-0000D1310000}"/>
    <cellStyle name="Normal 2 2 3 7 2 2 2 2" xfId="33642" xr:uid="{00000000-0005-0000-0000-0000D2310000}"/>
    <cellStyle name="Normal 2 2 3 7 2 2 3" xfId="25595" xr:uid="{00000000-0005-0000-0000-0000D3310000}"/>
    <cellStyle name="Normal 2 2 3 7 2 3" xfId="13190" xr:uid="{00000000-0005-0000-0000-0000D4310000}"/>
    <cellStyle name="Normal 2 2 3 7 2 3 2" xfId="29730" xr:uid="{00000000-0005-0000-0000-0000D5310000}"/>
    <cellStyle name="Normal 2 2 3 7 2 4" xfId="21687" xr:uid="{00000000-0005-0000-0000-0000D6310000}"/>
    <cellStyle name="Normal 2 2 3 7 3" xfId="7709" xr:uid="{00000000-0005-0000-0000-0000D7310000}"/>
    <cellStyle name="Normal 2 2 3 7 3 2" xfId="17069" xr:uid="{00000000-0005-0000-0000-0000D8310000}"/>
    <cellStyle name="Normal 2 2 3 7 3 2 2" xfId="33643" xr:uid="{00000000-0005-0000-0000-0000D9310000}"/>
    <cellStyle name="Normal 2 2 3 7 3 3" xfId="25596" xr:uid="{00000000-0005-0000-0000-0000DA310000}"/>
    <cellStyle name="Normal 2 2 3 7 4" xfId="13189" xr:uid="{00000000-0005-0000-0000-0000DB310000}"/>
    <cellStyle name="Normal 2 2 3 7 4 2" xfId="29729" xr:uid="{00000000-0005-0000-0000-0000DC310000}"/>
    <cellStyle name="Normal 2 2 3 7 5" xfId="21686" xr:uid="{00000000-0005-0000-0000-0000DD310000}"/>
    <cellStyle name="Normal 2 2 3 8" xfId="3570" xr:uid="{00000000-0005-0000-0000-0000DE310000}"/>
    <cellStyle name="Normal 2 2 3 8 2" xfId="7710" xr:uid="{00000000-0005-0000-0000-0000DF310000}"/>
    <cellStyle name="Normal 2 2 3 8 2 2" xfId="17070" xr:uid="{00000000-0005-0000-0000-0000E0310000}"/>
    <cellStyle name="Normal 2 2 3 8 2 2 2" xfId="33644" xr:uid="{00000000-0005-0000-0000-0000E1310000}"/>
    <cellStyle name="Normal 2 2 3 8 2 3" xfId="25597" xr:uid="{00000000-0005-0000-0000-0000E2310000}"/>
    <cellStyle name="Normal 2 2 3 8 3" xfId="13191" xr:uid="{00000000-0005-0000-0000-0000E3310000}"/>
    <cellStyle name="Normal 2 2 3 8 3 2" xfId="29731" xr:uid="{00000000-0005-0000-0000-0000E4310000}"/>
    <cellStyle name="Normal 2 2 3 8 4" xfId="21688" xr:uid="{00000000-0005-0000-0000-0000E5310000}"/>
    <cellStyle name="Normal 2 2 3 9" xfId="7711" xr:uid="{00000000-0005-0000-0000-0000E6310000}"/>
    <cellStyle name="Normal 2 2 3 9 2" xfId="17071" xr:uid="{00000000-0005-0000-0000-0000E7310000}"/>
    <cellStyle name="Normal 2 2 3 9 2 2" xfId="33645" xr:uid="{00000000-0005-0000-0000-0000E8310000}"/>
    <cellStyle name="Normal 2 2 3 9 3" xfId="25598" xr:uid="{00000000-0005-0000-0000-0000E9310000}"/>
    <cellStyle name="Normal 2 2 4" xfId="209" xr:uid="{00000000-0005-0000-0000-0000EA310000}"/>
    <cellStyle name="Normal 2 2 4 2" xfId="210" xr:uid="{00000000-0005-0000-0000-0000EB310000}"/>
    <cellStyle name="Normal 2 2 4 2 2" xfId="3571" xr:uid="{00000000-0005-0000-0000-0000EC310000}"/>
    <cellStyle name="Normal 2 2 5" xfId="211" xr:uid="{00000000-0005-0000-0000-0000ED310000}"/>
    <cellStyle name="Normal 2 2 5 2" xfId="3573" xr:uid="{00000000-0005-0000-0000-0000EE310000}"/>
    <cellStyle name="Normal 2 2 5 2 2" xfId="3574" xr:uid="{00000000-0005-0000-0000-0000EF310000}"/>
    <cellStyle name="Normal 2 2 5 2 2 2" xfId="3575" xr:uid="{00000000-0005-0000-0000-0000F0310000}"/>
    <cellStyle name="Normal 2 2 5 2 2 2 2" xfId="7712" xr:uid="{00000000-0005-0000-0000-0000F1310000}"/>
    <cellStyle name="Normal 2 2 5 2 2 2 2 2" xfId="17072" xr:uid="{00000000-0005-0000-0000-0000F2310000}"/>
    <cellStyle name="Normal 2 2 5 2 2 2 2 2 2" xfId="33646" xr:uid="{00000000-0005-0000-0000-0000F3310000}"/>
    <cellStyle name="Normal 2 2 5 2 2 2 2 3" xfId="25599" xr:uid="{00000000-0005-0000-0000-0000F4310000}"/>
    <cellStyle name="Normal 2 2 5 2 2 2 3" xfId="13194" xr:uid="{00000000-0005-0000-0000-0000F5310000}"/>
    <cellStyle name="Normal 2 2 5 2 2 2 3 2" xfId="29735" xr:uid="{00000000-0005-0000-0000-0000F6310000}"/>
    <cellStyle name="Normal 2 2 5 2 2 2 4" xfId="21692" xr:uid="{00000000-0005-0000-0000-0000F7310000}"/>
    <cellStyle name="Normal 2 2 5 2 2 3" xfId="7713" xr:uid="{00000000-0005-0000-0000-0000F8310000}"/>
    <cellStyle name="Normal 2 2 5 2 2 3 2" xfId="17073" xr:uid="{00000000-0005-0000-0000-0000F9310000}"/>
    <cellStyle name="Normal 2 2 5 2 2 3 2 2" xfId="33647" xr:uid="{00000000-0005-0000-0000-0000FA310000}"/>
    <cellStyle name="Normal 2 2 5 2 2 3 3" xfId="25600" xr:uid="{00000000-0005-0000-0000-0000FB310000}"/>
    <cellStyle name="Normal 2 2 5 2 2 4" xfId="13193" xr:uid="{00000000-0005-0000-0000-0000FC310000}"/>
    <cellStyle name="Normal 2 2 5 2 2 4 2" xfId="29734" xr:uid="{00000000-0005-0000-0000-0000FD310000}"/>
    <cellStyle name="Normal 2 2 5 2 2 5" xfId="21691" xr:uid="{00000000-0005-0000-0000-0000FE310000}"/>
    <cellStyle name="Normal 2 2 5 2 3" xfId="3576" xr:uid="{00000000-0005-0000-0000-0000FF310000}"/>
    <cellStyle name="Normal 2 2 5 2 3 2" xfId="7714" xr:uid="{00000000-0005-0000-0000-000000320000}"/>
    <cellStyle name="Normal 2 2 5 2 3 2 2" xfId="17074" xr:uid="{00000000-0005-0000-0000-000001320000}"/>
    <cellStyle name="Normal 2 2 5 2 3 2 2 2" xfId="33648" xr:uid="{00000000-0005-0000-0000-000002320000}"/>
    <cellStyle name="Normal 2 2 5 2 3 2 3" xfId="25601" xr:uid="{00000000-0005-0000-0000-000003320000}"/>
    <cellStyle name="Normal 2 2 5 2 3 3" xfId="13195" xr:uid="{00000000-0005-0000-0000-000004320000}"/>
    <cellStyle name="Normal 2 2 5 2 3 3 2" xfId="29736" xr:uid="{00000000-0005-0000-0000-000005320000}"/>
    <cellStyle name="Normal 2 2 5 2 3 4" xfId="21693" xr:uid="{00000000-0005-0000-0000-000006320000}"/>
    <cellStyle name="Normal 2 2 5 2 4" xfId="7715" xr:uid="{00000000-0005-0000-0000-000007320000}"/>
    <cellStyle name="Normal 2 2 5 2 4 2" xfId="17075" xr:uid="{00000000-0005-0000-0000-000008320000}"/>
    <cellStyle name="Normal 2 2 5 2 4 2 2" xfId="33649" xr:uid="{00000000-0005-0000-0000-000009320000}"/>
    <cellStyle name="Normal 2 2 5 2 4 3" xfId="25602" xr:uid="{00000000-0005-0000-0000-00000A320000}"/>
    <cellStyle name="Normal 2 2 5 2 5" xfId="13192" xr:uid="{00000000-0005-0000-0000-00000B320000}"/>
    <cellStyle name="Normal 2 2 5 2 5 2" xfId="29733" xr:uid="{00000000-0005-0000-0000-00000C320000}"/>
    <cellStyle name="Normal 2 2 5 2 6" xfId="21690" xr:uid="{00000000-0005-0000-0000-00000D320000}"/>
    <cellStyle name="Normal 2 2 5 3" xfId="3577" xr:uid="{00000000-0005-0000-0000-00000E320000}"/>
    <cellStyle name="Normal 2 2 5 3 2" xfId="3578" xr:uid="{00000000-0005-0000-0000-00000F320000}"/>
    <cellStyle name="Normal 2 2 5 3 2 2" xfId="7716" xr:uid="{00000000-0005-0000-0000-000010320000}"/>
    <cellStyle name="Normal 2 2 5 3 2 2 2" xfId="17076" xr:uid="{00000000-0005-0000-0000-000011320000}"/>
    <cellStyle name="Normal 2 2 5 3 2 2 2 2" xfId="33650" xr:uid="{00000000-0005-0000-0000-000012320000}"/>
    <cellStyle name="Normal 2 2 5 3 2 2 3" xfId="25603" xr:uid="{00000000-0005-0000-0000-000013320000}"/>
    <cellStyle name="Normal 2 2 5 3 2 3" xfId="13197" xr:uid="{00000000-0005-0000-0000-000014320000}"/>
    <cellStyle name="Normal 2 2 5 3 2 3 2" xfId="29738" xr:uid="{00000000-0005-0000-0000-000015320000}"/>
    <cellStyle name="Normal 2 2 5 3 2 4" xfId="21695" xr:uid="{00000000-0005-0000-0000-000016320000}"/>
    <cellStyle name="Normal 2 2 5 3 3" xfId="7717" xr:uid="{00000000-0005-0000-0000-000017320000}"/>
    <cellStyle name="Normal 2 2 5 3 3 2" xfId="17077" xr:uid="{00000000-0005-0000-0000-000018320000}"/>
    <cellStyle name="Normal 2 2 5 3 3 2 2" xfId="33651" xr:uid="{00000000-0005-0000-0000-000019320000}"/>
    <cellStyle name="Normal 2 2 5 3 3 3" xfId="25604" xr:uid="{00000000-0005-0000-0000-00001A320000}"/>
    <cellStyle name="Normal 2 2 5 3 4" xfId="13196" xr:uid="{00000000-0005-0000-0000-00001B320000}"/>
    <cellStyle name="Normal 2 2 5 3 4 2" xfId="29737" xr:uid="{00000000-0005-0000-0000-00001C320000}"/>
    <cellStyle name="Normal 2 2 5 3 5" xfId="21694" xr:uid="{00000000-0005-0000-0000-00001D320000}"/>
    <cellStyle name="Normal 2 2 5 4" xfId="3579" xr:uid="{00000000-0005-0000-0000-00001E320000}"/>
    <cellStyle name="Normal 2 2 5 4 2" xfId="7718" xr:uid="{00000000-0005-0000-0000-00001F320000}"/>
    <cellStyle name="Normal 2 2 5 4 2 2" xfId="17078" xr:uid="{00000000-0005-0000-0000-000020320000}"/>
    <cellStyle name="Normal 2 2 5 4 2 2 2" xfId="33652" xr:uid="{00000000-0005-0000-0000-000021320000}"/>
    <cellStyle name="Normal 2 2 5 4 2 3" xfId="25605" xr:uid="{00000000-0005-0000-0000-000022320000}"/>
    <cellStyle name="Normal 2 2 5 4 3" xfId="13198" xr:uid="{00000000-0005-0000-0000-000023320000}"/>
    <cellStyle name="Normal 2 2 5 4 3 2" xfId="29739" xr:uid="{00000000-0005-0000-0000-000024320000}"/>
    <cellStyle name="Normal 2 2 5 4 4" xfId="21696" xr:uid="{00000000-0005-0000-0000-000025320000}"/>
    <cellStyle name="Normal 2 2 5 5" xfId="7719" xr:uid="{00000000-0005-0000-0000-000026320000}"/>
    <cellStyle name="Normal 2 2 5 5 2" xfId="17079" xr:uid="{00000000-0005-0000-0000-000027320000}"/>
    <cellStyle name="Normal 2 2 5 5 2 2" xfId="33653" xr:uid="{00000000-0005-0000-0000-000028320000}"/>
    <cellStyle name="Normal 2 2 5 5 3" xfId="25606" xr:uid="{00000000-0005-0000-0000-000029320000}"/>
    <cellStyle name="Normal 2 2 5 6" xfId="3572" xr:uid="{00000000-0005-0000-0000-00002A320000}"/>
    <cellStyle name="Normal 2 2 5 6 2" xfId="29732" xr:uid="{00000000-0005-0000-0000-00002B320000}"/>
    <cellStyle name="Normal 2 2 5 7" xfId="21689" xr:uid="{00000000-0005-0000-0000-00002C320000}"/>
    <cellStyle name="Normal 2 2 6" xfId="375" xr:uid="{00000000-0005-0000-0000-00002D320000}"/>
    <cellStyle name="Normal 2 2 6 2" xfId="3581" xr:uid="{00000000-0005-0000-0000-00002E320000}"/>
    <cellStyle name="Normal 2 2 6 2 2" xfId="3582" xr:uid="{00000000-0005-0000-0000-00002F320000}"/>
    <cellStyle name="Normal 2 2 6 2 2 2" xfId="3583" xr:uid="{00000000-0005-0000-0000-000030320000}"/>
    <cellStyle name="Normal 2 2 6 2 2 2 2" xfId="7720" xr:uid="{00000000-0005-0000-0000-000031320000}"/>
    <cellStyle name="Normal 2 2 6 2 2 2 2 2" xfId="17080" xr:uid="{00000000-0005-0000-0000-000032320000}"/>
    <cellStyle name="Normal 2 2 6 2 2 2 2 2 2" xfId="33654" xr:uid="{00000000-0005-0000-0000-000033320000}"/>
    <cellStyle name="Normal 2 2 6 2 2 2 2 3" xfId="25607" xr:uid="{00000000-0005-0000-0000-000034320000}"/>
    <cellStyle name="Normal 2 2 6 2 2 2 3" xfId="13201" xr:uid="{00000000-0005-0000-0000-000035320000}"/>
    <cellStyle name="Normal 2 2 6 2 2 2 3 2" xfId="29742" xr:uid="{00000000-0005-0000-0000-000036320000}"/>
    <cellStyle name="Normal 2 2 6 2 2 2 4" xfId="21699" xr:uid="{00000000-0005-0000-0000-000037320000}"/>
    <cellStyle name="Normal 2 2 6 2 2 3" xfId="7721" xr:uid="{00000000-0005-0000-0000-000038320000}"/>
    <cellStyle name="Normal 2 2 6 2 2 3 2" xfId="17081" xr:uid="{00000000-0005-0000-0000-000039320000}"/>
    <cellStyle name="Normal 2 2 6 2 2 3 2 2" xfId="33655" xr:uid="{00000000-0005-0000-0000-00003A320000}"/>
    <cellStyle name="Normal 2 2 6 2 2 3 3" xfId="25608" xr:uid="{00000000-0005-0000-0000-00003B320000}"/>
    <cellStyle name="Normal 2 2 6 2 2 4" xfId="13200" xr:uid="{00000000-0005-0000-0000-00003C320000}"/>
    <cellStyle name="Normal 2 2 6 2 2 4 2" xfId="29741" xr:uid="{00000000-0005-0000-0000-00003D320000}"/>
    <cellStyle name="Normal 2 2 6 2 2 5" xfId="21698" xr:uid="{00000000-0005-0000-0000-00003E320000}"/>
    <cellStyle name="Normal 2 2 6 2 3" xfId="3584" xr:uid="{00000000-0005-0000-0000-00003F320000}"/>
    <cellStyle name="Normal 2 2 6 2 3 2" xfId="7722" xr:uid="{00000000-0005-0000-0000-000040320000}"/>
    <cellStyle name="Normal 2 2 6 2 3 2 2" xfId="17082" xr:uid="{00000000-0005-0000-0000-000041320000}"/>
    <cellStyle name="Normal 2 2 6 2 3 2 2 2" xfId="33656" xr:uid="{00000000-0005-0000-0000-000042320000}"/>
    <cellStyle name="Normal 2 2 6 2 3 2 3" xfId="25609" xr:uid="{00000000-0005-0000-0000-000043320000}"/>
    <cellStyle name="Normal 2 2 6 2 3 3" xfId="13202" xr:uid="{00000000-0005-0000-0000-000044320000}"/>
    <cellStyle name="Normal 2 2 6 2 3 3 2" xfId="29743" xr:uid="{00000000-0005-0000-0000-000045320000}"/>
    <cellStyle name="Normal 2 2 6 2 3 4" xfId="21700" xr:uid="{00000000-0005-0000-0000-000046320000}"/>
    <cellStyle name="Normal 2 2 6 2 4" xfId="7723" xr:uid="{00000000-0005-0000-0000-000047320000}"/>
    <cellStyle name="Normal 2 2 6 2 4 2" xfId="17083" xr:uid="{00000000-0005-0000-0000-000048320000}"/>
    <cellStyle name="Normal 2 2 6 2 4 2 2" xfId="33657" xr:uid="{00000000-0005-0000-0000-000049320000}"/>
    <cellStyle name="Normal 2 2 6 2 4 3" xfId="25610" xr:uid="{00000000-0005-0000-0000-00004A320000}"/>
    <cellStyle name="Normal 2 2 6 2 5" xfId="13199" xr:uid="{00000000-0005-0000-0000-00004B320000}"/>
    <cellStyle name="Normal 2 2 6 2 5 2" xfId="29740" xr:uid="{00000000-0005-0000-0000-00004C320000}"/>
    <cellStyle name="Normal 2 2 6 2 6" xfId="21697" xr:uid="{00000000-0005-0000-0000-00004D320000}"/>
    <cellStyle name="Normal 2 2 6 3" xfId="3585" xr:uid="{00000000-0005-0000-0000-00004E320000}"/>
    <cellStyle name="Normal 2 2 6 3 2" xfId="3586" xr:uid="{00000000-0005-0000-0000-00004F320000}"/>
    <cellStyle name="Normal 2 2 6 3 2 2" xfId="7724" xr:uid="{00000000-0005-0000-0000-000050320000}"/>
    <cellStyle name="Normal 2 2 6 3 2 2 2" xfId="17084" xr:uid="{00000000-0005-0000-0000-000051320000}"/>
    <cellStyle name="Normal 2 2 6 3 2 2 2 2" xfId="33658" xr:uid="{00000000-0005-0000-0000-000052320000}"/>
    <cellStyle name="Normal 2 2 6 3 2 2 3" xfId="25611" xr:uid="{00000000-0005-0000-0000-000053320000}"/>
    <cellStyle name="Normal 2 2 6 3 2 3" xfId="13204" xr:uid="{00000000-0005-0000-0000-000054320000}"/>
    <cellStyle name="Normal 2 2 6 3 2 3 2" xfId="29745" xr:uid="{00000000-0005-0000-0000-000055320000}"/>
    <cellStyle name="Normal 2 2 6 3 2 4" xfId="21702" xr:uid="{00000000-0005-0000-0000-000056320000}"/>
    <cellStyle name="Normal 2 2 6 3 3" xfId="7725" xr:uid="{00000000-0005-0000-0000-000057320000}"/>
    <cellStyle name="Normal 2 2 6 3 3 2" xfId="17085" xr:uid="{00000000-0005-0000-0000-000058320000}"/>
    <cellStyle name="Normal 2 2 6 3 3 2 2" xfId="33659" xr:uid="{00000000-0005-0000-0000-000059320000}"/>
    <cellStyle name="Normal 2 2 6 3 3 3" xfId="25612" xr:uid="{00000000-0005-0000-0000-00005A320000}"/>
    <cellStyle name="Normal 2 2 6 3 4" xfId="13203" xr:uid="{00000000-0005-0000-0000-00005B320000}"/>
    <cellStyle name="Normal 2 2 6 3 4 2" xfId="29744" xr:uid="{00000000-0005-0000-0000-00005C320000}"/>
    <cellStyle name="Normal 2 2 6 3 5" xfId="21701" xr:uid="{00000000-0005-0000-0000-00005D320000}"/>
    <cellStyle name="Normal 2 2 6 4" xfId="3587" xr:uid="{00000000-0005-0000-0000-00005E320000}"/>
    <cellStyle name="Normal 2 2 6 4 2" xfId="7726" xr:uid="{00000000-0005-0000-0000-00005F320000}"/>
    <cellStyle name="Normal 2 2 6 4 2 2" xfId="17086" xr:uid="{00000000-0005-0000-0000-000060320000}"/>
    <cellStyle name="Normal 2 2 6 4 2 2 2" xfId="33660" xr:uid="{00000000-0005-0000-0000-000061320000}"/>
    <cellStyle name="Normal 2 2 6 4 2 3" xfId="25613" xr:uid="{00000000-0005-0000-0000-000062320000}"/>
    <cellStyle name="Normal 2 2 6 4 3" xfId="13205" xr:uid="{00000000-0005-0000-0000-000063320000}"/>
    <cellStyle name="Normal 2 2 6 4 3 2" xfId="29746" xr:uid="{00000000-0005-0000-0000-000064320000}"/>
    <cellStyle name="Normal 2 2 6 4 4" xfId="21703" xr:uid="{00000000-0005-0000-0000-000065320000}"/>
    <cellStyle name="Normal 2 2 6 5" xfId="3588" xr:uid="{00000000-0005-0000-0000-000066320000}"/>
    <cellStyle name="Normal 2 2 6 5 2" xfId="13206" xr:uid="{00000000-0005-0000-0000-000067320000}"/>
    <cellStyle name="Normal 2 2 6 5 2 2" xfId="29747" xr:uid="{00000000-0005-0000-0000-000068320000}"/>
    <cellStyle name="Normal 2 2 6 5 3" xfId="21704" xr:uid="{00000000-0005-0000-0000-000069320000}"/>
    <cellStyle name="Normal 2 2 6 6" xfId="3580" xr:uid="{00000000-0005-0000-0000-00006A320000}"/>
    <cellStyle name="Normal 2 2 7" xfId="1716" xr:uid="{00000000-0005-0000-0000-00006B320000}"/>
    <cellStyle name="Normal 2 2 7 2" xfId="3590" xr:uid="{00000000-0005-0000-0000-00006C320000}"/>
    <cellStyle name="Normal 2 2 7 2 2" xfId="3591" xr:uid="{00000000-0005-0000-0000-00006D320000}"/>
    <cellStyle name="Normal 2 2 7 2 2 2" xfId="3592" xr:uid="{00000000-0005-0000-0000-00006E320000}"/>
    <cellStyle name="Normal 2 2 7 2 2 2 2" xfId="7727" xr:uid="{00000000-0005-0000-0000-00006F320000}"/>
    <cellStyle name="Normal 2 2 7 2 2 2 2 2" xfId="17087" xr:uid="{00000000-0005-0000-0000-000070320000}"/>
    <cellStyle name="Normal 2 2 7 2 2 2 2 2 2" xfId="33661" xr:uid="{00000000-0005-0000-0000-000071320000}"/>
    <cellStyle name="Normal 2 2 7 2 2 2 2 3" xfId="25614" xr:uid="{00000000-0005-0000-0000-000072320000}"/>
    <cellStyle name="Normal 2 2 7 2 2 2 3" xfId="13209" xr:uid="{00000000-0005-0000-0000-000073320000}"/>
    <cellStyle name="Normal 2 2 7 2 2 2 3 2" xfId="29751" xr:uid="{00000000-0005-0000-0000-000074320000}"/>
    <cellStyle name="Normal 2 2 7 2 2 2 4" xfId="21708" xr:uid="{00000000-0005-0000-0000-000075320000}"/>
    <cellStyle name="Normal 2 2 7 2 2 3" xfId="7728" xr:uid="{00000000-0005-0000-0000-000076320000}"/>
    <cellStyle name="Normal 2 2 7 2 2 3 2" xfId="17088" xr:uid="{00000000-0005-0000-0000-000077320000}"/>
    <cellStyle name="Normal 2 2 7 2 2 3 2 2" xfId="33662" xr:uid="{00000000-0005-0000-0000-000078320000}"/>
    <cellStyle name="Normal 2 2 7 2 2 3 3" xfId="25615" xr:uid="{00000000-0005-0000-0000-000079320000}"/>
    <cellStyle name="Normal 2 2 7 2 2 4" xfId="13208" xr:uid="{00000000-0005-0000-0000-00007A320000}"/>
    <cellStyle name="Normal 2 2 7 2 2 4 2" xfId="29750" xr:uid="{00000000-0005-0000-0000-00007B320000}"/>
    <cellStyle name="Normal 2 2 7 2 2 5" xfId="21707" xr:uid="{00000000-0005-0000-0000-00007C320000}"/>
    <cellStyle name="Normal 2 2 7 2 3" xfId="3593" xr:uid="{00000000-0005-0000-0000-00007D320000}"/>
    <cellStyle name="Normal 2 2 7 2 3 2" xfId="7729" xr:uid="{00000000-0005-0000-0000-00007E320000}"/>
    <cellStyle name="Normal 2 2 7 2 3 2 2" xfId="17089" xr:uid="{00000000-0005-0000-0000-00007F320000}"/>
    <cellStyle name="Normal 2 2 7 2 3 2 2 2" xfId="33663" xr:uid="{00000000-0005-0000-0000-000080320000}"/>
    <cellStyle name="Normal 2 2 7 2 3 2 3" xfId="25616" xr:uid="{00000000-0005-0000-0000-000081320000}"/>
    <cellStyle name="Normal 2 2 7 2 3 3" xfId="13210" xr:uid="{00000000-0005-0000-0000-000082320000}"/>
    <cellStyle name="Normal 2 2 7 2 3 3 2" xfId="29752" xr:uid="{00000000-0005-0000-0000-000083320000}"/>
    <cellStyle name="Normal 2 2 7 2 3 4" xfId="21709" xr:uid="{00000000-0005-0000-0000-000084320000}"/>
    <cellStyle name="Normal 2 2 7 2 4" xfId="7730" xr:uid="{00000000-0005-0000-0000-000085320000}"/>
    <cellStyle name="Normal 2 2 7 2 4 2" xfId="17090" xr:uid="{00000000-0005-0000-0000-000086320000}"/>
    <cellStyle name="Normal 2 2 7 2 4 2 2" xfId="33664" xr:uid="{00000000-0005-0000-0000-000087320000}"/>
    <cellStyle name="Normal 2 2 7 2 4 3" xfId="25617" xr:uid="{00000000-0005-0000-0000-000088320000}"/>
    <cellStyle name="Normal 2 2 7 2 5" xfId="13207" xr:uid="{00000000-0005-0000-0000-000089320000}"/>
    <cellStyle name="Normal 2 2 7 2 5 2" xfId="29749" xr:uid="{00000000-0005-0000-0000-00008A320000}"/>
    <cellStyle name="Normal 2 2 7 2 6" xfId="21706" xr:uid="{00000000-0005-0000-0000-00008B320000}"/>
    <cellStyle name="Normal 2 2 7 3" xfId="3594" xr:uid="{00000000-0005-0000-0000-00008C320000}"/>
    <cellStyle name="Normal 2 2 7 3 2" xfId="3595" xr:uid="{00000000-0005-0000-0000-00008D320000}"/>
    <cellStyle name="Normal 2 2 7 3 2 2" xfId="7731" xr:uid="{00000000-0005-0000-0000-00008E320000}"/>
    <cellStyle name="Normal 2 2 7 3 2 2 2" xfId="17091" xr:uid="{00000000-0005-0000-0000-00008F320000}"/>
    <cellStyle name="Normal 2 2 7 3 2 2 2 2" xfId="33665" xr:uid="{00000000-0005-0000-0000-000090320000}"/>
    <cellStyle name="Normal 2 2 7 3 2 2 3" xfId="25618" xr:uid="{00000000-0005-0000-0000-000091320000}"/>
    <cellStyle name="Normal 2 2 7 3 2 3" xfId="13212" xr:uid="{00000000-0005-0000-0000-000092320000}"/>
    <cellStyle name="Normal 2 2 7 3 2 3 2" xfId="29754" xr:uid="{00000000-0005-0000-0000-000093320000}"/>
    <cellStyle name="Normal 2 2 7 3 2 4" xfId="21711" xr:uid="{00000000-0005-0000-0000-000094320000}"/>
    <cellStyle name="Normal 2 2 7 3 3" xfId="7732" xr:uid="{00000000-0005-0000-0000-000095320000}"/>
    <cellStyle name="Normal 2 2 7 3 3 2" xfId="17092" xr:uid="{00000000-0005-0000-0000-000096320000}"/>
    <cellStyle name="Normal 2 2 7 3 3 2 2" xfId="33666" xr:uid="{00000000-0005-0000-0000-000097320000}"/>
    <cellStyle name="Normal 2 2 7 3 3 3" xfId="25619" xr:uid="{00000000-0005-0000-0000-000098320000}"/>
    <cellStyle name="Normal 2 2 7 3 4" xfId="13211" xr:uid="{00000000-0005-0000-0000-000099320000}"/>
    <cellStyle name="Normal 2 2 7 3 4 2" xfId="29753" xr:uid="{00000000-0005-0000-0000-00009A320000}"/>
    <cellStyle name="Normal 2 2 7 3 5" xfId="21710" xr:uid="{00000000-0005-0000-0000-00009B320000}"/>
    <cellStyle name="Normal 2 2 7 4" xfId="3596" xr:uid="{00000000-0005-0000-0000-00009C320000}"/>
    <cellStyle name="Normal 2 2 7 4 2" xfId="7733" xr:uid="{00000000-0005-0000-0000-00009D320000}"/>
    <cellStyle name="Normal 2 2 7 4 2 2" xfId="17093" xr:uid="{00000000-0005-0000-0000-00009E320000}"/>
    <cellStyle name="Normal 2 2 7 4 2 2 2" xfId="33667" xr:uid="{00000000-0005-0000-0000-00009F320000}"/>
    <cellStyle name="Normal 2 2 7 4 2 3" xfId="25620" xr:uid="{00000000-0005-0000-0000-0000A0320000}"/>
    <cellStyle name="Normal 2 2 7 4 3" xfId="13213" xr:uid="{00000000-0005-0000-0000-0000A1320000}"/>
    <cellStyle name="Normal 2 2 7 4 3 2" xfId="29755" xr:uid="{00000000-0005-0000-0000-0000A2320000}"/>
    <cellStyle name="Normal 2 2 7 4 4" xfId="21712" xr:uid="{00000000-0005-0000-0000-0000A3320000}"/>
    <cellStyle name="Normal 2 2 7 5" xfId="7734" xr:uid="{00000000-0005-0000-0000-0000A4320000}"/>
    <cellStyle name="Normal 2 2 7 5 2" xfId="17094" xr:uid="{00000000-0005-0000-0000-0000A5320000}"/>
    <cellStyle name="Normal 2 2 7 5 2 2" xfId="33668" xr:uid="{00000000-0005-0000-0000-0000A6320000}"/>
    <cellStyle name="Normal 2 2 7 5 3" xfId="25621" xr:uid="{00000000-0005-0000-0000-0000A7320000}"/>
    <cellStyle name="Normal 2 2 7 6" xfId="3589" xr:uid="{00000000-0005-0000-0000-0000A8320000}"/>
    <cellStyle name="Normal 2 2 7 6 2" xfId="29748" xr:uid="{00000000-0005-0000-0000-0000A9320000}"/>
    <cellStyle name="Normal 2 2 7 7" xfId="21705" xr:uid="{00000000-0005-0000-0000-0000AA320000}"/>
    <cellStyle name="Normal 2 2 8" xfId="1674" xr:uid="{00000000-0005-0000-0000-0000AB320000}"/>
    <cellStyle name="Normal 2 2 8 2" xfId="3598" xr:uid="{00000000-0005-0000-0000-0000AC320000}"/>
    <cellStyle name="Normal 2 2 8 2 2" xfId="3599" xr:uid="{00000000-0005-0000-0000-0000AD320000}"/>
    <cellStyle name="Normal 2 2 8 2 2 2" xfId="7735" xr:uid="{00000000-0005-0000-0000-0000AE320000}"/>
    <cellStyle name="Normal 2 2 8 2 2 2 2" xfId="17095" xr:uid="{00000000-0005-0000-0000-0000AF320000}"/>
    <cellStyle name="Normal 2 2 8 2 2 2 2 2" xfId="33669" xr:uid="{00000000-0005-0000-0000-0000B0320000}"/>
    <cellStyle name="Normal 2 2 8 2 2 2 3" xfId="25622" xr:uid="{00000000-0005-0000-0000-0000B1320000}"/>
    <cellStyle name="Normal 2 2 8 2 2 3" xfId="13215" xr:uid="{00000000-0005-0000-0000-0000B2320000}"/>
    <cellStyle name="Normal 2 2 8 2 2 3 2" xfId="29758" xr:uid="{00000000-0005-0000-0000-0000B3320000}"/>
    <cellStyle name="Normal 2 2 8 2 2 4" xfId="21715" xr:uid="{00000000-0005-0000-0000-0000B4320000}"/>
    <cellStyle name="Normal 2 2 8 2 3" xfId="7736" xr:uid="{00000000-0005-0000-0000-0000B5320000}"/>
    <cellStyle name="Normal 2 2 8 2 3 2" xfId="17096" xr:uid="{00000000-0005-0000-0000-0000B6320000}"/>
    <cellStyle name="Normal 2 2 8 2 3 2 2" xfId="33670" xr:uid="{00000000-0005-0000-0000-0000B7320000}"/>
    <cellStyle name="Normal 2 2 8 2 3 3" xfId="25623" xr:uid="{00000000-0005-0000-0000-0000B8320000}"/>
    <cellStyle name="Normal 2 2 8 2 4" xfId="13214" xr:uid="{00000000-0005-0000-0000-0000B9320000}"/>
    <cellStyle name="Normal 2 2 8 2 4 2" xfId="29757" xr:uid="{00000000-0005-0000-0000-0000BA320000}"/>
    <cellStyle name="Normal 2 2 8 2 5" xfId="21714" xr:uid="{00000000-0005-0000-0000-0000BB320000}"/>
    <cellStyle name="Normal 2 2 8 3" xfId="3600" xr:uid="{00000000-0005-0000-0000-0000BC320000}"/>
    <cellStyle name="Normal 2 2 8 3 2" xfId="7737" xr:uid="{00000000-0005-0000-0000-0000BD320000}"/>
    <cellStyle name="Normal 2 2 8 3 2 2" xfId="17097" xr:uid="{00000000-0005-0000-0000-0000BE320000}"/>
    <cellStyle name="Normal 2 2 8 3 2 2 2" xfId="33671" xr:uid="{00000000-0005-0000-0000-0000BF320000}"/>
    <cellStyle name="Normal 2 2 8 3 2 3" xfId="25624" xr:uid="{00000000-0005-0000-0000-0000C0320000}"/>
    <cellStyle name="Normal 2 2 8 3 3" xfId="13216" xr:uid="{00000000-0005-0000-0000-0000C1320000}"/>
    <cellStyle name="Normal 2 2 8 3 3 2" xfId="29759" xr:uid="{00000000-0005-0000-0000-0000C2320000}"/>
    <cellStyle name="Normal 2 2 8 3 4" xfId="21716" xr:uid="{00000000-0005-0000-0000-0000C3320000}"/>
    <cellStyle name="Normal 2 2 8 4" xfId="7738" xr:uid="{00000000-0005-0000-0000-0000C4320000}"/>
    <cellStyle name="Normal 2 2 8 4 2" xfId="17098" xr:uid="{00000000-0005-0000-0000-0000C5320000}"/>
    <cellStyle name="Normal 2 2 8 4 2 2" xfId="33672" xr:uid="{00000000-0005-0000-0000-0000C6320000}"/>
    <cellStyle name="Normal 2 2 8 4 3" xfId="25625" xr:uid="{00000000-0005-0000-0000-0000C7320000}"/>
    <cellStyle name="Normal 2 2 8 5" xfId="3597" xr:uid="{00000000-0005-0000-0000-0000C8320000}"/>
    <cellStyle name="Normal 2 2 8 5 2" xfId="29756" xr:uid="{00000000-0005-0000-0000-0000C9320000}"/>
    <cellStyle name="Normal 2 2 8 6" xfId="21713" xr:uid="{00000000-0005-0000-0000-0000CA320000}"/>
    <cellStyle name="Normal 2 2 9" xfId="3601" xr:uid="{00000000-0005-0000-0000-0000CB320000}"/>
    <cellStyle name="Normal 2 2 9 2" xfId="3602" xr:uid="{00000000-0005-0000-0000-0000CC320000}"/>
    <cellStyle name="Normal 2 2 9 2 2" xfId="7739" xr:uid="{00000000-0005-0000-0000-0000CD320000}"/>
    <cellStyle name="Normal 2 2 9 2 2 2" xfId="17099" xr:uid="{00000000-0005-0000-0000-0000CE320000}"/>
    <cellStyle name="Normal 2 2 9 2 2 2 2" xfId="33673" xr:uid="{00000000-0005-0000-0000-0000CF320000}"/>
    <cellStyle name="Normal 2 2 9 2 2 3" xfId="25626" xr:uid="{00000000-0005-0000-0000-0000D0320000}"/>
    <cellStyle name="Normal 2 2 9 2 3" xfId="13218" xr:uid="{00000000-0005-0000-0000-0000D1320000}"/>
    <cellStyle name="Normal 2 2 9 2 3 2" xfId="29761" xr:uid="{00000000-0005-0000-0000-0000D2320000}"/>
    <cellStyle name="Normal 2 2 9 2 4" xfId="21718" xr:uid="{00000000-0005-0000-0000-0000D3320000}"/>
    <cellStyle name="Normal 2 2 9 3" xfId="7740" xr:uid="{00000000-0005-0000-0000-0000D4320000}"/>
    <cellStyle name="Normal 2 2 9 3 2" xfId="17100" xr:uid="{00000000-0005-0000-0000-0000D5320000}"/>
    <cellStyle name="Normal 2 2 9 3 2 2" xfId="33674" xr:uid="{00000000-0005-0000-0000-0000D6320000}"/>
    <cellStyle name="Normal 2 2 9 3 3" xfId="25627" xr:uid="{00000000-0005-0000-0000-0000D7320000}"/>
    <cellStyle name="Normal 2 2 9 4" xfId="13217" xr:uid="{00000000-0005-0000-0000-0000D8320000}"/>
    <cellStyle name="Normal 2 2 9 4 2" xfId="29760" xr:uid="{00000000-0005-0000-0000-0000D9320000}"/>
    <cellStyle name="Normal 2 2 9 5" xfId="21717" xr:uid="{00000000-0005-0000-0000-0000DA320000}"/>
    <cellStyle name="Normal 2 2_Consultant and Outside Services - Nov 2011" xfId="212" xr:uid="{00000000-0005-0000-0000-0000DB320000}"/>
    <cellStyle name="Normal 2 3" xfId="213" xr:uid="{00000000-0005-0000-0000-0000DC320000}"/>
    <cellStyle name="Normal 2 3 2" xfId="214" xr:uid="{00000000-0005-0000-0000-0000DD320000}"/>
    <cellStyle name="Normal 2 3 2 2" xfId="376" xr:uid="{00000000-0005-0000-0000-0000DE320000}"/>
    <cellStyle name="Normal 2 3 3" xfId="377" xr:uid="{00000000-0005-0000-0000-0000DF320000}"/>
    <cellStyle name="Normal 2 3 3 2" xfId="3604" xr:uid="{00000000-0005-0000-0000-0000E0320000}"/>
    <cellStyle name="Normal 2 3 4" xfId="1717" xr:uid="{00000000-0005-0000-0000-0000E1320000}"/>
    <cellStyle name="Normal 2 3 5" xfId="3603" xr:uid="{00000000-0005-0000-0000-0000E2320000}"/>
    <cellStyle name="Normal 2 3 6" xfId="10899" xr:uid="{00000000-0005-0000-0000-0000E3320000}"/>
    <cellStyle name="Normal 2 3 6 2" xfId="28400" xr:uid="{00000000-0005-0000-0000-0000E4320000}"/>
    <cellStyle name="Normal 2 3 6 3" xfId="11601" xr:uid="{00000000-0005-0000-0000-0000E5320000}"/>
    <cellStyle name="Normal 2 3 7" xfId="2061" xr:uid="{00000000-0005-0000-0000-0000E6320000}"/>
    <cellStyle name="Normal 2 4" xfId="215" xr:uid="{00000000-0005-0000-0000-0000E7320000}"/>
    <cellStyle name="Normal 2 4 2" xfId="216" xr:uid="{00000000-0005-0000-0000-0000E8320000}"/>
    <cellStyle name="Normal 2 4 2 2" xfId="3605" xr:uid="{00000000-0005-0000-0000-0000E9320000}"/>
    <cellStyle name="Normal 2 4 2 2 2" xfId="13219" xr:uid="{00000000-0005-0000-0000-0000EA320000}"/>
    <cellStyle name="Normal 2 4 2 2 2 2" xfId="29762" xr:uid="{00000000-0005-0000-0000-0000EB320000}"/>
    <cellStyle name="Normal 2 4 2 2 3" xfId="21719" xr:uid="{00000000-0005-0000-0000-0000EC320000}"/>
    <cellStyle name="Normal 2 4 3" xfId="3606" xr:uid="{00000000-0005-0000-0000-0000ED320000}"/>
    <cellStyle name="Normal 2 5" xfId="19" xr:uid="{00000000-0005-0000-0000-0000EE320000}"/>
    <cellStyle name="Normal 2 5 2" xfId="3608" xr:uid="{00000000-0005-0000-0000-0000EF320000}"/>
    <cellStyle name="Normal 2 5 3" xfId="3609" xr:uid="{00000000-0005-0000-0000-0000F0320000}"/>
    <cellStyle name="Normal 2 5 4" xfId="3607" xr:uid="{00000000-0005-0000-0000-0000F1320000}"/>
    <cellStyle name="Normal 2 6" xfId="15" xr:uid="{00000000-0005-0000-0000-0000F2320000}"/>
    <cellStyle name="Normal 2 6 2" xfId="3611" xr:uid="{00000000-0005-0000-0000-0000F3320000}"/>
    <cellStyle name="Normal 2 6 3" xfId="3612" xr:uid="{00000000-0005-0000-0000-0000F4320000}"/>
    <cellStyle name="Normal 2 6 4" xfId="3610" xr:uid="{00000000-0005-0000-0000-0000F5320000}"/>
    <cellStyle name="Normal 2 7" xfId="328" xr:uid="{00000000-0005-0000-0000-0000F6320000}"/>
    <cellStyle name="Normal 2 7 2" xfId="3614" xr:uid="{00000000-0005-0000-0000-0000F7320000}"/>
    <cellStyle name="Normal 2 7 3" xfId="3613" xr:uid="{00000000-0005-0000-0000-0000F8320000}"/>
    <cellStyle name="Normal 2 8" xfId="378" xr:uid="{00000000-0005-0000-0000-0000F9320000}"/>
    <cellStyle name="Normal 2 8 2" xfId="3615" xr:uid="{00000000-0005-0000-0000-0000FA320000}"/>
    <cellStyle name="Normal 2 8 2 2" xfId="36892" xr:uid="{00000000-0005-0000-0000-0000FB320000}"/>
    <cellStyle name="Normal 2 8 3" xfId="11124" xr:uid="{00000000-0005-0000-0000-0000FC320000}"/>
    <cellStyle name="Normal 2 8 3 2" xfId="36893" xr:uid="{00000000-0005-0000-0000-0000FD320000}"/>
    <cellStyle name="Normal 2 8 4" xfId="11117" xr:uid="{00000000-0005-0000-0000-0000FE320000}"/>
    <cellStyle name="Normal 2 9" xfId="379" xr:uid="{00000000-0005-0000-0000-0000FF320000}"/>
    <cellStyle name="Normal 2 9 2" xfId="3616" xr:uid="{00000000-0005-0000-0000-000000330000}"/>
    <cellStyle name="Normal 2_BOD Financials_11.15.11" xfId="217" xr:uid="{00000000-0005-0000-0000-000001330000}"/>
    <cellStyle name="Normal 20" xfId="3617" xr:uid="{00000000-0005-0000-0000-000002330000}"/>
    <cellStyle name="Normal 20 10" xfId="13220" xr:uid="{00000000-0005-0000-0000-000003330000}"/>
    <cellStyle name="Normal 20 10 2" xfId="29763" xr:uid="{00000000-0005-0000-0000-000004330000}"/>
    <cellStyle name="Normal 20 11" xfId="21720" xr:uid="{00000000-0005-0000-0000-000005330000}"/>
    <cellStyle name="Normal 20 2" xfId="3618" xr:uid="{00000000-0005-0000-0000-000006330000}"/>
    <cellStyle name="Normal 20 2 2" xfId="3619" xr:uid="{00000000-0005-0000-0000-000007330000}"/>
    <cellStyle name="Normal 20 2 3" xfId="13221" xr:uid="{00000000-0005-0000-0000-000008330000}"/>
    <cellStyle name="Normal 20 2 3 2" xfId="29764" xr:uid="{00000000-0005-0000-0000-000009330000}"/>
    <cellStyle name="Normal 20 2 4" xfId="21721" xr:uid="{00000000-0005-0000-0000-00000A330000}"/>
    <cellStyle name="Normal 20 3" xfId="3620" xr:uid="{00000000-0005-0000-0000-00000B330000}"/>
    <cellStyle name="Normal 20 3 2" xfId="3621" xr:uid="{00000000-0005-0000-0000-00000C330000}"/>
    <cellStyle name="Normal 20 3 2 2" xfId="3622" xr:uid="{00000000-0005-0000-0000-00000D330000}"/>
    <cellStyle name="Normal 20 3 2 2 2" xfId="3623" xr:uid="{00000000-0005-0000-0000-00000E330000}"/>
    <cellStyle name="Normal 20 3 2 2 2 2" xfId="7741" xr:uid="{00000000-0005-0000-0000-00000F330000}"/>
    <cellStyle name="Normal 20 3 2 2 2 2 2" xfId="17101" xr:uid="{00000000-0005-0000-0000-000010330000}"/>
    <cellStyle name="Normal 20 3 2 2 2 2 2 2" xfId="33675" xr:uid="{00000000-0005-0000-0000-000011330000}"/>
    <cellStyle name="Normal 20 3 2 2 2 2 3" xfId="25628" xr:uid="{00000000-0005-0000-0000-000012330000}"/>
    <cellStyle name="Normal 20 3 2 2 2 3" xfId="13224" xr:uid="{00000000-0005-0000-0000-000013330000}"/>
    <cellStyle name="Normal 20 3 2 2 2 3 2" xfId="29767" xr:uid="{00000000-0005-0000-0000-000014330000}"/>
    <cellStyle name="Normal 20 3 2 2 2 4" xfId="21724" xr:uid="{00000000-0005-0000-0000-000015330000}"/>
    <cellStyle name="Normal 20 3 2 2 3" xfId="7742" xr:uid="{00000000-0005-0000-0000-000016330000}"/>
    <cellStyle name="Normal 20 3 2 2 3 2" xfId="17102" xr:uid="{00000000-0005-0000-0000-000017330000}"/>
    <cellStyle name="Normal 20 3 2 2 3 2 2" xfId="33676" xr:uid="{00000000-0005-0000-0000-000018330000}"/>
    <cellStyle name="Normal 20 3 2 2 3 3" xfId="25629" xr:uid="{00000000-0005-0000-0000-000019330000}"/>
    <cellStyle name="Normal 20 3 2 2 4" xfId="13223" xr:uid="{00000000-0005-0000-0000-00001A330000}"/>
    <cellStyle name="Normal 20 3 2 2 4 2" xfId="29766" xr:uid="{00000000-0005-0000-0000-00001B330000}"/>
    <cellStyle name="Normal 20 3 2 2 5" xfId="21723" xr:uid="{00000000-0005-0000-0000-00001C330000}"/>
    <cellStyle name="Normal 20 3 2 3" xfId="3624" xr:uid="{00000000-0005-0000-0000-00001D330000}"/>
    <cellStyle name="Normal 20 3 2 3 2" xfId="7743" xr:uid="{00000000-0005-0000-0000-00001E330000}"/>
    <cellStyle name="Normal 20 3 2 3 2 2" xfId="17103" xr:uid="{00000000-0005-0000-0000-00001F330000}"/>
    <cellStyle name="Normal 20 3 2 3 2 2 2" xfId="33677" xr:uid="{00000000-0005-0000-0000-000020330000}"/>
    <cellStyle name="Normal 20 3 2 3 2 3" xfId="25630" xr:uid="{00000000-0005-0000-0000-000021330000}"/>
    <cellStyle name="Normal 20 3 2 3 3" xfId="13225" xr:uid="{00000000-0005-0000-0000-000022330000}"/>
    <cellStyle name="Normal 20 3 2 3 3 2" xfId="29768" xr:uid="{00000000-0005-0000-0000-000023330000}"/>
    <cellStyle name="Normal 20 3 2 3 4" xfId="21725" xr:uid="{00000000-0005-0000-0000-000024330000}"/>
    <cellStyle name="Normal 20 3 2 4" xfId="7744" xr:uid="{00000000-0005-0000-0000-000025330000}"/>
    <cellStyle name="Normal 20 3 2 4 2" xfId="17104" xr:uid="{00000000-0005-0000-0000-000026330000}"/>
    <cellStyle name="Normal 20 3 2 4 2 2" xfId="33678" xr:uid="{00000000-0005-0000-0000-000027330000}"/>
    <cellStyle name="Normal 20 3 2 4 3" xfId="25631" xr:uid="{00000000-0005-0000-0000-000028330000}"/>
    <cellStyle name="Normal 20 3 2 5" xfId="13222" xr:uid="{00000000-0005-0000-0000-000029330000}"/>
    <cellStyle name="Normal 20 3 2 5 2" xfId="29765" xr:uid="{00000000-0005-0000-0000-00002A330000}"/>
    <cellStyle name="Normal 20 3 2 6" xfId="21722" xr:uid="{00000000-0005-0000-0000-00002B330000}"/>
    <cellStyle name="Normal 20 3 3" xfId="3625" xr:uid="{00000000-0005-0000-0000-00002C330000}"/>
    <cellStyle name="Normal 20 3 3 2" xfId="3626" xr:uid="{00000000-0005-0000-0000-00002D330000}"/>
    <cellStyle name="Normal 20 3 3 2 2" xfId="7745" xr:uid="{00000000-0005-0000-0000-00002E330000}"/>
    <cellStyle name="Normal 20 3 3 2 2 2" xfId="17105" xr:uid="{00000000-0005-0000-0000-00002F330000}"/>
    <cellStyle name="Normal 20 3 3 2 2 2 2" xfId="33679" xr:uid="{00000000-0005-0000-0000-000030330000}"/>
    <cellStyle name="Normal 20 3 3 2 2 3" xfId="25632" xr:uid="{00000000-0005-0000-0000-000031330000}"/>
    <cellStyle name="Normal 20 3 3 2 3" xfId="13227" xr:uid="{00000000-0005-0000-0000-000032330000}"/>
    <cellStyle name="Normal 20 3 3 2 3 2" xfId="29770" xr:uid="{00000000-0005-0000-0000-000033330000}"/>
    <cellStyle name="Normal 20 3 3 2 4" xfId="21727" xr:uid="{00000000-0005-0000-0000-000034330000}"/>
    <cellStyle name="Normal 20 3 3 3" xfId="7746" xr:uid="{00000000-0005-0000-0000-000035330000}"/>
    <cellStyle name="Normal 20 3 3 3 2" xfId="17106" xr:uid="{00000000-0005-0000-0000-000036330000}"/>
    <cellStyle name="Normal 20 3 3 3 2 2" xfId="33680" xr:uid="{00000000-0005-0000-0000-000037330000}"/>
    <cellStyle name="Normal 20 3 3 3 3" xfId="25633" xr:uid="{00000000-0005-0000-0000-000038330000}"/>
    <cellStyle name="Normal 20 3 3 4" xfId="13226" xr:uid="{00000000-0005-0000-0000-000039330000}"/>
    <cellStyle name="Normal 20 3 3 4 2" xfId="29769" xr:uid="{00000000-0005-0000-0000-00003A330000}"/>
    <cellStyle name="Normal 20 3 3 5" xfId="21726" xr:uid="{00000000-0005-0000-0000-00003B330000}"/>
    <cellStyle name="Normal 20 3 4" xfId="3627" xr:uid="{00000000-0005-0000-0000-00003C330000}"/>
    <cellStyle name="Normal 20 3 4 2" xfId="7747" xr:uid="{00000000-0005-0000-0000-00003D330000}"/>
    <cellStyle name="Normal 20 3 4 2 2" xfId="17107" xr:uid="{00000000-0005-0000-0000-00003E330000}"/>
    <cellStyle name="Normal 20 3 4 2 2 2" xfId="33681" xr:uid="{00000000-0005-0000-0000-00003F330000}"/>
    <cellStyle name="Normal 20 3 4 2 3" xfId="25634" xr:uid="{00000000-0005-0000-0000-000040330000}"/>
    <cellStyle name="Normal 20 3 4 3" xfId="13228" xr:uid="{00000000-0005-0000-0000-000041330000}"/>
    <cellStyle name="Normal 20 3 4 3 2" xfId="29771" xr:uid="{00000000-0005-0000-0000-000042330000}"/>
    <cellStyle name="Normal 20 3 4 4" xfId="21728" xr:uid="{00000000-0005-0000-0000-000043330000}"/>
    <cellStyle name="Normal 20 3 5" xfId="3628" xr:uid="{00000000-0005-0000-0000-000044330000}"/>
    <cellStyle name="Normal 20 3 5 2" xfId="13229" xr:uid="{00000000-0005-0000-0000-000045330000}"/>
    <cellStyle name="Normal 20 3 5 2 2" xfId="29772" xr:uid="{00000000-0005-0000-0000-000046330000}"/>
    <cellStyle name="Normal 20 3 5 3" xfId="21729" xr:uid="{00000000-0005-0000-0000-000047330000}"/>
    <cellStyle name="Normal 20 4" xfId="3629" xr:uid="{00000000-0005-0000-0000-000048330000}"/>
    <cellStyle name="Normal 20 4 2" xfId="3630" xr:uid="{00000000-0005-0000-0000-000049330000}"/>
    <cellStyle name="Normal 20 4 2 2" xfId="3631" xr:uid="{00000000-0005-0000-0000-00004A330000}"/>
    <cellStyle name="Normal 20 4 2 2 2" xfId="3632" xr:uid="{00000000-0005-0000-0000-00004B330000}"/>
    <cellStyle name="Normal 20 4 2 2 2 2" xfId="7748" xr:uid="{00000000-0005-0000-0000-00004C330000}"/>
    <cellStyle name="Normal 20 4 2 2 2 2 2" xfId="17108" xr:uid="{00000000-0005-0000-0000-00004D330000}"/>
    <cellStyle name="Normal 20 4 2 2 2 2 2 2" xfId="33682" xr:uid="{00000000-0005-0000-0000-00004E330000}"/>
    <cellStyle name="Normal 20 4 2 2 2 2 3" xfId="25635" xr:uid="{00000000-0005-0000-0000-00004F330000}"/>
    <cellStyle name="Normal 20 4 2 2 2 3" xfId="13233" xr:uid="{00000000-0005-0000-0000-000050330000}"/>
    <cellStyle name="Normal 20 4 2 2 2 3 2" xfId="29776" xr:uid="{00000000-0005-0000-0000-000051330000}"/>
    <cellStyle name="Normal 20 4 2 2 2 4" xfId="21733" xr:uid="{00000000-0005-0000-0000-000052330000}"/>
    <cellStyle name="Normal 20 4 2 2 3" xfId="7749" xr:uid="{00000000-0005-0000-0000-000053330000}"/>
    <cellStyle name="Normal 20 4 2 2 3 2" xfId="17109" xr:uid="{00000000-0005-0000-0000-000054330000}"/>
    <cellStyle name="Normal 20 4 2 2 3 2 2" xfId="33683" xr:uid="{00000000-0005-0000-0000-000055330000}"/>
    <cellStyle name="Normal 20 4 2 2 3 3" xfId="25636" xr:uid="{00000000-0005-0000-0000-000056330000}"/>
    <cellStyle name="Normal 20 4 2 2 4" xfId="13232" xr:uid="{00000000-0005-0000-0000-000057330000}"/>
    <cellStyle name="Normal 20 4 2 2 4 2" xfId="29775" xr:uid="{00000000-0005-0000-0000-000058330000}"/>
    <cellStyle name="Normal 20 4 2 2 5" xfId="21732" xr:uid="{00000000-0005-0000-0000-000059330000}"/>
    <cellStyle name="Normal 20 4 2 3" xfId="3633" xr:uid="{00000000-0005-0000-0000-00005A330000}"/>
    <cellStyle name="Normal 20 4 2 3 2" xfId="7750" xr:uid="{00000000-0005-0000-0000-00005B330000}"/>
    <cellStyle name="Normal 20 4 2 3 2 2" xfId="17110" xr:uid="{00000000-0005-0000-0000-00005C330000}"/>
    <cellStyle name="Normal 20 4 2 3 2 2 2" xfId="33684" xr:uid="{00000000-0005-0000-0000-00005D330000}"/>
    <cellStyle name="Normal 20 4 2 3 2 3" xfId="25637" xr:uid="{00000000-0005-0000-0000-00005E330000}"/>
    <cellStyle name="Normal 20 4 2 3 3" xfId="13234" xr:uid="{00000000-0005-0000-0000-00005F330000}"/>
    <cellStyle name="Normal 20 4 2 3 3 2" xfId="29777" xr:uid="{00000000-0005-0000-0000-000060330000}"/>
    <cellStyle name="Normal 20 4 2 3 4" xfId="21734" xr:uid="{00000000-0005-0000-0000-000061330000}"/>
    <cellStyle name="Normal 20 4 2 4" xfId="7751" xr:uid="{00000000-0005-0000-0000-000062330000}"/>
    <cellStyle name="Normal 20 4 2 4 2" xfId="17111" xr:uid="{00000000-0005-0000-0000-000063330000}"/>
    <cellStyle name="Normal 20 4 2 4 2 2" xfId="33685" xr:uid="{00000000-0005-0000-0000-000064330000}"/>
    <cellStyle name="Normal 20 4 2 4 3" xfId="25638" xr:uid="{00000000-0005-0000-0000-000065330000}"/>
    <cellStyle name="Normal 20 4 2 5" xfId="13231" xr:uid="{00000000-0005-0000-0000-000066330000}"/>
    <cellStyle name="Normal 20 4 2 5 2" xfId="29774" xr:uid="{00000000-0005-0000-0000-000067330000}"/>
    <cellStyle name="Normal 20 4 2 6" xfId="21731" xr:uid="{00000000-0005-0000-0000-000068330000}"/>
    <cellStyle name="Normal 20 4 3" xfId="3634" xr:uid="{00000000-0005-0000-0000-000069330000}"/>
    <cellStyle name="Normal 20 4 3 2" xfId="3635" xr:uid="{00000000-0005-0000-0000-00006A330000}"/>
    <cellStyle name="Normal 20 4 3 2 2" xfId="7752" xr:uid="{00000000-0005-0000-0000-00006B330000}"/>
    <cellStyle name="Normal 20 4 3 2 2 2" xfId="17112" xr:uid="{00000000-0005-0000-0000-00006C330000}"/>
    <cellStyle name="Normal 20 4 3 2 2 2 2" xfId="33686" xr:uid="{00000000-0005-0000-0000-00006D330000}"/>
    <cellStyle name="Normal 20 4 3 2 2 3" xfId="25639" xr:uid="{00000000-0005-0000-0000-00006E330000}"/>
    <cellStyle name="Normal 20 4 3 2 3" xfId="13236" xr:uid="{00000000-0005-0000-0000-00006F330000}"/>
    <cellStyle name="Normal 20 4 3 2 3 2" xfId="29779" xr:uid="{00000000-0005-0000-0000-000070330000}"/>
    <cellStyle name="Normal 20 4 3 2 4" xfId="21736" xr:uid="{00000000-0005-0000-0000-000071330000}"/>
    <cellStyle name="Normal 20 4 3 3" xfId="7753" xr:uid="{00000000-0005-0000-0000-000072330000}"/>
    <cellStyle name="Normal 20 4 3 3 2" xfId="17113" xr:uid="{00000000-0005-0000-0000-000073330000}"/>
    <cellStyle name="Normal 20 4 3 3 2 2" xfId="33687" xr:uid="{00000000-0005-0000-0000-000074330000}"/>
    <cellStyle name="Normal 20 4 3 3 3" xfId="25640" xr:uid="{00000000-0005-0000-0000-000075330000}"/>
    <cellStyle name="Normal 20 4 3 4" xfId="13235" xr:uid="{00000000-0005-0000-0000-000076330000}"/>
    <cellStyle name="Normal 20 4 3 4 2" xfId="29778" xr:uid="{00000000-0005-0000-0000-000077330000}"/>
    <cellStyle name="Normal 20 4 3 5" xfId="21735" xr:uid="{00000000-0005-0000-0000-000078330000}"/>
    <cellStyle name="Normal 20 4 4" xfId="3636" xr:uid="{00000000-0005-0000-0000-000079330000}"/>
    <cellStyle name="Normal 20 4 4 2" xfId="7754" xr:uid="{00000000-0005-0000-0000-00007A330000}"/>
    <cellStyle name="Normal 20 4 4 2 2" xfId="17114" xr:uid="{00000000-0005-0000-0000-00007B330000}"/>
    <cellStyle name="Normal 20 4 4 2 2 2" xfId="33688" xr:uid="{00000000-0005-0000-0000-00007C330000}"/>
    <cellStyle name="Normal 20 4 4 2 3" xfId="25641" xr:uid="{00000000-0005-0000-0000-00007D330000}"/>
    <cellStyle name="Normal 20 4 4 3" xfId="13237" xr:uid="{00000000-0005-0000-0000-00007E330000}"/>
    <cellStyle name="Normal 20 4 4 3 2" xfId="29780" xr:uid="{00000000-0005-0000-0000-00007F330000}"/>
    <cellStyle name="Normal 20 4 4 4" xfId="21737" xr:uid="{00000000-0005-0000-0000-000080330000}"/>
    <cellStyle name="Normal 20 4 5" xfId="7755" xr:uid="{00000000-0005-0000-0000-000081330000}"/>
    <cellStyle name="Normal 20 4 5 2" xfId="17115" xr:uid="{00000000-0005-0000-0000-000082330000}"/>
    <cellStyle name="Normal 20 4 5 2 2" xfId="33689" xr:uid="{00000000-0005-0000-0000-000083330000}"/>
    <cellStyle name="Normal 20 4 5 3" xfId="25642" xr:uid="{00000000-0005-0000-0000-000084330000}"/>
    <cellStyle name="Normal 20 4 6" xfId="13230" xr:uid="{00000000-0005-0000-0000-000085330000}"/>
    <cellStyle name="Normal 20 4 6 2" xfId="29773" xr:uid="{00000000-0005-0000-0000-000086330000}"/>
    <cellStyle name="Normal 20 4 7" xfId="21730" xr:uid="{00000000-0005-0000-0000-000087330000}"/>
    <cellStyle name="Normal 20 5" xfId="3637" xr:uid="{00000000-0005-0000-0000-000088330000}"/>
    <cellStyle name="Normal 20 5 2" xfId="3638" xr:uid="{00000000-0005-0000-0000-000089330000}"/>
    <cellStyle name="Normal 20 5 2 2" xfId="3639" xr:uid="{00000000-0005-0000-0000-00008A330000}"/>
    <cellStyle name="Normal 20 5 2 2 2" xfId="3640" xr:uid="{00000000-0005-0000-0000-00008B330000}"/>
    <cellStyle name="Normal 20 5 2 2 2 2" xfId="7756" xr:uid="{00000000-0005-0000-0000-00008C330000}"/>
    <cellStyle name="Normal 20 5 2 2 2 2 2" xfId="17116" xr:uid="{00000000-0005-0000-0000-00008D330000}"/>
    <cellStyle name="Normal 20 5 2 2 2 2 2 2" xfId="33690" xr:uid="{00000000-0005-0000-0000-00008E330000}"/>
    <cellStyle name="Normal 20 5 2 2 2 2 3" xfId="25643" xr:uid="{00000000-0005-0000-0000-00008F330000}"/>
    <cellStyle name="Normal 20 5 2 2 2 3" xfId="13241" xr:uid="{00000000-0005-0000-0000-000090330000}"/>
    <cellStyle name="Normal 20 5 2 2 2 3 2" xfId="29784" xr:uid="{00000000-0005-0000-0000-000091330000}"/>
    <cellStyle name="Normal 20 5 2 2 2 4" xfId="21741" xr:uid="{00000000-0005-0000-0000-000092330000}"/>
    <cellStyle name="Normal 20 5 2 2 3" xfId="7757" xr:uid="{00000000-0005-0000-0000-000093330000}"/>
    <cellStyle name="Normal 20 5 2 2 3 2" xfId="17117" xr:uid="{00000000-0005-0000-0000-000094330000}"/>
    <cellStyle name="Normal 20 5 2 2 3 2 2" xfId="33691" xr:uid="{00000000-0005-0000-0000-000095330000}"/>
    <cellStyle name="Normal 20 5 2 2 3 3" xfId="25644" xr:uid="{00000000-0005-0000-0000-000096330000}"/>
    <cellStyle name="Normal 20 5 2 2 4" xfId="13240" xr:uid="{00000000-0005-0000-0000-000097330000}"/>
    <cellStyle name="Normal 20 5 2 2 4 2" xfId="29783" xr:uid="{00000000-0005-0000-0000-000098330000}"/>
    <cellStyle name="Normal 20 5 2 2 5" xfId="21740" xr:uid="{00000000-0005-0000-0000-000099330000}"/>
    <cellStyle name="Normal 20 5 2 3" xfId="3641" xr:uid="{00000000-0005-0000-0000-00009A330000}"/>
    <cellStyle name="Normal 20 5 2 3 2" xfId="7758" xr:uid="{00000000-0005-0000-0000-00009B330000}"/>
    <cellStyle name="Normal 20 5 2 3 2 2" xfId="17118" xr:uid="{00000000-0005-0000-0000-00009C330000}"/>
    <cellStyle name="Normal 20 5 2 3 2 2 2" xfId="33692" xr:uid="{00000000-0005-0000-0000-00009D330000}"/>
    <cellStyle name="Normal 20 5 2 3 2 3" xfId="25645" xr:uid="{00000000-0005-0000-0000-00009E330000}"/>
    <cellStyle name="Normal 20 5 2 3 3" xfId="13242" xr:uid="{00000000-0005-0000-0000-00009F330000}"/>
    <cellStyle name="Normal 20 5 2 3 3 2" xfId="29785" xr:uid="{00000000-0005-0000-0000-0000A0330000}"/>
    <cellStyle name="Normal 20 5 2 3 4" xfId="21742" xr:uid="{00000000-0005-0000-0000-0000A1330000}"/>
    <cellStyle name="Normal 20 5 2 4" xfId="7759" xr:uid="{00000000-0005-0000-0000-0000A2330000}"/>
    <cellStyle name="Normal 20 5 2 4 2" xfId="17119" xr:uid="{00000000-0005-0000-0000-0000A3330000}"/>
    <cellStyle name="Normal 20 5 2 4 2 2" xfId="33693" xr:uid="{00000000-0005-0000-0000-0000A4330000}"/>
    <cellStyle name="Normal 20 5 2 4 3" xfId="25646" xr:uid="{00000000-0005-0000-0000-0000A5330000}"/>
    <cellStyle name="Normal 20 5 2 5" xfId="13239" xr:uid="{00000000-0005-0000-0000-0000A6330000}"/>
    <cellStyle name="Normal 20 5 2 5 2" xfId="29782" xr:uid="{00000000-0005-0000-0000-0000A7330000}"/>
    <cellStyle name="Normal 20 5 2 6" xfId="21739" xr:uid="{00000000-0005-0000-0000-0000A8330000}"/>
    <cellStyle name="Normal 20 5 3" xfId="3642" xr:uid="{00000000-0005-0000-0000-0000A9330000}"/>
    <cellStyle name="Normal 20 5 3 2" xfId="3643" xr:uid="{00000000-0005-0000-0000-0000AA330000}"/>
    <cellStyle name="Normal 20 5 3 2 2" xfId="7760" xr:uid="{00000000-0005-0000-0000-0000AB330000}"/>
    <cellStyle name="Normal 20 5 3 2 2 2" xfId="17120" xr:uid="{00000000-0005-0000-0000-0000AC330000}"/>
    <cellStyle name="Normal 20 5 3 2 2 2 2" xfId="33694" xr:uid="{00000000-0005-0000-0000-0000AD330000}"/>
    <cellStyle name="Normal 20 5 3 2 2 3" xfId="25647" xr:uid="{00000000-0005-0000-0000-0000AE330000}"/>
    <cellStyle name="Normal 20 5 3 2 3" xfId="13244" xr:uid="{00000000-0005-0000-0000-0000AF330000}"/>
    <cellStyle name="Normal 20 5 3 2 3 2" xfId="29787" xr:uid="{00000000-0005-0000-0000-0000B0330000}"/>
    <cellStyle name="Normal 20 5 3 2 4" xfId="21744" xr:uid="{00000000-0005-0000-0000-0000B1330000}"/>
    <cellStyle name="Normal 20 5 3 3" xfId="7761" xr:uid="{00000000-0005-0000-0000-0000B2330000}"/>
    <cellStyle name="Normal 20 5 3 3 2" xfId="17121" xr:uid="{00000000-0005-0000-0000-0000B3330000}"/>
    <cellStyle name="Normal 20 5 3 3 2 2" xfId="33695" xr:uid="{00000000-0005-0000-0000-0000B4330000}"/>
    <cellStyle name="Normal 20 5 3 3 3" xfId="25648" xr:uid="{00000000-0005-0000-0000-0000B5330000}"/>
    <cellStyle name="Normal 20 5 3 4" xfId="13243" xr:uid="{00000000-0005-0000-0000-0000B6330000}"/>
    <cellStyle name="Normal 20 5 3 4 2" xfId="29786" xr:uid="{00000000-0005-0000-0000-0000B7330000}"/>
    <cellStyle name="Normal 20 5 3 5" xfId="21743" xr:uid="{00000000-0005-0000-0000-0000B8330000}"/>
    <cellStyle name="Normal 20 5 4" xfId="3644" xr:uid="{00000000-0005-0000-0000-0000B9330000}"/>
    <cellStyle name="Normal 20 5 4 2" xfId="7762" xr:uid="{00000000-0005-0000-0000-0000BA330000}"/>
    <cellStyle name="Normal 20 5 4 2 2" xfId="17122" xr:uid="{00000000-0005-0000-0000-0000BB330000}"/>
    <cellStyle name="Normal 20 5 4 2 2 2" xfId="33696" xr:uid="{00000000-0005-0000-0000-0000BC330000}"/>
    <cellStyle name="Normal 20 5 4 2 3" xfId="25649" xr:uid="{00000000-0005-0000-0000-0000BD330000}"/>
    <cellStyle name="Normal 20 5 4 3" xfId="13245" xr:uid="{00000000-0005-0000-0000-0000BE330000}"/>
    <cellStyle name="Normal 20 5 4 3 2" xfId="29788" xr:uid="{00000000-0005-0000-0000-0000BF330000}"/>
    <cellStyle name="Normal 20 5 4 4" xfId="21745" xr:uid="{00000000-0005-0000-0000-0000C0330000}"/>
    <cellStyle name="Normal 20 5 5" xfId="7763" xr:uid="{00000000-0005-0000-0000-0000C1330000}"/>
    <cellStyle name="Normal 20 5 5 2" xfId="17123" xr:uid="{00000000-0005-0000-0000-0000C2330000}"/>
    <cellStyle name="Normal 20 5 5 2 2" xfId="33697" xr:uid="{00000000-0005-0000-0000-0000C3330000}"/>
    <cellStyle name="Normal 20 5 5 3" xfId="25650" xr:uid="{00000000-0005-0000-0000-0000C4330000}"/>
    <cellStyle name="Normal 20 5 6" xfId="13238" xr:uid="{00000000-0005-0000-0000-0000C5330000}"/>
    <cellStyle name="Normal 20 5 6 2" xfId="29781" xr:uid="{00000000-0005-0000-0000-0000C6330000}"/>
    <cellStyle name="Normal 20 5 7" xfId="21738" xr:uid="{00000000-0005-0000-0000-0000C7330000}"/>
    <cellStyle name="Normal 20 6" xfId="3645" xr:uid="{00000000-0005-0000-0000-0000C8330000}"/>
    <cellStyle name="Normal 20 6 2" xfId="3646" xr:uid="{00000000-0005-0000-0000-0000C9330000}"/>
    <cellStyle name="Normal 20 6 2 2" xfId="3647" xr:uid="{00000000-0005-0000-0000-0000CA330000}"/>
    <cellStyle name="Normal 20 6 2 2 2" xfId="7764" xr:uid="{00000000-0005-0000-0000-0000CB330000}"/>
    <cellStyle name="Normal 20 6 2 2 2 2" xfId="17124" xr:uid="{00000000-0005-0000-0000-0000CC330000}"/>
    <cellStyle name="Normal 20 6 2 2 2 2 2" xfId="33698" xr:uid="{00000000-0005-0000-0000-0000CD330000}"/>
    <cellStyle name="Normal 20 6 2 2 2 3" xfId="25651" xr:uid="{00000000-0005-0000-0000-0000CE330000}"/>
    <cellStyle name="Normal 20 6 2 2 3" xfId="13248" xr:uid="{00000000-0005-0000-0000-0000CF330000}"/>
    <cellStyle name="Normal 20 6 2 2 3 2" xfId="29791" xr:uid="{00000000-0005-0000-0000-0000D0330000}"/>
    <cellStyle name="Normal 20 6 2 2 4" xfId="21748" xr:uid="{00000000-0005-0000-0000-0000D1330000}"/>
    <cellStyle name="Normal 20 6 2 3" xfId="7765" xr:uid="{00000000-0005-0000-0000-0000D2330000}"/>
    <cellStyle name="Normal 20 6 2 3 2" xfId="17125" xr:uid="{00000000-0005-0000-0000-0000D3330000}"/>
    <cellStyle name="Normal 20 6 2 3 2 2" xfId="33699" xr:uid="{00000000-0005-0000-0000-0000D4330000}"/>
    <cellStyle name="Normal 20 6 2 3 3" xfId="25652" xr:uid="{00000000-0005-0000-0000-0000D5330000}"/>
    <cellStyle name="Normal 20 6 2 4" xfId="13247" xr:uid="{00000000-0005-0000-0000-0000D6330000}"/>
    <cellStyle name="Normal 20 6 2 4 2" xfId="29790" xr:uid="{00000000-0005-0000-0000-0000D7330000}"/>
    <cellStyle name="Normal 20 6 2 5" xfId="21747" xr:uid="{00000000-0005-0000-0000-0000D8330000}"/>
    <cellStyle name="Normal 20 6 3" xfId="3648" xr:uid="{00000000-0005-0000-0000-0000D9330000}"/>
    <cellStyle name="Normal 20 6 3 2" xfId="7766" xr:uid="{00000000-0005-0000-0000-0000DA330000}"/>
    <cellStyle name="Normal 20 6 3 2 2" xfId="17126" xr:uid="{00000000-0005-0000-0000-0000DB330000}"/>
    <cellStyle name="Normal 20 6 3 2 2 2" xfId="33700" xr:uid="{00000000-0005-0000-0000-0000DC330000}"/>
    <cellStyle name="Normal 20 6 3 2 3" xfId="25653" xr:uid="{00000000-0005-0000-0000-0000DD330000}"/>
    <cellStyle name="Normal 20 6 3 3" xfId="13249" xr:uid="{00000000-0005-0000-0000-0000DE330000}"/>
    <cellStyle name="Normal 20 6 3 3 2" xfId="29792" xr:uid="{00000000-0005-0000-0000-0000DF330000}"/>
    <cellStyle name="Normal 20 6 3 4" xfId="21749" xr:uid="{00000000-0005-0000-0000-0000E0330000}"/>
    <cellStyle name="Normal 20 6 4" xfId="7767" xr:uid="{00000000-0005-0000-0000-0000E1330000}"/>
    <cellStyle name="Normal 20 6 4 2" xfId="17127" xr:uid="{00000000-0005-0000-0000-0000E2330000}"/>
    <cellStyle name="Normal 20 6 4 2 2" xfId="33701" xr:uid="{00000000-0005-0000-0000-0000E3330000}"/>
    <cellStyle name="Normal 20 6 4 3" xfId="25654" xr:uid="{00000000-0005-0000-0000-0000E4330000}"/>
    <cellStyle name="Normal 20 6 5" xfId="13246" xr:uid="{00000000-0005-0000-0000-0000E5330000}"/>
    <cellStyle name="Normal 20 6 5 2" xfId="29789" xr:uid="{00000000-0005-0000-0000-0000E6330000}"/>
    <cellStyle name="Normal 20 6 6" xfId="21746" xr:uid="{00000000-0005-0000-0000-0000E7330000}"/>
    <cellStyle name="Normal 20 7" xfId="3649" xr:uid="{00000000-0005-0000-0000-0000E8330000}"/>
    <cellStyle name="Normal 20 7 2" xfId="3650" xr:uid="{00000000-0005-0000-0000-0000E9330000}"/>
    <cellStyle name="Normal 20 7 2 2" xfId="7768" xr:uid="{00000000-0005-0000-0000-0000EA330000}"/>
    <cellStyle name="Normal 20 7 2 2 2" xfId="17128" xr:uid="{00000000-0005-0000-0000-0000EB330000}"/>
    <cellStyle name="Normal 20 7 2 2 2 2" xfId="33702" xr:uid="{00000000-0005-0000-0000-0000EC330000}"/>
    <cellStyle name="Normal 20 7 2 2 3" xfId="25655" xr:uid="{00000000-0005-0000-0000-0000ED330000}"/>
    <cellStyle name="Normal 20 7 2 3" xfId="13251" xr:uid="{00000000-0005-0000-0000-0000EE330000}"/>
    <cellStyle name="Normal 20 7 2 3 2" xfId="29794" xr:uid="{00000000-0005-0000-0000-0000EF330000}"/>
    <cellStyle name="Normal 20 7 2 4" xfId="21751" xr:uid="{00000000-0005-0000-0000-0000F0330000}"/>
    <cellStyle name="Normal 20 7 3" xfId="7769" xr:uid="{00000000-0005-0000-0000-0000F1330000}"/>
    <cellStyle name="Normal 20 7 3 2" xfId="17129" xr:uid="{00000000-0005-0000-0000-0000F2330000}"/>
    <cellStyle name="Normal 20 7 3 2 2" xfId="33703" xr:uid="{00000000-0005-0000-0000-0000F3330000}"/>
    <cellStyle name="Normal 20 7 3 3" xfId="25656" xr:uid="{00000000-0005-0000-0000-0000F4330000}"/>
    <cellStyle name="Normal 20 7 4" xfId="13250" xr:uid="{00000000-0005-0000-0000-0000F5330000}"/>
    <cellStyle name="Normal 20 7 4 2" xfId="29793" xr:uid="{00000000-0005-0000-0000-0000F6330000}"/>
    <cellStyle name="Normal 20 7 5" xfId="21750" xr:uid="{00000000-0005-0000-0000-0000F7330000}"/>
    <cellStyle name="Normal 20 8" xfId="3651" xr:uid="{00000000-0005-0000-0000-0000F8330000}"/>
    <cellStyle name="Normal 20 8 2" xfId="7770" xr:uid="{00000000-0005-0000-0000-0000F9330000}"/>
    <cellStyle name="Normal 20 8 2 2" xfId="17130" xr:uid="{00000000-0005-0000-0000-0000FA330000}"/>
    <cellStyle name="Normal 20 8 2 2 2" xfId="33704" xr:uid="{00000000-0005-0000-0000-0000FB330000}"/>
    <cellStyle name="Normal 20 8 2 3" xfId="25657" xr:uid="{00000000-0005-0000-0000-0000FC330000}"/>
    <cellStyle name="Normal 20 8 3" xfId="13252" xr:uid="{00000000-0005-0000-0000-0000FD330000}"/>
    <cellStyle name="Normal 20 8 3 2" xfId="29795" xr:uid="{00000000-0005-0000-0000-0000FE330000}"/>
    <cellStyle name="Normal 20 8 4" xfId="21752" xr:uid="{00000000-0005-0000-0000-0000FF330000}"/>
    <cellStyle name="Normal 20 9" xfId="7771" xr:uid="{00000000-0005-0000-0000-000000340000}"/>
    <cellStyle name="Normal 20 9 2" xfId="17131" xr:uid="{00000000-0005-0000-0000-000001340000}"/>
    <cellStyle name="Normal 20 9 2 2" xfId="33705" xr:uid="{00000000-0005-0000-0000-000002340000}"/>
    <cellStyle name="Normal 20 9 3" xfId="25658" xr:uid="{00000000-0005-0000-0000-000003340000}"/>
    <cellStyle name="Normal 200" xfId="10604" xr:uid="{00000000-0005-0000-0000-000004340000}"/>
    <cellStyle name="Normal 201" xfId="10607" xr:uid="{00000000-0005-0000-0000-000005340000}"/>
    <cellStyle name="Normal 202" xfId="10610" xr:uid="{00000000-0005-0000-0000-000006340000}"/>
    <cellStyle name="Normal 203" xfId="10613" xr:uid="{00000000-0005-0000-0000-000007340000}"/>
    <cellStyle name="Normal 204" xfId="10616" xr:uid="{00000000-0005-0000-0000-000008340000}"/>
    <cellStyle name="Normal 205" xfId="10619" xr:uid="{00000000-0005-0000-0000-000009340000}"/>
    <cellStyle name="Normal 206" xfId="10622" xr:uid="{00000000-0005-0000-0000-00000A340000}"/>
    <cellStyle name="Normal 207" xfId="10625" xr:uid="{00000000-0005-0000-0000-00000B340000}"/>
    <cellStyle name="Normal 208" xfId="10628" xr:uid="{00000000-0005-0000-0000-00000C340000}"/>
    <cellStyle name="Normal 209" xfId="10631" xr:uid="{00000000-0005-0000-0000-00000D340000}"/>
    <cellStyle name="Normal 21" xfId="3652" xr:uid="{00000000-0005-0000-0000-00000E340000}"/>
    <cellStyle name="Normal 21 10" xfId="13253" xr:uid="{00000000-0005-0000-0000-00000F340000}"/>
    <cellStyle name="Normal 21 10 2" xfId="29796" xr:uid="{00000000-0005-0000-0000-000010340000}"/>
    <cellStyle name="Normal 21 11" xfId="21753" xr:uid="{00000000-0005-0000-0000-000011340000}"/>
    <cellStyle name="Normal 21 12" xfId="36894" xr:uid="{00000000-0005-0000-0000-000012340000}"/>
    <cellStyle name="Normal 21 2" xfId="3653" xr:uid="{00000000-0005-0000-0000-000013340000}"/>
    <cellStyle name="Normal 21 2 2" xfId="3654" xr:uid="{00000000-0005-0000-0000-000014340000}"/>
    <cellStyle name="Normal 21 2 3" xfId="13254" xr:uid="{00000000-0005-0000-0000-000015340000}"/>
    <cellStyle name="Normal 21 2 3 2" xfId="29797" xr:uid="{00000000-0005-0000-0000-000016340000}"/>
    <cellStyle name="Normal 21 2 4" xfId="21754" xr:uid="{00000000-0005-0000-0000-000017340000}"/>
    <cellStyle name="Normal 21 3" xfId="3655" xr:uid="{00000000-0005-0000-0000-000018340000}"/>
    <cellStyle name="Normal 21 3 2" xfId="3656" xr:uid="{00000000-0005-0000-0000-000019340000}"/>
    <cellStyle name="Normal 21 3 2 2" xfId="3657" xr:uid="{00000000-0005-0000-0000-00001A340000}"/>
    <cellStyle name="Normal 21 3 2 2 2" xfId="3658" xr:uid="{00000000-0005-0000-0000-00001B340000}"/>
    <cellStyle name="Normal 21 3 2 2 2 2" xfId="7772" xr:uid="{00000000-0005-0000-0000-00001C340000}"/>
    <cellStyle name="Normal 21 3 2 2 2 2 2" xfId="17132" xr:uid="{00000000-0005-0000-0000-00001D340000}"/>
    <cellStyle name="Normal 21 3 2 2 2 2 2 2" xfId="33706" xr:uid="{00000000-0005-0000-0000-00001E340000}"/>
    <cellStyle name="Normal 21 3 2 2 2 2 3" xfId="25659" xr:uid="{00000000-0005-0000-0000-00001F340000}"/>
    <cellStyle name="Normal 21 3 2 2 2 3" xfId="13257" xr:uid="{00000000-0005-0000-0000-000020340000}"/>
    <cellStyle name="Normal 21 3 2 2 2 3 2" xfId="29800" xr:uid="{00000000-0005-0000-0000-000021340000}"/>
    <cellStyle name="Normal 21 3 2 2 2 4" xfId="21757" xr:uid="{00000000-0005-0000-0000-000022340000}"/>
    <cellStyle name="Normal 21 3 2 2 3" xfId="7773" xr:uid="{00000000-0005-0000-0000-000023340000}"/>
    <cellStyle name="Normal 21 3 2 2 3 2" xfId="17133" xr:uid="{00000000-0005-0000-0000-000024340000}"/>
    <cellStyle name="Normal 21 3 2 2 3 2 2" xfId="33707" xr:uid="{00000000-0005-0000-0000-000025340000}"/>
    <cellStyle name="Normal 21 3 2 2 3 3" xfId="25660" xr:uid="{00000000-0005-0000-0000-000026340000}"/>
    <cellStyle name="Normal 21 3 2 2 4" xfId="13256" xr:uid="{00000000-0005-0000-0000-000027340000}"/>
    <cellStyle name="Normal 21 3 2 2 4 2" xfId="29799" xr:uid="{00000000-0005-0000-0000-000028340000}"/>
    <cellStyle name="Normal 21 3 2 2 5" xfId="21756" xr:uid="{00000000-0005-0000-0000-000029340000}"/>
    <cellStyle name="Normal 21 3 2 3" xfId="3659" xr:uid="{00000000-0005-0000-0000-00002A340000}"/>
    <cellStyle name="Normal 21 3 2 3 2" xfId="7774" xr:uid="{00000000-0005-0000-0000-00002B340000}"/>
    <cellStyle name="Normal 21 3 2 3 2 2" xfId="17134" xr:uid="{00000000-0005-0000-0000-00002C340000}"/>
    <cellStyle name="Normal 21 3 2 3 2 2 2" xfId="33708" xr:uid="{00000000-0005-0000-0000-00002D340000}"/>
    <cellStyle name="Normal 21 3 2 3 2 3" xfId="25661" xr:uid="{00000000-0005-0000-0000-00002E340000}"/>
    <cellStyle name="Normal 21 3 2 3 3" xfId="13258" xr:uid="{00000000-0005-0000-0000-00002F340000}"/>
    <cellStyle name="Normal 21 3 2 3 3 2" xfId="29801" xr:uid="{00000000-0005-0000-0000-000030340000}"/>
    <cellStyle name="Normal 21 3 2 3 4" xfId="21758" xr:uid="{00000000-0005-0000-0000-000031340000}"/>
    <cellStyle name="Normal 21 3 2 4" xfId="7775" xr:uid="{00000000-0005-0000-0000-000032340000}"/>
    <cellStyle name="Normal 21 3 2 4 2" xfId="17135" xr:uid="{00000000-0005-0000-0000-000033340000}"/>
    <cellStyle name="Normal 21 3 2 4 2 2" xfId="33709" xr:uid="{00000000-0005-0000-0000-000034340000}"/>
    <cellStyle name="Normal 21 3 2 4 3" xfId="25662" xr:uid="{00000000-0005-0000-0000-000035340000}"/>
    <cellStyle name="Normal 21 3 2 5" xfId="13255" xr:uid="{00000000-0005-0000-0000-000036340000}"/>
    <cellStyle name="Normal 21 3 2 5 2" xfId="29798" xr:uid="{00000000-0005-0000-0000-000037340000}"/>
    <cellStyle name="Normal 21 3 2 6" xfId="21755" xr:uid="{00000000-0005-0000-0000-000038340000}"/>
    <cellStyle name="Normal 21 3 3" xfId="3660" xr:uid="{00000000-0005-0000-0000-000039340000}"/>
    <cellStyle name="Normal 21 3 3 2" xfId="3661" xr:uid="{00000000-0005-0000-0000-00003A340000}"/>
    <cellStyle name="Normal 21 3 3 2 2" xfId="7776" xr:uid="{00000000-0005-0000-0000-00003B340000}"/>
    <cellStyle name="Normal 21 3 3 2 2 2" xfId="17136" xr:uid="{00000000-0005-0000-0000-00003C340000}"/>
    <cellStyle name="Normal 21 3 3 2 2 2 2" xfId="33710" xr:uid="{00000000-0005-0000-0000-00003D340000}"/>
    <cellStyle name="Normal 21 3 3 2 2 3" xfId="25663" xr:uid="{00000000-0005-0000-0000-00003E340000}"/>
    <cellStyle name="Normal 21 3 3 2 3" xfId="13260" xr:uid="{00000000-0005-0000-0000-00003F340000}"/>
    <cellStyle name="Normal 21 3 3 2 3 2" xfId="29803" xr:uid="{00000000-0005-0000-0000-000040340000}"/>
    <cellStyle name="Normal 21 3 3 2 4" xfId="21760" xr:uid="{00000000-0005-0000-0000-000041340000}"/>
    <cellStyle name="Normal 21 3 3 3" xfId="7777" xr:uid="{00000000-0005-0000-0000-000042340000}"/>
    <cellStyle name="Normal 21 3 3 3 2" xfId="17137" xr:uid="{00000000-0005-0000-0000-000043340000}"/>
    <cellStyle name="Normal 21 3 3 3 2 2" xfId="33711" xr:uid="{00000000-0005-0000-0000-000044340000}"/>
    <cellStyle name="Normal 21 3 3 3 3" xfId="25664" xr:uid="{00000000-0005-0000-0000-000045340000}"/>
    <cellStyle name="Normal 21 3 3 4" xfId="13259" xr:uid="{00000000-0005-0000-0000-000046340000}"/>
    <cellStyle name="Normal 21 3 3 4 2" xfId="29802" xr:uid="{00000000-0005-0000-0000-000047340000}"/>
    <cellStyle name="Normal 21 3 3 5" xfId="21759" xr:uid="{00000000-0005-0000-0000-000048340000}"/>
    <cellStyle name="Normal 21 3 4" xfId="3662" xr:uid="{00000000-0005-0000-0000-000049340000}"/>
    <cellStyle name="Normal 21 3 4 2" xfId="7778" xr:uid="{00000000-0005-0000-0000-00004A340000}"/>
    <cellStyle name="Normal 21 3 4 2 2" xfId="17138" xr:uid="{00000000-0005-0000-0000-00004B340000}"/>
    <cellStyle name="Normal 21 3 4 2 2 2" xfId="33712" xr:uid="{00000000-0005-0000-0000-00004C340000}"/>
    <cellStyle name="Normal 21 3 4 2 3" xfId="25665" xr:uid="{00000000-0005-0000-0000-00004D340000}"/>
    <cellStyle name="Normal 21 3 4 3" xfId="13261" xr:uid="{00000000-0005-0000-0000-00004E340000}"/>
    <cellStyle name="Normal 21 3 4 3 2" xfId="29804" xr:uid="{00000000-0005-0000-0000-00004F340000}"/>
    <cellStyle name="Normal 21 3 4 4" xfId="21761" xr:uid="{00000000-0005-0000-0000-000050340000}"/>
    <cellStyle name="Normal 21 3 5" xfId="3663" xr:uid="{00000000-0005-0000-0000-000051340000}"/>
    <cellStyle name="Normal 21 3 5 2" xfId="13262" xr:uid="{00000000-0005-0000-0000-000052340000}"/>
    <cellStyle name="Normal 21 3 5 2 2" xfId="29805" xr:uid="{00000000-0005-0000-0000-000053340000}"/>
    <cellStyle name="Normal 21 3 5 3" xfId="21762" xr:uid="{00000000-0005-0000-0000-000054340000}"/>
    <cellStyle name="Normal 21 4" xfId="3664" xr:uid="{00000000-0005-0000-0000-000055340000}"/>
    <cellStyle name="Normal 21 4 2" xfId="3665" xr:uid="{00000000-0005-0000-0000-000056340000}"/>
    <cellStyle name="Normal 21 4 2 2" xfId="3666" xr:uid="{00000000-0005-0000-0000-000057340000}"/>
    <cellStyle name="Normal 21 4 2 2 2" xfId="3667" xr:uid="{00000000-0005-0000-0000-000058340000}"/>
    <cellStyle name="Normal 21 4 2 2 2 2" xfId="7779" xr:uid="{00000000-0005-0000-0000-000059340000}"/>
    <cellStyle name="Normal 21 4 2 2 2 2 2" xfId="17139" xr:uid="{00000000-0005-0000-0000-00005A340000}"/>
    <cellStyle name="Normal 21 4 2 2 2 2 2 2" xfId="33713" xr:uid="{00000000-0005-0000-0000-00005B340000}"/>
    <cellStyle name="Normal 21 4 2 2 2 2 3" xfId="25666" xr:uid="{00000000-0005-0000-0000-00005C340000}"/>
    <cellStyle name="Normal 21 4 2 2 2 3" xfId="13266" xr:uid="{00000000-0005-0000-0000-00005D340000}"/>
    <cellStyle name="Normal 21 4 2 2 2 3 2" xfId="29809" xr:uid="{00000000-0005-0000-0000-00005E340000}"/>
    <cellStyle name="Normal 21 4 2 2 2 4" xfId="21766" xr:uid="{00000000-0005-0000-0000-00005F340000}"/>
    <cellStyle name="Normal 21 4 2 2 3" xfId="7780" xr:uid="{00000000-0005-0000-0000-000060340000}"/>
    <cellStyle name="Normal 21 4 2 2 3 2" xfId="17140" xr:uid="{00000000-0005-0000-0000-000061340000}"/>
    <cellStyle name="Normal 21 4 2 2 3 2 2" xfId="33714" xr:uid="{00000000-0005-0000-0000-000062340000}"/>
    <cellStyle name="Normal 21 4 2 2 3 3" xfId="25667" xr:uid="{00000000-0005-0000-0000-000063340000}"/>
    <cellStyle name="Normal 21 4 2 2 4" xfId="13265" xr:uid="{00000000-0005-0000-0000-000064340000}"/>
    <cellStyle name="Normal 21 4 2 2 4 2" xfId="29808" xr:uid="{00000000-0005-0000-0000-000065340000}"/>
    <cellStyle name="Normal 21 4 2 2 5" xfId="21765" xr:uid="{00000000-0005-0000-0000-000066340000}"/>
    <cellStyle name="Normal 21 4 2 3" xfId="3668" xr:uid="{00000000-0005-0000-0000-000067340000}"/>
    <cellStyle name="Normal 21 4 2 3 2" xfId="7781" xr:uid="{00000000-0005-0000-0000-000068340000}"/>
    <cellStyle name="Normal 21 4 2 3 2 2" xfId="17141" xr:uid="{00000000-0005-0000-0000-000069340000}"/>
    <cellStyle name="Normal 21 4 2 3 2 2 2" xfId="33715" xr:uid="{00000000-0005-0000-0000-00006A340000}"/>
    <cellStyle name="Normal 21 4 2 3 2 3" xfId="25668" xr:uid="{00000000-0005-0000-0000-00006B340000}"/>
    <cellStyle name="Normal 21 4 2 3 3" xfId="13267" xr:uid="{00000000-0005-0000-0000-00006C340000}"/>
    <cellStyle name="Normal 21 4 2 3 3 2" xfId="29810" xr:uid="{00000000-0005-0000-0000-00006D340000}"/>
    <cellStyle name="Normal 21 4 2 3 4" xfId="21767" xr:uid="{00000000-0005-0000-0000-00006E340000}"/>
    <cellStyle name="Normal 21 4 2 4" xfId="7782" xr:uid="{00000000-0005-0000-0000-00006F340000}"/>
    <cellStyle name="Normal 21 4 2 4 2" xfId="17142" xr:uid="{00000000-0005-0000-0000-000070340000}"/>
    <cellStyle name="Normal 21 4 2 4 2 2" xfId="33716" xr:uid="{00000000-0005-0000-0000-000071340000}"/>
    <cellStyle name="Normal 21 4 2 4 3" xfId="25669" xr:uid="{00000000-0005-0000-0000-000072340000}"/>
    <cellStyle name="Normal 21 4 2 5" xfId="13264" xr:uid="{00000000-0005-0000-0000-000073340000}"/>
    <cellStyle name="Normal 21 4 2 5 2" xfId="29807" xr:uid="{00000000-0005-0000-0000-000074340000}"/>
    <cellStyle name="Normal 21 4 2 6" xfId="21764" xr:uid="{00000000-0005-0000-0000-000075340000}"/>
    <cellStyle name="Normal 21 4 3" xfId="3669" xr:uid="{00000000-0005-0000-0000-000076340000}"/>
    <cellStyle name="Normal 21 4 3 2" xfId="3670" xr:uid="{00000000-0005-0000-0000-000077340000}"/>
    <cellStyle name="Normal 21 4 3 2 2" xfId="7783" xr:uid="{00000000-0005-0000-0000-000078340000}"/>
    <cellStyle name="Normal 21 4 3 2 2 2" xfId="17143" xr:uid="{00000000-0005-0000-0000-000079340000}"/>
    <cellStyle name="Normal 21 4 3 2 2 2 2" xfId="33717" xr:uid="{00000000-0005-0000-0000-00007A340000}"/>
    <cellStyle name="Normal 21 4 3 2 2 3" xfId="25670" xr:uid="{00000000-0005-0000-0000-00007B340000}"/>
    <cellStyle name="Normal 21 4 3 2 3" xfId="13269" xr:uid="{00000000-0005-0000-0000-00007C340000}"/>
    <cellStyle name="Normal 21 4 3 2 3 2" xfId="29812" xr:uid="{00000000-0005-0000-0000-00007D340000}"/>
    <cellStyle name="Normal 21 4 3 2 4" xfId="21769" xr:uid="{00000000-0005-0000-0000-00007E340000}"/>
    <cellStyle name="Normal 21 4 3 3" xfId="7784" xr:uid="{00000000-0005-0000-0000-00007F340000}"/>
    <cellStyle name="Normal 21 4 3 3 2" xfId="17144" xr:uid="{00000000-0005-0000-0000-000080340000}"/>
    <cellStyle name="Normal 21 4 3 3 2 2" xfId="33718" xr:uid="{00000000-0005-0000-0000-000081340000}"/>
    <cellStyle name="Normal 21 4 3 3 3" xfId="25671" xr:uid="{00000000-0005-0000-0000-000082340000}"/>
    <cellStyle name="Normal 21 4 3 4" xfId="13268" xr:uid="{00000000-0005-0000-0000-000083340000}"/>
    <cellStyle name="Normal 21 4 3 4 2" xfId="29811" xr:uid="{00000000-0005-0000-0000-000084340000}"/>
    <cellStyle name="Normal 21 4 3 5" xfId="21768" xr:uid="{00000000-0005-0000-0000-000085340000}"/>
    <cellStyle name="Normal 21 4 4" xfId="3671" xr:uid="{00000000-0005-0000-0000-000086340000}"/>
    <cellStyle name="Normal 21 4 4 2" xfId="7785" xr:uid="{00000000-0005-0000-0000-000087340000}"/>
    <cellStyle name="Normal 21 4 4 2 2" xfId="17145" xr:uid="{00000000-0005-0000-0000-000088340000}"/>
    <cellStyle name="Normal 21 4 4 2 2 2" xfId="33719" xr:uid="{00000000-0005-0000-0000-000089340000}"/>
    <cellStyle name="Normal 21 4 4 2 3" xfId="25672" xr:uid="{00000000-0005-0000-0000-00008A340000}"/>
    <cellStyle name="Normal 21 4 4 3" xfId="13270" xr:uid="{00000000-0005-0000-0000-00008B340000}"/>
    <cellStyle name="Normal 21 4 4 3 2" xfId="29813" xr:uid="{00000000-0005-0000-0000-00008C340000}"/>
    <cellStyle name="Normal 21 4 4 4" xfId="21770" xr:uid="{00000000-0005-0000-0000-00008D340000}"/>
    <cellStyle name="Normal 21 4 5" xfId="7786" xr:uid="{00000000-0005-0000-0000-00008E340000}"/>
    <cellStyle name="Normal 21 4 5 2" xfId="17146" xr:uid="{00000000-0005-0000-0000-00008F340000}"/>
    <cellStyle name="Normal 21 4 5 2 2" xfId="33720" xr:uid="{00000000-0005-0000-0000-000090340000}"/>
    <cellStyle name="Normal 21 4 5 3" xfId="25673" xr:uid="{00000000-0005-0000-0000-000091340000}"/>
    <cellStyle name="Normal 21 4 6" xfId="13263" xr:uid="{00000000-0005-0000-0000-000092340000}"/>
    <cellStyle name="Normal 21 4 6 2" xfId="29806" xr:uid="{00000000-0005-0000-0000-000093340000}"/>
    <cellStyle name="Normal 21 4 7" xfId="21763" xr:uid="{00000000-0005-0000-0000-000094340000}"/>
    <cellStyle name="Normal 21 5" xfId="3672" xr:uid="{00000000-0005-0000-0000-000095340000}"/>
    <cellStyle name="Normal 21 5 2" xfId="3673" xr:uid="{00000000-0005-0000-0000-000096340000}"/>
    <cellStyle name="Normal 21 5 2 2" xfId="3674" xr:uid="{00000000-0005-0000-0000-000097340000}"/>
    <cellStyle name="Normal 21 5 2 2 2" xfId="3675" xr:uid="{00000000-0005-0000-0000-000098340000}"/>
    <cellStyle name="Normal 21 5 2 2 2 2" xfId="7787" xr:uid="{00000000-0005-0000-0000-000099340000}"/>
    <cellStyle name="Normal 21 5 2 2 2 2 2" xfId="17147" xr:uid="{00000000-0005-0000-0000-00009A340000}"/>
    <cellStyle name="Normal 21 5 2 2 2 2 2 2" xfId="33721" xr:uid="{00000000-0005-0000-0000-00009B340000}"/>
    <cellStyle name="Normal 21 5 2 2 2 2 3" xfId="25674" xr:uid="{00000000-0005-0000-0000-00009C340000}"/>
    <cellStyle name="Normal 21 5 2 2 2 3" xfId="13274" xr:uid="{00000000-0005-0000-0000-00009D340000}"/>
    <cellStyle name="Normal 21 5 2 2 2 3 2" xfId="29817" xr:uid="{00000000-0005-0000-0000-00009E340000}"/>
    <cellStyle name="Normal 21 5 2 2 2 4" xfId="21774" xr:uid="{00000000-0005-0000-0000-00009F340000}"/>
    <cellStyle name="Normal 21 5 2 2 3" xfId="7788" xr:uid="{00000000-0005-0000-0000-0000A0340000}"/>
    <cellStyle name="Normal 21 5 2 2 3 2" xfId="17148" xr:uid="{00000000-0005-0000-0000-0000A1340000}"/>
    <cellStyle name="Normal 21 5 2 2 3 2 2" xfId="33722" xr:uid="{00000000-0005-0000-0000-0000A2340000}"/>
    <cellStyle name="Normal 21 5 2 2 3 3" xfId="25675" xr:uid="{00000000-0005-0000-0000-0000A3340000}"/>
    <cellStyle name="Normal 21 5 2 2 4" xfId="13273" xr:uid="{00000000-0005-0000-0000-0000A4340000}"/>
    <cellStyle name="Normal 21 5 2 2 4 2" xfId="29816" xr:uid="{00000000-0005-0000-0000-0000A5340000}"/>
    <cellStyle name="Normal 21 5 2 2 5" xfId="21773" xr:uid="{00000000-0005-0000-0000-0000A6340000}"/>
    <cellStyle name="Normal 21 5 2 3" xfId="3676" xr:uid="{00000000-0005-0000-0000-0000A7340000}"/>
    <cellStyle name="Normal 21 5 2 3 2" xfId="7789" xr:uid="{00000000-0005-0000-0000-0000A8340000}"/>
    <cellStyle name="Normal 21 5 2 3 2 2" xfId="17149" xr:uid="{00000000-0005-0000-0000-0000A9340000}"/>
    <cellStyle name="Normal 21 5 2 3 2 2 2" xfId="33723" xr:uid="{00000000-0005-0000-0000-0000AA340000}"/>
    <cellStyle name="Normal 21 5 2 3 2 3" xfId="25676" xr:uid="{00000000-0005-0000-0000-0000AB340000}"/>
    <cellStyle name="Normal 21 5 2 3 3" xfId="13275" xr:uid="{00000000-0005-0000-0000-0000AC340000}"/>
    <cellStyle name="Normal 21 5 2 3 3 2" xfId="29818" xr:uid="{00000000-0005-0000-0000-0000AD340000}"/>
    <cellStyle name="Normal 21 5 2 3 4" xfId="21775" xr:uid="{00000000-0005-0000-0000-0000AE340000}"/>
    <cellStyle name="Normal 21 5 2 4" xfId="7790" xr:uid="{00000000-0005-0000-0000-0000AF340000}"/>
    <cellStyle name="Normal 21 5 2 4 2" xfId="17150" xr:uid="{00000000-0005-0000-0000-0000B0340000}"/>
    <cellStyle name="Normal 21 5 2 4 2 2" xfId="33724" xr:uid="{00000000-0005-0000-0000-0000B1340000}"/>
    <cellStyle name="Normal 21 5 2 4 3" xfId="25677" xr:uid="{00000000-0005-0000-0000-0000B2340000}"/>
    <cellStyle name="Normal 21 5 2 5" xfId="13272" xr:uid="{00000000-0005-0000-0000-0000B3340000}"/>
    <cellStyle name="Normal 21 5 2 5 2" xfId="29815" xr:uid="{00000000-0005-0000-0000-0000B4340000}"/>
    <cellStyle name="Normal 21 5 2 6" xfId="21772" xr:uid="{00000000-0005-0000-0000-0000B5340000}"/>
    <cellStyle name="Normal 21 5 3" xfId="3677" xr:uid="{00000000-0005-0000-0000-0000B6340000}"/>
    <cellStyle name="Normal 21 5 3 2" xfId="3678" xr:uid="{00000000-0005-0000-0000-0000B7340000}"/>
    <cellStyle name="Normal 21 5 3 2 2" xfId="7791" xr:uid="{00000000-0005-0000-0000-0000B8340000}"/>
    <cellStyle name="Normal 21 5 3 2 2 2" xfId="17151" xr:uid="{00000000-0005-0000-0000-0000B9340000}"/>
    <cellStyle name="Normal 21 5 3 2 2 2 2" xfId="33725" xr:uid="{00000000-0005-0000-0000-0000BA340000}"/>
    <cellStyle name="Normal 21 5 3 2 2 3" xfId="25678" xr:uid="{00000000-0005-0000-0000-0000BB340000}"/>
    <cellStyle name="Normal 21 5 3 2 3" xfId="13277" xr:uid="{00000000-0005-0000-0000-0000BC340000}"/>
    <cellStyle name="Normal 21 5 3 2 3 2" xfId="29820" xr:uid="{00000000-0005-0000-0000-0000BD340000}"/>
    <cellStyle name="Normal 21 5 3 2 4" xfId="21777" xr:uid="{00000000-0005-0000-0000-0000BE340000}"/>
    <cellStyle name="Normal 21 5 3 3" xfId="7792" xr:uid="{00000000-0005-0000-0000-0000BF340000}"/>
    <cellStyle name="Normal 21 5 3 3 2" xfId="17152" xr:uid="{00000000-0005-0000-0000-0000C0340000}"/>
    <cellStyle name="Normal 21 5 3 3 2 2" xfId="33726" xr:uid="{00000000-0005-0000-0000-0000C1340000}"/>
    <cellStyle name="Normal 21 5 3 3 3" xfId="25679" xr:uid="{00000000-0005-0000-0000-0000C2340000}"/>
    <cellStyle name="Normal 21 5 3 4" xfId="13276" xr:uid="{00000000-0005-0000-0000-0000C3340000}"/>
    <cellStyle name="Normal 21 5 3 4 2" xfId="29819" xr:uid="{00000000-0005-0000-0000-0000C4340000}"/>
    <cellStyle name="Normal 21 5 3 5" xfId="21776" xr:uid="{00000000-0005-0000-0000-0000C5340000}"/>
    <cellStyle name="Normal 21 5 4" xfId="3679" xr:uid="{00000000-0005-0000-0000-0000C6340000}"/>
    <cellStyle name="Normal 21 5 4 2" xfId="7793" xr:uid="{00000000-0005-0000-0000-0000C7340000}"/>
    <cellStyle name="Normal 21 5 4 2 2" xfId="17153" xr:uid="{00000000-0005-0000-0000-0000C8340000}"/>
    <cellStyle name="Normal 21 5 4 2 2 2" xfId="33727" xr:uid="{00000000-0005-0000-0000-0000C9340000}"/>
    <cellStyle name="Normal 21 5 4 2 3" xfId="25680" xr:uid="{00000000-0005-0000-0000-0000CA340000}"/>
    <cellStyle name="Normal 21 5 4 3" xfId="13278" xr:uid="{00000000-0005-0000-0000-0000CB340000}"/>
    <cellStyle name="Normal 21 5 4 3 2" xfId="29821" xr:uid="{00000000-0005-0000-0000-0000CC340000}"/>
    <cellStyle name="Normal 21 5 4 4" xfId="21778" xr:uid="{00000000-0005-0000-0000-0000CD340000}"/>
    <cellStyle name="Normal 21 5 5" xfId="7794" xr:uid="{00000000-0005-0000-0000-0000CE340000}"/>
    <cellStyle name="Normal 21 5 5 2" xfId="17154" xr:uid="{00000000-0005-0000-0000-0000CF340000}"/>
    <cellStyle name="Normal 21 5 5 2 2" xfId="33728" xr:uid="{00000000-0005-0000-0000-0000D0340000}"/>
    <cellStyle name="Normal 21 5 5 3" xfId="25681" xr:uid="{00000000-0005-0000-0000-0000D1340000}"/>
    <cellStyle name="Normal 21 5 6" xfId="13271" xr:uid="{00000000-0005-0000-0000-0000D2340000}"/>
    <cellStyle name="Normal 21 5 6 2" xfId="29814" xr:uid="{00000000-0005-0000-0000-0000D3340000}"/>
    <cellStyle name="Normal 21 5 7" xfId="21771" xr:uid="{00000000-0005-0000-0000-0000D4340000}"/>
    <cellStyle name="Normal 21 6" xfId="3680" xr:uid="{00000000-0005-0000-0000-0000D5340000}"/>
    <cellStyle name="Normal 21 6 2" xfId="3681" xr:uid="{00000000-0005-0000-0000-0000D6340000}"/>
    <cellStyle name="Normal 21 6 2 2" xfId="3682" xr:uid="{00000000-0005-0000-0000-0000D7340000}"/>
    <cellStyle name="Normal 21 6 2 2 2" xfId="7795" xr:uid="{00000000-0005-0000-0000-0000D8340000}"/>
    <cellStyle name="Normal 21 6 2 2 2 2" xfId="17155" xr:uid="{00000000-0005-0000-0000-0000D9340000}"/>
    <cellStyle name="Normal 21 6 2 2 2 2 2" xfId="33729" xr:uid="{00000000-0005-0000-0000-0000DA340000}"/>
    <cellStyle name="Normal 21 6 2 2 2 3" xfId="25682" xr:uid="{00000000-0005-0000-0000-0000DB340000}"/>
    <cellStyle name="Normal 21 6 2 2 3" xfId="13281" xr:uid="{00000000-0005-0000-0000-0000DC340000}"/>
    <cellStyle name="Normal 21 6 2 2 3 2" xfId="29824" xr:uid="{00000000-0005-0000-0000-0000DD340000}"/>
    <cellStyle name="Normal 21 6 2 2 4" xfId="21781" xr:uid="{00000000-0005-0000-0000-0000DE340000}"/>
    <cellStyle name="Normal 21 6 2 3" xfId="7796" xr:uid="{00000000-0005-0000-0000-0000DF340000}"/>
    <cellStyle name="Normal 21 6 2 3 2" xfId="17156" xr:uid="{00000000-0005-0000-0000-0000E0340000}"/>
    <cellStyle name="Normal 21 6 2 3 2 2" xfId="33730" xr:uid="{00000000-0005-0000-0000-0000E1340000}"/>
    <cellStyle name="Normal 21 6 2 3 3" xfId="25683" xr:uid="{00000000-0005-0000-0000-0000E2340000}"/>
    <cellStyle name="Normal 21 6 2 4" xfId="13280" xr:uid="{00000000-0005-0000-0000-0000E3340000}"/>
    <cellStyle name="Normal 21 6 2 4 2" xfId="29823" xr:uid="{00000000-0005-0000-0000-0000E4340000}"/>
    <cellStyle name="Normal 21 6 2 5" xfId="21780" xr:uid="{00000000-0005-0000-0000-0000E5340000}"/>
    <cellStyle name="Normal 21 6 3" xfId="3683" xr:uid="{00000000-0005-0000-0000-0000E6340000}"/>
    <cellStyle name="Normal 21 6 3 2" xfId="7797" xr:uid="{00000000-0005-0000-0000-0000E7340000}"/>
    <cellStyle name="Normal 21 6 3 2 2" xfId="17157" xr:uid="{00000000-0005-0000-0000-0000E8340000}"/>
    <cellStyle name="Normal 21 6 3 2 2 2" xfId="33731" xr:uid="{00000000-0005-0000-0000-0000E9340000}"/>
    <cellStyle name="Normal 21 6 3 2 3" xfId="25684" xr:uid="{00000000-0005-0000-0000-0000EA340000}"/>
    <cellStyle name="Normal 21 6 3 3" xfId="13282" xr:uid="{00000000-0005-0000-0000-0000EB340000}"/>
    <cellStyle name="Normal 21 6 3 3 2" xfId="29825" xr:uid="{00000000-0005-0000-0000-0000EC340000}"/>
    <cellStyle name="Normal 21 6 3 4" xfId="21782" xr:uid="{00000000-0005-0000-0000-0000ED340000}"/>
    <cellStyle name="Normal 21 6 4" xfId="7798" xr:uid="{00000000-0005-0000-0000-0000EE340000}"/>
    <cellStyle name="Normal 21 6 4 2" xfId="17158" xr:uid="{00000000-0005-0000-0000-0000EF340000}"/>
    <cellStyle name="Normal 21 6 4 2 2" xfId="33732" xr:uid="{00000000-0005-0000-0000-0000F0340000}"/>
    <cellStyle name="Normal 21 6 4 3" xfId="25685" xr:uid="{00000000-0005-0000-0000-0000F1340000}"/>
    <cellStyle name="Normal 21 6 5" xfId="13279" xr:uid="{00000000-0005-0000-0000-0000F2340000}"/>
    <cellStyle name="Normal 21 6 5 2" xfId="29822" xr:uid="{00000000-0005-0000-0000-0000F3340000}"/>
    <cellStyle name="Normal 21 6 6" xfId="21779" xr:uid="{00000000-0005-0000-0000-0000F4340000}"/>
    <cellStyle name="Normal 21 7" xfId="3684" xr:uid="{00000000-0005-0000-0000-0000F5340000}"/>
    <cellStyle name="Normal 21 7 2" xfId="3685" xr:uid="{00000000-0005-0000-0000-0000F6340000}"/>
    <cellStyle name="Normal 21 7 2 2" xfId="7799" xr:uid="{00000000-0005-0000-0000-0000F7340000}"/>
    <cellStyle name="Normal 21 7 2 2 2" xfId="17159" xr:uid="{00000000-0005-0000-0000-0000F8340000}"/>
    <cellStyle name="Normal 21 7 2 2 2 2" xfId="33733" xr:uid="{00000000-0005-0000-0000-0000F9340000}"/>
    <cellStyle name="Normal 21 7 2 2 3" xfId="25686" xr:uid="{00000000-0005-0000-0000-0000FA340000}"/>
    <cellStyle name="Normal 21 7 2 3" xfId="13284" xr:uid="{00000000-0005-0000-0000-0000FB340000}"/>
    <cellStyle name="Normal 21 7 2 3 2" xfId="29827" xr:uid="{00000000-0005-0000-0000-0000FC340000}"/>
    <cellStyle name="Normal 21 7 2 4" xfId="21784" xr:uid="{00000000-0005-0000-0000-0000FD340000}"/>
    <cellStyle name="Normal 21 7 3" xfId="7800" xr:uid="{00000000-0005-0000-0000-0000FE340000}"/>
    <cellStyle name="Normal 21 7 3 2" xfId="17160" xr:uid="{00000000-0005-0000-0000-0000FF340000}"/>
    <cellStyle name="Normal 21 7 3 2 2" xfId="33734" xr:uid="{00000000-0005-0000-0000-000000350000}"/>
    <cellStyle name="Normal 21 7 3 3" xfId="25687" xr:uid="{00000000-0005-0000-0000-000001350000}"/>
    <cellStyle name="Normal 21 7 4" xfId="13283" xr:uid="{00000000-0005-0000-0000-000002350000}"/>
    <cellStyle name="Normal 21 7 4 2" xfId="29826" xr:uid="{00000000-0005-0000-0000-000003350000}"/>
    <cellStyle name="Normal 21 7 5" xfId="21783" xr:uid="{00000000-0005-0000-0000-000004350000}"/>
    <cellStyle name="Normal 21 8" xfId="3686" xr:uid="{00000000-0005-0000-0000-000005350000}"/>
    <cellStyle name="Normal 21 8 2" xfId="7801" xr:uid="{00000000-0005-0000-0000-000006350000}"/>
    <cellStyle name="Normal 21 8 2 2" xfId="17161" xr:uid="{00000000-0005-0000-0000-000007350000}"/>
    <cellStyle name="Normal 21 8 2 2 2" xfId="33735" xr:uid="{00000000-0005-0000-0000-000008350000}"/>
    <cellStyle name="Normal 21 8 2 3" xfId="25688" xr:uid="{00000000-0005-0000-0000-000009350000}"/>
    <cellStyle name="Normal 21 8 3" xfId="13285" xr:uid="{00000000-0005-0000-0000-00000A350000}"/>
    <cellStyle name="Normal 21 8 3 2" xfId="29828" xr:uid="{00000000-0005-0000-0000-00000B350000}"/>
    <cellStyle name="Normal 21 8 4" xfId="21785" xr:uid="{00000000-0005-0000-0000-00000C350000}"/>
    <cellStyle name="Normal 21 9" xfId="7802" xr:uid="{00000000-0005-0000-0000-00000D350000}"/>
    <cellStyle name="Normal 21 9 2" xfId="17162" xr:uid="{00000000-0005-0000-0000-00000E350000}"/>
    <cellStyle name="Normal 21 9 2 2" xfId="33736" xr:uid="{00000000-0005-0000-0000-00000F350000}"/>
    <cellStyle name="Normal 21 9 3" xfId="25689" xr:uid="{00000000-0005-0000-0000-000010350000}"/>
    <cellStyle name="Normal 210" xfId="10634" xr:uid="{00000000-0005-0000-0000-000011350000}"/>
    <cellStyle name="Normal 211" xfId="10637" xr:uid="{00000000-0005-0000-0000-000012350000}"/>
    <cellStyle name="Normal 212" xfId="10640" xr:uid="{00000000-0005-0000-0000-000013350000}"/>
    <cellStyle name="Normal 213" xfId="10643" xr:uid="{00000000-0005-0000-0000-000014350000}"/>
    <cellStyle name="Normal 214" xfId="10646" xr:uid="{00000000-0005-0000-0000-000015350000}"/>
    <cellStyle name="Normal 215" xfId="10649" xr:uid="{00000000-0005-0000-0000-000016350000}"/>
    <cellStyle name="Normal 216" xfId="10652" xr:uid="{00000000-0005-0000-0000-000017350000}"/>
    <cellStyle name="Normal 217" xfId="10655" xr:uid="{00000000-0005-0000-0000-000018350000}"/>
    <cellStyle name="Normal 218" xfId="10658" xr:uid="{00000000-0005-0000-0000-000019350000}"/>
    <cellStyle name="Normal 219" xfId="10661" xr:uid="{00000000-0005-0000-0000-00001A350000}"/>
    <cellStyle name="Normal 22" xfId="3687" xr:uid="{00000000-0005-0000-0000-00001B350000}"/>
    <cellStyle name="Normal 22 10" xfId="13286" xr:uid="{00000000-0005-0000-0000-00001C350000}"/>
    <cellStyle name="Normal 22 10 2" xfId="29829" xr:uid="{00000000-0005-0000-0000-00001D350000}"/>
    <cellStyle name="Normal 22 11" xfId="21786" xr:uid="{00000000-0005-0000-0000-00001E350000}"/>
    <cellStyle name="Normal 22 12" xfId="36895" xr:uid="{00000000-0005-0000-0000-00001F350000}"/>
    <cellStyle name="Normal 22 2" xfId="3688" xr:uid="{00000000-0005-0000-0000-000020350000}"/>
    <cellStyle name="Normal 22 2 2" xfId="3689" xr:uid="{00000000-0005-0000-0000-000021350000}"/>
    <cellStyle name="Normal 22 2 3" xfId="13287" xr:uid="{00000000-0005-0000-0000-000022350000}"/>
    <cellStyle name="Normal 22 2 3 2" xfId="29830" xr:uid="{00000000-0005-0000-0000-000023350000}"/>
    <cellStyle name="Normal 22 2 4" xfId="21787" xr:uid="{00000000-0005-0000-0000-000024350000}"/>
    <cellStyle name="Normal 22 3" xfId="3690" xr:uid="{00000000-0005-0000-0000-000025350000}"/>
    <cellStyle name="Normal 22 3 2" xfId="3691" xr:uid="{00000000-0005-0000-0000-000026350000}"/>
    <cellStyle name="Normal 22 3 2 2" xfId="3692" xr:uid="{00000000-0005-0000-0000-000027350000}"/>
    <cellStyle name="Normal 22 3 2 2 2" xfId="3693" xr:uid="{00000000-0005-0000-0000-000028350000}"/>
    <cellStyle name="Normal 22 3 2 2 2 2" xfId="7803" xr:uid="{00000000-0005-0000-0000-000029350000}"/>
    <cellStyle name="Normal 22 3 2 2 2 2 2" xfId="17163" xr:uid="{00000000-0005-0000-0000-00002A350000}"/>
    <cellStyle name="Normal 22 3 2 2 2 2 2 2" xfId="33737" xr:uid="{00000000-0005-0000-0000-00002B350000}"/>
    <cellStyle name="Normal 22 3 2 2 2 2 3" xfId="25690" xr:uid="{00000000-0005-0000-0000-00002C350000}"/>
    <cellStyle name="Normal 22 3 2 2 2 3" xfId="13290" xr:uid="{00000000-0005-0000-0000-00002D350000}"/>
    <cellStyle name="Normal 22 3 2 2 2 3 2" xfId="29833" xr:uid="{00000000-0005-0000-0000-00002E350000}"/>
    <cellStyle name="Normal 22 3 2 2 2 4" xfId="21790" xr:uid="{00000000-0005-0000-0000-00002F350000}"/>
    <cellStyle name="Normal 22 3 2 2 3" xfId="7804" xr:uid="{00000000-0005-0000-0000-000030350000}"/>
    <cellStyle name="Normal 22 3 2 2 3 2" xfId="17164" xr:uid="{00000000-0005-0000-0000-000031350000}"/>
    <cellStyle name="Normal 22 3 2 2 3 2 2" xfId="33738" xr:uid="{00000000-0005-0000-0000-000032350000}"/>
    <cellStyle name="Normal 22 3 2 2 3 3" xfId="25691" xr:uid="{00000000-0005-0000-0000-000033350000}"/>
    <cellStyle name="Normal 22 3 2 2 4" xfId="13289" xr:uid="{00000000-0005-0000-0000-000034350000}"/>
    <cellStyle name="Normal 22 3 2 2 4 2" xfId="29832" xr:uid="{00000000-0005-0000-0000-000035350000}"/>
    <cellStyle name="Normal 22 3 2 2 5" xfId="21789" xr:uid="{00000000-0005-0000-0000-000036350000}"/>
    <cellStyle name="Normal 22 3 2 3" xfId="3694" xr:uid="{00000000-0005-0000-0000-000037350000}"/>
    <cellStyle name="Normal 22 3 2 3 2" xfId="7805" xr:uid="{00000000-0005-0000-0000-000038350000}"/>
    <cellStyle name="Normal 22 3 2 3 2 2" xfId="17165" xr:uid="{00000000-0005-0000-0000-000039350000}"/>
    <cellStyle name="Normal 22 3 2 3 2 2 2" xfId="33739" xr:uid="{00000000-0005-0000-0000-00003A350000}"/>
    <cellStyle name="Normal 22 3 2 3 2 3" xfId="25692" xr:uid="{00000000-0005-0000-0000-00003B350000}"/>
    <cellStyle name="Normal 22 3 2 3 3" xfId="13291" xr:uid="{00000000-0005-0000-0000-00003C350000}"/>
    <cellStyle name="Normal 22 3 2 3 3 2" xfId="29834" xr:uid="{00000000-0005-0000-0000-00003D350000}"/>
    <cellStyle name="Normal 22 3 2 3 4" xfId="21791" xr:uid="{00000000-0005-0000-0000-00003E350000}"/>
    <cellStyle name="Normal 22 3 2 4" xfId="7806" xr:uid="{00000000-0005-0000-0000-00003F350000}"/>
    <cellStyle name="Normal 22 3 2 4 2" xfId="17166" xr:uid="{00000000-0005-0000-0000-000040350000}"/>
    <cellStyle name="Normal 22 3 2 4 2 2" xfId="33740" xr:uid="{00000000-0005-0000-0000-000041350000}"/>
    <cellStyle name="Normal 22 3 2 4 3" xfId="25693" xr:uid="{00000000-0005-0000-0000-000042350000}"/>
    <cellStyle name="Normal 22 3 2 5" xfId="13288" xr:uid="{00000000-0005-0000-0000-000043350000}"/>
    <cellStyle name="Normal 22 3 2 5 2" xfId="29831" xr:uid="{00000000-0005-0000-0000-000044350000}"/>
    <cellStyle name="Normal 22 3 2 6" xfId="21788" xr:uid="{00000000-0005-0000-0000-000045350000}"/>
    <cellStyle name="Normal 22 3 3" xfId="3695" xr:uid="{00000000-0005-0000-0000-000046350000}"/>
    <cellStyle name="Normal 22 3 3 2" xfId="3696" xr:uid="{00000000-0005-0000-0000-000047350000}"/>
    <cellStyle name="Normal 22 3 3 2 2" xfId="7807" xr:uid="{00000000-0005-0000-0000-000048350000}"/>
    <cellStyle name="Normal 22 3 3 2 2 2" xfId="17167" xr:uid="{00000000-0005-0000-0000-000049350000}"/>
    <cellStyle name="Normal 22 3 3 2 2 2 2" xfId="33741" xr:uid="{00000000-0005-0000-0000-00004A350000}"/>
    <cellStyle name="Normal 22 3 3 2 2 3" xfId="25694" xr:uid="{00000000-0005-0000-0000-00004B350000}"/>
    <cellStyle name="Normal 22 3 3 2 3" xfId="13293" xr:uid="{00000000-0005-0000-0000-00004C350000}"/>
    <cellStyle name="Normal 22 3 3 2 3 2" xfId="29836" xr:uid="{00000000-0005-0000-0000-00004D350000}"/>
    <cellStyle name="Normal 22 3 3 2 4" xfId="21793" xr:uid="{00000000-0005-0000-0000-00004E350000}"/>
    <cellStyle name="Normal 22 3 3 3" xfId="7808" xr:uid="{00000000-0005-0000-0000-00004F350000}"/>
    <cellStyle name="Normal 22 3 3 3 2" xfId="17168" xr:uid="{00000000-0005-0000-0000-000050350000}"/>
    <cellStyle name="Normal 22 3 3 3 2 2" xfId="33742" xr:uid="{00000000-0005-0000-0000-000051350000}"/>
    <cellStyle name="Normal 22 3 3 3 3" xfId="25695" xr:uid="{00000000-0005-0000-0000-000052350000}"/>
    <cellStyle name="Normal 22 3 3 4" xfId="13292" xr:uid="{00000000-0005-0000-0000-000053350000}"/>
    <cellStyle name="Normal 22 3 3 4 2" xfId="29835" xr:uid="{00000000-0005-0000-0000-000054350000}"/>
    <cellStyle name="Normal 22 3 3 5" xfId="21792" xr:uid="{00000000-0005-0000-0000-000055350000}"/>
    <cellStyle name="Normal 22 3 4" xfId="3697" xr:uid="{00000000-0005-0000-0000-000056350000}"/>
    <cellStyle name="Normal 22 3 4 2" xfId="7809" xr:uid="{00000000-0005-0000-0000-000057350000}"/>
    <cellStyle name="Normal 22 3 4 2 2" xfId="17169" xr:uid="{00000000-0005-0000-0000-000058350000}"/>
    <cellStyle name="Normal 22 3 4 2 2 2" xfId="33743" xr:uid="{00000000-0005-0000-0000-000059350000}"/>
    <cellStyle name="Normal 22 3 4 2 3" xfId="25696" xr:uid="{00000000-0005-0000-0000-00005A350000}"/>
    <cellStyle name="Normal 22 3 4 3" xfId="13294" xr:uid="{00000000-0005-0000-0000-00005B350000}"/>
    <cellStyle name="Normal 22 3 4 3 2" xfId="29837" xr:uid="{00000000-0005-0000-0000-00005C350000}"/>
    <cellStyle name="Normal 22 3 4 4" xfId="21794" xr:uid="{00000000-0005-0000-0000-00005D350000}"/>
    <cellStyle name="Normal 22 3 5" xfId="3698" xr:uid="{00000000-0005-0000-0000-00005E350000}"/>
    <cellStyle name="Normal 22 3 5 2" xfId="13295" xr:uid="{00000000-0005-0000-0000-00005F350000}"/>
    <cellStyle name="Normal 22 3 5 2 2" xfId="29838" xr:uid="{00000000-0005-0000-0000-000060350000}"/>
    <cellStyle name="Normal 22 3 5 3" xfId="21795" xr:uid="{00000000-0005-0000-0000-000061350000}"/>
    <cellStyle name="Normal 22 4" xfId="3699" xr:uid="{00000000-0005-0000-0000-000062350000}"/>
    <cellStyle name="Normal 22 4 2" xfId="3700" xr:uid="{00000000-0005-0000-0000-000063350000}"/>
    <cellStyle name="Normal 22 4 2 2" xfId="3701" xr:uid="{00000000-0005-0000-0000-000064350000}"/>
    <cellStyle name="Normal 22 4 2 2 2" xfId="3702" xr:uid="{00000000-0005-0000-0000-000065350000}"/>
    <cellStyle name="Normal 22 4 2 2 2 2" xfId="7810" xr:uid="{00000000-0005-0000-0000-000066350000}"/>
    <cellStyle name="Normal 22 4 2 2 2 2 2" xfId="17170" xr:uid="{00000000-0005-0000-0000-000067350000}"/>
    <cellStyle name="Normal 22 4 2 2 2 2 2 2" xfId="33744" xr:uid="{00000000-0005-0000-0000-000068350000}"/>
    <cellStyle name="Normal 22 4 2 2 2 2 3" xfId="25697" xr:uid="{00000000-0005-0000-0000-000069350000}"/>
    <cellStyle name="Normal 22 4 2 2 2 3" xfId="13299" xr:uid="{00000000-0005-0000-0000-00006A350000}"/>
    <cellStyle name="Normal 22 4 2 2 2 3 2" xfId="29842" xr:uid="{00000000-0005-0000-0000-00006B350000}"/>
    <cellStyle name="Normal 22 4 2 2 2 4" xfId="21799" xr:uid="{00000000-0005-0000-0000-00006C350000}"/>
    <cellStyle name="Normal 22 4 2 2 3" xfId="7811" xr:uid="{00000000-0005-0000-0000-00006D350000}"/>
    <cellStyle name="Normal 22 4 2 2 3 2" xfId="17171" xr:uid="{00000000-0005-0000-0000-00006E350000}"/>
    <cellStyle name="Normal 22 4 2 2 3 2 2" xfId="33745" xr:uid="{00000000-0005-0000-0000-00006F350000}"/>
    <cellStyle name="Normal 22 4 2 2 3 3" xfId="25698" xr:uid="{00000000-0005-0000-0000-000070350000}"/>
    <cellStyle name="Normal 22 4 2 2 4" xfId="13298" xr:uid="{00000000-0005-0000-0000-000071350000}"/>
    <cellStyle name="Normal 22 4 2 2 4 2" xfId="29841" xr:uid="{00000000-0005-0000-0000-000072350000}"/>
    <cellStyle name="Normal 22 4 2 2 5" xfId="21798" xr:uid="{00000000-0005-0000-0000-000073350000}"/>
    <cellStyle name="Normal 22 4 2 3" xfId="3703" xr:uid="{00000000-0005-0000-0000-000074350000}"/>
    <cellStyle name="Normal 22 4 2 3 2" xfId="7812" xr:uid="{00000000-0005-0000-0000-000075350000}"/>
    <cellStyle name="Normal 22 4 2 3 2 2" xfId="17172" xr:uid="{00000000-0005-0000-0000-000076350000}"/>
    <cellStyle name="Normal 22 4 2 3 2 2 2" xfId="33746" xr:uid="{00000000-0005-0000-0000-000077350000}"/>
    <cellStyle name="Normal 22 4 2 3 2 3" xfId="25699" xr:uid="{00000000-0005-0000-0000-000078350000}"/>
    <cellStyle name="Normal 22 4 2 3 3" xfId="13300" xr:uid="{00000000-0005-0000-0000-000079350000}"/>
    <cellStyle name="Normal 22 4 2 3 3 2" xfId="29843" xr:uid="{00000000-0005-0000-0000-00007A350000}"/>
    <cellStyle name="Normal 22 4 2 3 4" xfId="21800" xr:uid="{00000000-0005-0000-0000-00007B350000}"/>
    <cellStyle name="Normal 22 4 2 4" xfId="7813" xr:uid="{00000000-0005-0000-0000-00007C350000}"/>
    <cellStyle name="Normal 22 4 2 4 2" xfId="17173" xr:uid="{00000000-0005-0000-0000-00007D350000}"/>
    <cellStyle name="Normal 22 4 2 4 2 2" xfId="33747" xr:uid="{00000000-0005-0000-0000-00007E350000}"/>
    <cellStyle name="Normal 22 4 2 4 3" xfId="25700" xr:uid="{00000000-0005-0000-0000-00007F350000}"/>
    <cellStyle name="Normal 22 4 2 5" xfId="13297" xr:uid="{00000000-0005-0000-0000-000080350000}"/>
    <cellStyle name="Normal 22 4 2 5 2" xfId="29840" xr:uid="{00000000-0005-0000-0000-000081350000}"/>
    <cellStyle name="Normal 22 4 2 6" xfId="21797" xr:uid="{00000000-0005-0000-0000-000082350000}"/>
    <cellStyle name="Normal 22 4 3" xfId="3704" xr:uid="{00000000-0005-0000-0000-000083350000}"/>
    <cellStyle name="Normal 22 4 3 2" xfId="3705" xr:uid="{00000000-0005-0000-0000-000084350000}"/>
    <cellStyle name="Normal 22 4 3 2 2" xfId="7814" xr:uid="{00000000-0005-0000-0000-000085350000}"/>
    <cellStyle name="Normal 22 4 3 2 2 2" xfId="17174" xr:uid="{00000000-0005-0000-0000-000086350000}"/>
    <cellStyle name="Normal 22 4 3 2 2 2 2" xfId="33748" xr:uid="{00000000-0005-0000-0000-000087350000}"/>
    <cellStyle name="Normal 22 4 3 2 2 3" xfId="25701" xr:uid="{00000000-0005-0000-0000-000088350000}"/>
    <cellStyle name="Normal 22 4 3 2 3" xfId="13302" xr:uid="{00000000-0005-0000-0000-000089350000}"/>
    <cellStyle name="Normal 22 4 3 2 3 2" xfId="29845" xr:uid="{00000000-0005-0000-0000-00008A350000}"/>
    <cellStyle name="Normal 22 4 3 2 4" xfId="21802" xr:uid="{00000000-0005-0000-0000-00008B350000}"/>
    <cellStyle name="Normal 22 4 3 3" xfId="7815" xr:uid="{00000000-0005-0000-0000-00008C350000}"/>
    <cellStyle name="Normal 22 4 3 3 2" xfId="17175" xr:uid="{00000000-0005-0000-0000-00008D350000}"/>
    <cellStyle name="Normal 22 4 3 3 2 2" xfId="33749" xr:uid="{00000000-0005-0000-0000-00008E350000}"/>
    <cellStyle name="Normal 22 4 3 3 3" xfId="25702" xr:uid="{00000000-0005-0000-0000-00008F350000}"/>
    <cellStyle name="Normal 22 4 3 4" xfId="13301" xr:uid="{00000000-0005-0000-0000-000090350000}"/>
    <cellStyle name="Normal 22 4 3 4 2" xfId="29844" xr:uid="{00000000-0005-0000-0000-000091350000}"/>
    <cellStyle name="Normal 22 4 3 5" xfId="21801" xr:uid="{00000000-0005-0000-0000-000092350000}"/>
    <cellStyle name="Normal 22 4 4" xfId="3706" xr:uid="{00000000-0005-0000-0000-000093350000}"/>
    <cellStyle name="Normal 22 4 4 2" xfId="7816" xr:uid="{00000000-0005-0000-0000-000094350000}"/>
    <cellStyle name="Normal 22 4 4 2 2" xfId="17176" xr:uid="{00000000-0005-0000-0000-000095350000}"/>
    <cellStyle name="Normal 22 4 4 2 2 2" xfId="33750" xr:uid="{00000000-0005-0000-0000-000096350000}"/>
    <cellStyle name="Normal 22 4 4 2 3" xfId="25703" xr:uid="{00000000-0005-0000-0000-000097350000}"/>
    <cellStyle name="Normal 22 4 4 3" xfId="13303" xr:uid="{00000000-0005-0000-0000-000098350000}"/>
    <cellStyle name="Normal 22 4 4 3 2" xfId="29846" xr:uid="{00000000-0005-0000-0000-000099350000}"/>
    <cellStyle name="Normal 22 4 4 4" xfId="21803" xr:uid="{00000000-0005-0000-0000-00009A350000}"/>
    <cellStyle name="Normal 22 4 5" xfId="7817" xr:uid="{00000000-0005-0000-0000-00009B350000}"/>
    <cellStyle name="Normal 22 4 5 2" xfId="17177" xr:uid="{00000000-0005-0000-0000-00009C350000}"/>
    <cellStyle name="Normal 22 4 5 2 2" xfId="33751" xr:uid="{00000000-0005-0000-0000-00009D350000}"/>
    <cellStyle name="Normal 22 4 5 3" xfId="25704" xr:uid="{00000000-0005-0000-0000-00009E350000}"/>
    <cellStyle name="Normal 22 4 6" xfId="13296" xr:uid="{00000000-0005-0000-0000-00009F350000}"/>
    <cellStyle name="Normal 22 4 6 2" xfId="29839" xr:uid="{00000000-0005-0000-0000-0000A0350000}"/>
    <cellStyle name="Normal 22 4 7" xfId="21796" xr:uid="{00000000-0005-0000-0000-0000A1350000}"/>
    <cellStyle name="Normal 22 5" xfId="3707" xr:uid="{00000000-0005-0000-0000-0000A2350000}"/>
    <cellStyle name="Normal 22 5 2" xfId="3708" xr:uid="{00000000-0005-0000-0000-0000A3350000}"/>
    <cellStyle name="Normal 22 5 2 2" xfId="3709" xr:uid="{00000000-0005-0000-0000-0000A4350000}"/>
    <cellStyle name="Normal 22 5 2 2 2" xfId="3710" xr:uid="{00000000-0005-0000-0000-0000A5350000}"/>
    <cellStyle name="Normal 22 5 2 2 2 2" xfId="7818" xr:uid="{00000000-0005-0000-0000-0000A6350000}"/>
    <cellStyle name="Normal 22 5 2 2 2 2 2" xfId="17178" xr:uid="{00000000-0005-0000-0000-0000A7350000}"/>
    <cellStyle name="Normal 22 5 2 2 2 2 2 2" xfId="33752" xr:uid="{00000000-0005-0000-0000-0000A8350000}"/>
    <cellStyle name="Normal 22 5 2 2 2 2 3" xfId="25705" xr:uid="{00000000-0005-0000-0000-0000A9350000}"/>
    <cellStyle name="Normal 22 5 2 2 2 3" xfId="13307" xr:uid="{00000000-0005-0000-0000-0000AA350000}"/>
    <cellStyle name="Normal 22 5 2 2 2 3 2" xfId="29850" xr:uid="{00000000-0005-0000-0000-0000AB350000}"/>
    <cellStyle name="Normal 22 5 2 2 2 4" xfId="21807" xr:uid="{00000000-0005-0000-0000-0000AC350000}"/>
    <cellStyle name="Normal 22 5 2 2 3" xfId="7819" xr:uid="{00000000-0005-0000-0000-0000AD350000}"/>
    <cellStyle name="Normal 22 5 2 2 3 2" xfId="17179" xr:uid="{00000000-0005-0000-0000-0000AE350000}"/>
    <cellStyle name="Normal 22 5 2 2 3 2 2" xfId="33753" xr:uid="{00000000-0005-0000-0000-0000AF350000}"/>
    <cellStyle name="Normal 22 5 2 2 3 3" xfId="25706" xr:uid="{00000000-0005-0000-0000-0000B0350000}"/>
    <cellStyle name="Normal 22 5 2 2 4" xfId="13306" xr:uid="{00000000-0005-0000-0000-0000B1350000}"/>
    <cellStyle name="Normal 22 5 2 2 4 2" xfId="29849" xr:uid="{00000000-0005-0000-0000-0000B2350000}"/>
    <cellStyle name="Normal 22 5 2 2 5" xfId="21806" xr:uid="{00000000-0005-0000-0000-0000B3350000}"/>
    <cellStyle name="Normal 22 5 2 3" xfId="3711" xr:uid="{00000000-0005-0000-0000-0000B4350000}"/>
    <cellStyle name="Normal 22 5 2 3 2" xfId="7820" xr:uid="{00000000-0005-0000-0000-0000B5350000}"/>
    <cellStyle name="Normal 22 5 2 3 2 2" xfId="17180" xr:uid="{00000000-0005-0000-0000-0000B6350000}"/>
    <cellStyle name="Normal 22 5 2 3 2 2 2" xfId="33754" xr:uid="{00000000-0005-0000-0000-0000B7350000}"/>
    <cellStyle name="Normal 22 5 2 3 2 3" xfId="25707" xr:uid="{00000000-0005-0000-0000-0000B8350000}"/>
    <cellStyle name="Normal 22 5 2 3 3" xfId="13308" xr:uid="{00000000-0005-0000-0000-0000B9350000}"/>
    <cellStyle name="Normal 22 5 2 3 3 2" xfId="29851" xr:uid="{00000000-0005-0000-0000-0000BA350000}"/>
    <cellStyle name="Normal 22 5 2 3 4" xfId="21808" xr:uid="{00000000-0005-0000-0000-0000BB350000}"/>
    <cellStyle name="Normal 22 5 2 4" xfId="7821" xr:uid="{00000000-0005-0000-0000-0000BC350000}"/>
    <cellStyle name="Normal 22 5 2 4 2" xfId="17181" xr:uid="{00000000-0005-0000-0000-0000BD350000}"/>
    <cellStyle name="Normal 22 5 2 4 2 2" xfId="33755" xr:uid="{00000000-0005-0000-0000-0000BE350000}"/>
    <cellStyle name="Normal 22 5 2 4 3" xfId="25708" xr:uid="{00000000-0005-0000-0000-0000BF350000}"/>
    <cellStyle name="Normal 22 5 2 5" xfId="13305" xr:uid="{00000000-0005-0000-0000-0000C0350000}"/>
    <cellStyle name="Normal 22 5 2 5 2" xfId="29848" xr:uid="{00000000-0005-0000-0000-0000C1350000}"/>
    <cellStyle name="Normal 22 5 2 6" xfId="21805" xr:uid="{00000000-0005-0000-0000-0000C2350000}"/>
    <cellStyle name="Normal 22 5 3" xfId="3712" xr:uid="{00000000-0005-0000-0000-0000C3350000}"/>
    <cellStyle name="Normal 22 5 3 2" xfId="3713" xr:uid="{00000000-0005-0000-0000-0000C4350000}"/>
    <cellStyle name="Normal 22 5 3 2 2" xfId="7822" xr:uid="{00000000-0005-0000-0000-0000C5350000}"/>
    <cellStyle name="Normal 22 5 3 2 2 2" xfId="17182" xr:uid="{00000000-0005-0000-0000-0000C6350000}"/>
    <cellStyle name="Normal 22 5 3 2 2 2 2" xfId="33756" xr:uid="{00000000-0005-0000-0000-0000C7350000}"/>
    <cellStyle name="Normal 22 5 3 2 2 3" xfId="25709" xr:uid="{00000000-0005-0000-0000-0000C8350000}"/>
    <cellStyle name="Normal 22 5 3 2 3" xfId="13310" xr:uid="{00000000-0005-0000-0000-0000C9350000}"/>
    <cellStyle name="Normal 22 5 3 2 3 2" xfId="29853" xr:uid="{00000000-0005-0000-0000-0000CA350000}"/>
    <cellStyle name="Normal 22 5 3 2 4" xfId="21810" xr:uid="{00000000-0005-0000-0000-0000CB350000}"/>
    <cellStyle name="Normal 22 5 3 3" xfId="7823" xr:uid="{00000000-0005-0000-0000-0000CC350000}"/>
    <cellStyle name="Normal 22 5 3 3 2" xfId="17183" xr:uid="{00000000-0005-0000-0000-0000CD350000}"/>
    <cellStyle name="Normal 22 5 3 3 2 2" xfId="33757" xr:uid="{00000000-0005-0000-0000-0000CE350000}"/>
    <cellStyle name="Normal 22 5 3 3 3" xfId="25710" xr:uid="{00000000-0005-0000-0000-0000CF350000}"/>
    <cellStyle name="Normal 22 5 3 4" xfId="13309" xr:uid="{00000000-0005-0000-0000-0000D0350000}"/>
    <cellStyle name="Normal 22 5 3 4 2" xfId="29852" xr:uid="{00000000-0005-0000-0000-0000D1350000}"/>
    <cellStyle name="Normal 22 5 3 5" xfId="21809" xr:uid="{00000000-0005-0000-0000-0000D2350000}"/>
    <cellStyle name="Normal 22 5 4" xfId="3714" xr:uid="{00000000-0005-0000-0000-0000D3350000}"/>
    <cellStyle name="Normal 22 5 4 2" xfId="7824" xr:uid="{00000000-0005-0000-0000-0000D4350000}"/>
    <cellStyle name="Normal 22 5 4 2 2" xfId="17184" xr:uid="{00000000-0005-0000-0000-0000D5350000}"/>
    <cellStyle name="Normal 22 5 4 2 2 2" xfId="33758" xr:uid="{00000000-0005-0000-0000-0000D6350000}"/>
    <cellStyle name="Normal 22 5 4 2 3" xfId="25711" xr:uid="{00000000-0005-0000-0000-0000D7350000}"/>
    <cellStyle name="Normal 22 5 4 3" xfId="13311" xr:uid="{00000000-0005-0000-0000-0000D8350000}"/>
    <cellStyle name="Normal 22 5 4 3 2" xfId="29854" xr:uid="{00000000-0005-0000-0000-0000D9350000}"/>
    <cellStyle name="Normal 22 5 4 4" xfId="21811" xr:uid="{00000000-0005-0000-0000-0000DA350000}"/>
    <cellStyle name="Normal 22 5 5" xfId="7825" xr:uid="{00000000-0005-0000-0000-0000DB350000}"/>
    <cellStyle name="Normal 22 5 5 2" xfId="17185" xr:uid="{00000000-0005-0000-0000-0000DC350000}"/>
    <cellStyle name="Normal 22 5 5 2 2" xfId="33759" xr:uid="{00000000-0005-0000-0000-0000DD350000}"/>
    <cellStyle name="Normal 22 5 5 3" xfId="25712" xr:uid="{00000000-0005-0000-0000-0000DE350000}"/>
    <cellStyle name="Normal 22 5 6" xfId="13304" xr:uid="{00000000-0005-0000-0000-0000DF350000}"/>
    <cellStyle name="Normal 22 5 6 2" xfId="29847" xr:uid="{00000000-0005-0000-0000-0000E0350000}"/>
    <cellStyle name="Normal 22 5 7" xfId="21804" xr:uid="{00000000-0005-0000-0000-0000E1350000}"/>
    <cellStyle name="Normal 22 6" xfId="3715" xr:uid="{00000000-0005-0000-0000-0000E2350000}"/>
    <cellStyle name="Normal 22 6 2" xfId="3716" xr:uid="{00000000-0005-0000-0000-0000E3350000}"/>
    <cellStyle name="Normal 22 6 2 2" xfId="3717" xr:uid="{00000000-0005-0000-0000-0000E4350000}"/>
    <cellStyle name="Normal 22 6 2 2 2" xfId="7826" xr:uid="{00000000-0005-0000-0000-0000E5350000}"/>
    <cellStyle name="Normal 22 6 2 2 2 2" xfId="17186" xr:uid="{00000000-0005-0000-0000-0000E6350000}"/>
    <cellStyle name="Normal 22 6 2 2 2 2 2" xfId="33760" xr:uid="{00000000-0005-0000-0000-0000E7350000}"/>
    <cellStyle name="Normal 22 6 2 2 2 3" xfId="25713" xr:uid="{00000000-0005-0000-0000-0000E8350000}"/>
    <cellStyle name="Normal 22 6 2 2 3" xfId="13314" xr:uid="{00000000-0005-0000-0000-0000E9350000}"/>
    <cellStyle name="Normal 22 6 2 2 3 2" xfId="29857" xr:uid="{00000000-0005-0000-0000-0000EA350000}"/>
    <cellStyle name="Normal 22 6 2 2 4" xfId="21814" xr:uid="{00000000-0005-0000-0000-0000EB350000}"/>
    <cellStyle name="Normal 22 6 2 3" xfId="7827" xr:uid="{00000000-0005-0000-0000-0000EC350000}"/>
    <cellStyle name="Normal 22 6 2 3 2" xfId="17187" xr:uid="{00000000-0005-0000-0000-0000ED350000}"/>
    <cellStyle name="Normal 22 6 2 3 2 2" xfId="33761" xr:uid="{00000000-0005-0000-0000-0000EE350000}"/>
    <cellStyle name="Normal 22 6 2 3 3" xfId="25714" xr:uid="{00000000-0005-0000-0000-0000EF350000}"/>
    <cellStyle name="Normal 22 6 2 4" xfId="13313" xr:uid="{00000000-0005-0000-0000-0000F0350000}"/>
    <cellStyle name="Normal 22 6 2 4 2" xfId="29856" xr:uid="{00000000-0005-0000-0000-0000F1350000}"/>
    <cellStyle name="Normal 22 6 2 5" xfId="21813" xr:uid="{00000000-0005-0000-0000-0000F2350000}"/>
    <cellStyle name="Normal 22 6 3" xfId="3718" xr:uid="{00000000-0005-0000-0000-0000F3350000}"/>
    <cellStyle name="Normal 22 6 3 2" xfId="7828" xr:uid="{00000000-0005-0000-0000-0000F4350000}"/>
    <cellStyle name="Normal 22 6 3 2 2" xfId="17188" xr:uid="{00000000-0005-0000-0000-0000F5350000}"/>
    <cellStyle name="Normal 22 6 3 2 2 2" xfId="33762" xr:uid="{00000000-0005-0000-0000-0000F6350000}"/>
    <cellStyle name="Normal 22 6 3 2 3" xfId="25715" xr:uid="{00000000-0005-0000-0000-0000F7350000}"/>
    <cellStyle name="Normal 22 6 3 3" xfId="13315" xr:uid="{00000000-0005-0000-0000-0000F8350000}"/>
    <cellStyle name="Normal 22 6 3 3 2" xfId="29858" xr:uid="{00000000-0005-0000-0000-0000F9350000}"/>
    <cellStyle name="Normal 22 6 3 4" xfId="21815" xr:uid="{00000000-0005-0000-0000-0000FA350000}"/>
    <cellStyle name="Normal 22 6 4" xfId="7829" xr:uid="{00000000-0005-0000-0000-0000FB350000}"/>
    <cellStyle name="Normal 22 6 4 2" xfId="17189" xr:uid="{00000000-0005-0000-0000-0000FC350000}"/>
    <cellStyle name="Normal 22 6 4 2 2" xfId="33763" xr:uid="{00000000-0005-0000-0000-0000FD350000}"/>
    <cellStyle name="Normal 22 6 4 3" xfId="25716" xr:uid="{00000000-0005-0000-0000-0000FE350000}"/>
    <cellStyle name="Normal 22 6 5" xfId="13312" xr:uid="{00000000-0005-0000-0000-0000FF350000}"/>
    <cellStyle name="Normal 22 6 5 2" xfId="29855" xr:uid="{00000000-0005-0000-0000-000000360000}"/>
    <cellStyle name="Normal 22 6 6" xfId="21812" xr:uid="{00000000-0005-0000-0000-000001360000}"/>
    <cellStyle name="Normal 22 7" xfId="3719" xr:uid="{00000000-0005-0000-0000-000002360000}"/>
    <cellStyle name="Normal 22 7 2" xfId="3720" xr:uid="{00000000-0005-0000-0000-000003360000}"/>
    <cellStyle name="Normal 22 7 2 2" xfId="7830" xr:uid="{00000000-0005-0000-0000-000004360000}"/>
    <cellStyle name="Normal 22 7 2 2 2" xfId="17190" xr:uid="{00000000-0005-0000-0000-000005360000}"/>
    <cellStyle name="Normal 22 7 2 2 2 2" xfId="33764" xr:uid="{00000000-0005-0000-0000-000006360000}"/>
    <cellStyle name="Normal 22 7 2 2 3" xfId="25717" xr:uid="{00000000-0005-0000-0000-000007360000}"/>
    <cellStyle name="Normal 22 7 2 3" xfId="13317" xr:uid="{00000000-0005-0000-0000-000008360000}"/>
    <cellStyle name="Normal 22 7 2 3 2" xfId="29860" xr:uid="{00000000-0005-0000-0000-000009360000}"/>
    <cellStyle name="Normal 22 7 2 4" xfId="21817" xr:uid="{00000000-0005-0000-0000-00000A360000}"/>
    <cellStyle name="Normal 22 7 3" xfId="7831" xr:uid="{00000000-0005-0000-0000-00000B360000}"/>
    <cellStyle name="Normal 22 7 3 2" xfId="17191" xr:uid="{00000000-0005-0000-0000-00000C360000}"/>
    <cellStyle name="Normal 22 7 3 2 2" xfId="33765" xr:uid="{00000000-0005-0000-0000-00000D360000}"/>
    <cellStyle name="Normal 22 7 3 3" xfId="25718" xr:uid="{00000000-0005-0000-0000-00000E360000}"/>
    <cellStyle name="Normal 22 7 4" xfId="13316" xr:uid="{00000000-0005-0000-0000-00000F360000}"/>
    <cellStyle name="Normal 22 7 4 2" xfId="29859" xr:uid="{00000000-0005-0000-0000-000010360000}"/>
    <cellStyle name="Normal 22 7 5" xfId="21816" xr:uid="{00000000-0005-0000-0000-000011360000}"/>
    <cellStyle name="Normal 22 8" xfId="3721" xr:uid="{00000000-0005-0000-0000-000012360000}"/>
    <cellStyle name="Normal 22 8 2" xfId="7832" xr:uid="{00000000-0005-0000-0000-000013360000}"/>
    <cellStyle name="Normal 22 8 2 2" xfId="17192" xr:uid="{00000000-0005-0000-0000-000014360000}"/>
    <cellStyle name="Normal 22 8 2 2 2" xfId="33766" xr:uid="{00000000-0005-0000-0000-000015360000}"/>
    <cellStyle name="Normal 22 8 2 3" xfId="25719" xr:uid="{00000000-0005-0000-0000-000016360000}"/>
    <cellStyle name="Normal 22 8 3" xfId="13318" xr:uid="{00000000-0005-0000-0000-000017360000}"/>
    <cellStyle name="Normal 22 8 3 2" xfId="29861" xr:uid="{00000000-0005-0000-0000-000018360000}"/>
    <cellStyle name="Normal 22 8 4" xfId="21818" xr:uid="{00000000-0005-0000-0000-000019360000}"/>
    <cellStyle name="Normal 22 9" xfId="7833" xr:uid="{00000000-0005-0000-0000-00001A360000}"/>
    <cellStyle name="Normal 22 9 2" xfId="17193" xr:uid="{00000000-0005-0000-0000-00001B360000}"/>
    <cellStyle name="Normal 22 9 2 2" xfId="33767" xr:uid="{00000000-0005-0000-0000-00001C360000}"/>
    <cellStyle name="Normal 22 9 3" xfId="25720" xr:uid="{00000000-0005-0000-0000-00001D360000}"/>
    <cellStyle name="Normal 220" xfId="10664" xr:uid="{00000000-0005-0000-0000-00001E360000}"/>
    <cellStyle name="Normal 221" xfId="10667" xr:uid="{00000000-0005-0000-0000-00001F360000}"/>
    <cellStyle name="Normal 222" xfId="10670" xr:uid="{00000000-0005-0000-0000-000020360000}"/>
    <cellStyle name="Normal 223" xfId="10673" xr:uid="{00000000-0005-0000-0000-000021360000}"/>
    <cellStyle name="Normal 224" xfId="10676" xr:uid="{00000000-0005-0000-0000-000022360000}"/>
    <cellStyle name="Normal 225" xfId="10679" xr:uid="{00000000-0005-0000-0000-000023360000}"/>
    <cellStyle name="Normal 226" xfId="10682" xr:uid="{00000000-0005-0000-0000-000024360000}"/>
    <cellStyle name="Normal 227" xfId="10685" xr:uid="{00000000-0005-0000-0000-000025360000}"/>
    <cellStyle name="Normal 228" xfId="10688" xr:uid="{00000000-0005-0000-0000-000026360000}"/>
    <cellStyle name="Normal 229" xfId="10691" xr:uid="{00000000-0005-0000-0000-000027360000}"/>
    <cellStyle name="Normal 23" xfId="3722" xr:uid="{00000000-0005-0000-0000-000028360000}"/>
    <cellStyle name="Normal 23 10" xfId="13319" xr:uid="{00000000-0005-0000-0000-000029360000}"/>
    <cellStyle name="Normal 23 10 2" xfId="29862" xr:uid="{00000000-0005-0000-0000-00002A360000}"/>
    <cellStyle name="Normal 23 11" xfId="21819" xr:uid="{00000000-0005-0000-0000-00002B360000}"/>
    <cellStyle name="Normal 23 12" xfId="36896" xr:uid="{00000000-0005-0000-0000-00002C360000}"/>
    <cellStyle name="Normal 23 2" xfId="3723" xr:uid="{00000000-0005-0000-0000-00002D360000}"/>
    <cellStyle name="Normal 23 2 2" xfId="3724" xr:uid="{00000000-0005-0000-0000-00002E360000}"/>
    <cellStyle name="Normal 23 2 3" xfId="13320" xr:uid="{00000000-0005-0000-0000-00002F360000}"/>
    <cellStyle name="Normal 23 2 3 2" xfId="29863" xr:uid="{00000000-0005-0000-0000-000030360000}"/>
    <cellStyle name="Normal 23 2 4" xfId="21820" xr:uid="{00000000-0005-0000-0000-000031360000}"/>
    <cellStyle name="Normal 23 3" xfId="3725" xr:uid="{00000000-0005-0000-0000-000032360000}"/>
    <cellStyle name="Normal 23 3 2" xfId="3726" xr:uid="{00000000-0005-0000-0000-000033360000}"/>
    <cellStyle name="Normal 23 3 2 2" xfId="3727" xr:uid="{00000000-0005-0000-0000-000034360000}"/>
    <cellStyle name="Normal 23 3 2 2 2" xfId="3728" xr:uid="{00000000-0005-0000-0000-000035360000}"/>
    <cellStyle name="Normal 23 3 2 2 2 2" xfId="7834" xr:uid="{00000000-0005-0000-0000-000036360000}"/>
    <cellStyle name="Normal 23 3 2 2 2 2 2" xfId="17194" xr:uid="{00000000-0005-0000-0000-000037360000}"/>
    <cellStyle name="Normal 23 3 2 2 2 2 2 2" xfId="33768" xr:uid="{00000000-0005-0000-0000-000038360000}"/>
    <cellStyle name="Normal 23 3 2 2 2 2 3" xfId="25721" xr:uid="{00000000-0005-0000-0000-000039360000}"/>
    <cellStyle name="Normal 23 3 2 2 2 3" xfId="13323" xr:uid="{00000000-0005-0000-0000-00003A360000}"/>
    <cellStyle name="Normal 23 3 2 2 2 3 2" xfId="29866" xr:uid="{00000000-0005-0000-0000-00003B360000}"/>
    <cellStyle name="Normal 23 3 2 2 2 4" xfId="21823" xr:uid="{00000000-0005-0000-0000-00003C360000}"/>
    <cellStyle name="Normal 23 3 2 2 3" xfId="7835" xr:uid="{00000000-0005-0000-0000-00003D360000}"/>
    <cellStyle name="Normal 23 3 2 2 3 2" xfId="17195" xr:uid="{00000000-0005-0000-0000-00003E360000}"/>
    <cellStyle name="Normal 23 3 2 2 3 2 2" xfId="33769" xr:uid="{00000000-0005-0000-0000-00003F360000}"/>
    <cellStyle name="Normal 23 3 2 2 3 3" xfId="25722" xr:uid="{00000000-0005-0000-0000-000040360000}"/>
    <cellStyle name="Normal 23 3 2 2 4" xfId="13322" xr:uid="{00000000-0005-0000-0000-000041360000}"/>
    <cellStyle name="Normal 23 3 2 2 4 2" xfId="29865" xr:uid="{00000000-0005-0000-0000-000042360000}"/>
    <cellStyle name="Normal 23 3 2 2 5" xfId="21822" xr:uid="{00000000-0005-0000-0000-000043360000}"/>
    <cellStyle name="Normal 23 3 2 3" xfId="3729" xr:uid="{00000000-0005-0000-0000-000044360000}"/>
    <cellStyle name="Normal 23 3 2 3 2" xfId="7836" xr:uid="{00000000-0005-0000-0000-000045360000}"/>
    <cellStyle name="Normal 23 3 2 3 2 2" xfId="17196" xr:uid="{00000000-0005-0000-0000-000046360000}"/>
    <cellStyle name="Normal 23 3 2 3 2 2 2" xfId="33770" xr:uid="{00000000-0005-0000-0000-000047360000}"/>
    <cellStyle name="Normal 23 3 2 3 2 3" xfId="25723" xr:uid="{00000000-0005-0000-0000-000048360000}"/>
    <cellStyle name="Normal 23 3 2 3 3" xfId="13324" xr:uid="{00000000-0005-0000-0000-000049360000}"/>
    <cellStyle name="Normal 23 3 2 3 3 2" xfId="29867" xr:uid="{00000000-0005-0000-0000-00004A360000}"/>
    <cellStyle name="Normal 23 3 2 3 4" xfId="21824" xr:uid="{00000000-0005-0000-0000-00004B360000}"/>
    <cellStyle name="Normal 23 3 2 4" xfId="7837" xr:uid="{00000000-0005-0000-0000-00004C360000}"/>
    <cellStyle name="Normal 23 3 2 4 2" xfId="17197" xr:uid="{00000000-0005-0000-0000-00004D360000}"/>
    <cellStyle name="Normal 23 3 2 4 2 2" xfId="33771" xr:uid="{00000000-0005-0000-0000-00004E360000}"/>
    <cellStyle name="Normal 23 3 2 4 3" xfId="25724" xr:uid="{00000000-0005-0000-0000-00004F360000}"/>
    <cellStyle name="Normal 23 3 2 5" xfId="13321" xr:uid="{00000000-0005-0000-0000-000050360000}"/>
    <cellStyle name="Normal 23 3 2 5 2" xfId="29864" xr:uid="{00000000-0005-0000-0000-000051360000}"/>
    <cellStyle name="Normal 23 3 2 6" xfId="21821" xr:uid="{00000000-0005-0000-0000-000052360000}"/>
    <cellStyle name="Normal 23 3 3" xfId="3730" xr:uid="{00000000-0005-0000-0000-000053360000}"/>
    <cellStyle name="Normal 23 3 3 2" xfId="3731" xr:uid="{00000000-0005-0000-0000-000054360000}"/>
    <cellStyle name="Normal 23 3 3 2 2" xfId="7838" xr:uid="{00000000-0005-0000-0000-000055360000}"/>
    <cellStyle name="Normal 23 3 3 2 2 2" xfId="17198" xr:uid="{00000000-0005-0000-0000-000056360000}"/>
    <cellStyle name="Normal 23 3 3 2 2 2 2" xfId="33772" xr:uid="{00000000-0005-0000-0000-000057360000}"/>
    <cellStyle name="Normal 23 3 3 2 2 3" xfId="25725" xr:uid="{00000000-0005-0000-0000-000058360000}"/>
    <cellStyle name="Normal 23 3 3 2 3" xfId="13326" xr:uid="{00000000-0005-0000-0000-000059360000}"/>
    <cellStyle name="Normal 23 3 3 2 3 2" xfId="29869" xr:uid="{00000000-0005-0000-0000-00005A360000}"/>
    <cellStyle name="Normal 23 3 3 2 4" xfId="21826" xr:uid="{00000000-0005-0000-0000-00005B360000}"/>
    <cellStyle name="Normal 23 3 3 3" xfId="7839" xr:uid="{00000000-0005-0000-0000-00005C360000}"/>
    <cellStyle name="Normal 23 3 3 3 2" xfId="17199" xr:uid="{00000000-0005-0000-0000-00005D360000}"/>
    <cellStyle name="Normal 23 3 3 3 2 2" xfId="33773" xr:uid="{00000000-0005-0000-0000-00005E360000}"/>
    <cellStyle name="Normal 23 3 3 3 3" xfId="25726" xr:uid="{00000000-0005-0000-0000-00005F360000}"/>
    <cellStyle name="Normal 23 3 3 4" xfId="13325" xr:uid="{00000000-0005-0000-0000-000060360000}"/>
    <cellStyle name="Normal 23 3 3 4 2" xfId="29868" xr:uid="{00000000-0005-0000-0000-000061360000}"/>
    <cellStyle name="Normal 23 3 3 5" xfId="21825" xr:uid="{00000000-0005-0000-0000-000062360000}"/>
    <cellStyle name="Normal 23 3 4" xfId="3732" xr:uid="{00000000-0005-0000-0000-000063360000}"/>
    <cellStyle name="Normal 23 3 4 2" xfId="7840" xr:uid="{00000000-0005-0000-0000-000064360000}"/>
    <cellStyle name="Normal 23 3 4 2 2" xfId="17200" xr:uid="{00000000-0005-0000-0000-000065360000}"/>
    <cellStyle name="Normal 23 3 4 2 2 2" xfId="33774" xr:uid="{00000000-0005-0000-0000-000066360000}"/>
    <cellStyle name="Normal 23 3 4 2 3" xfId="25727" xr:uid="{00000000-0005-0000-0000-000067360000}"/>
    <cellStyle name="Normal 23 3 4 3" xfId="13327" xr:uid="{00000000-0005-0000-0000-000068360000}"/>
    <cellStyle name="Normal 23 3 4 3 2" xfId="29870" xr:uid="{00000000-0005-0000-0000-000069360000}"/>
    <cellStyle name="Normal 23 3 4 4" xfId="21827" xr:uid="{00000000-0005-0000-0000-00006A360000}"/>
    <cellStyle name="Normal 23 3 5" xfId="3733" xr:uid="{00000000-0005-0000-0000-00006B360000}"/>
    <cellStyle name="Normal 23 3 5 2" xfId="13328" xr:uid="{00000000-0005-0000-0000-00006C360000}"/>
    <cellStyle name="Normal 23 3 5 2 2" xfId="29871" xr:uid="{00000000-0005-0000-0000-00006D360000}"/>
    <cellStyle name="Normal 23 3 5 3" xfId="21828" xr:uid="{00000000-0005-0000-0000-00006E360000}"/>
    <cellStyle name="Normal 23 4" xfId="3734" xr:uid="{00000000-0005-0000-0000-00006F360000}"/>
    <cellStyle name="Normal 23 4 2" xfId="3735" xr:uid="{00000000-0005-0000-0000-000070360000}"/>
    <cellStyle name="Normal 23 4 2 2" xfId="3736" xr:uid="{00000000-0005-0000-0000-000071360000}"/>
    <cellStyle name="Normal 23 4 2 2 2" xfId="3737" xr:uid="{00000000-0005-0000-0000-000072360000}"/>
    <cellStyle name="Normal 23 4 2 2 2 2" xfId="7841" xr:uid="{00000000-0005-0000-0000-000073360000}"/>
    <cellStyle name="Normal 23 4 2 2 2 2 2" xfId="17201" xr:uid="{00000000-0005-0000-0000-000074360000}"/>
    <cellStyle name="Normal 23 4 2 2 2 2 2 2" xfId="33775" xr:uid="{00000000-0005-0000-0000-000075360000}"/>
    <cellStyle name="Normal 23 4 2 2 2 2 3" xfId="25728" xr:uid="{00000000-0005-0000-0000-000076360000}"/>
    <cellStyle name="Normal 23 4 2 2 2 3" xfId="13332" xr:uid="{00000000-0005-0000-0000-000077360000}"/>
    <cellStyle name="Normal 23 4 2 2 2 3 2" xfId="29875" xr:uid="{00000000-0005-0000-0000-000078360000}"/>
    <cellStyle name="Normal 23 4 2 2 2 4" xfId="21832" xr:uid="{00000000-0005-0000-0000-000079360000}"/>
    <cellStyle name="Normal 23 4 2 2 3" xfId="7842" xr:uid="{00000000-0005-0000-0000-00007A360000}"/>
    <cellStyle name="Normal 23 4 2 2 3 2" xfId="17202" xr:uid="{00000000-0005-0000-0000-00007B360000}"/>
    <cellStyle name="Normal 23 4 2 2 3 2 2" xfId="33776" xr:uid="{00000000-0005-0000-0000-00007C360000}"/>
    <cellStyle name="Normal 23 4 2 2 3 3" xfId="25729" xr:uid="{00000000-0005-0000-0000-00007D360000}"/>
    <cellStyle name="Normal 23 4 2 2 4" xfId="13331" xr:uid="{00000000-0005-0000-0000-00007E360000}"/>
    <cellStyle name="Normal 23 4 2 2 4 2" xfId="29874" xr:uid="{00000000-0005-0000-0000-00007F360000}"/>
    <cellStyle name="Normal 23 4 2 2 5" xfId="21831" xr:uid="{00000000-0005-0000-0000-000080360000}"/>
    <cellStyle name="Normal 23 4 2 3" xfId="3738" xr:uid="{00000000-0005-0000-0000-000081360000}"/>
    <cellStyle name="Normal 23 4 2 3 2" xfId="7843" xr:uid="{00000000-0005-0000-0000-000082360000}"/>
    <cellStyle name="Normal 23 4 2 3 2 2" xfId="17203" xr:uid="{00000000-0005-0000-0000-000083360000}"/>
    <cellStyle name="Normal 23 4 2 3 2 2 2" xfId="33777" xr:uid="{00000000-0005-0000-0000-000084360000}"/>
    <cellStyle name="Normal 23 4 2 3 2 3" xfId="25730" xr:uid="{00000000-0005-0000-0000-000085360000}"/>
    <cellStyle name="Normal 23 4 2 3 3" xfId="13333" xr:uid="{00000000-0005-0000-0000-000086360000}"/>
    <cellStyle name="Normal 23 4 2 3 3 2" xfId="29876" xr:uid="{00000000-0005-0000-0000-000087360000}"/>
    <cellStyle name="Normal 23 4 2 3 4" xfId="21833" xr:uid="{00000000-0005-0000-0000-000088360000}"/>
    <cellStyle name="Normal 23 4 2 4" xfId="7844" xr:uid="{00000000-0005-0000-0000-000089360000}"/>
    <cellStyle name="Normal 23 4 2 4 2" xfId="17204" xr:uid="{00000000-0005-0000-0000-00008A360000}"/>
    <cellStyle name="Normal 23 4 2 4 2 2" xfId="33778" xr:uid="{00000000-0005-0000-0000-00008B360000}"/>
    <cellStyle name="Normal 23 4 2 4 3" xfId="25731" xr:uid="{00000000-0005-0000-0000-00008C360000}"/>
    <cellStyle name="Normal 23 4 2 5" xfId="13330" xr:uid="{00000000-0005-0000-0000-00008D360000}"/>
    <cellStyle name="Normal 23 4 2 5 2" xfId="29873" xr:uid="{00000000-0005-0000-0000-00008E360000}"/>
    <cellStyle name="Normal 23 4 2 6" xfId="21830" xr:uid="{00000000-0005-0000-0000-00008F360000}"/>
    <cellStyle name="Normal 23 4 3" xfId="3739" xr:uid="{00000000-0005-0000-0000-000090360000}"/>
    <cellStyle name="Normal 23 4 3 2" xfId="3740" xr:uid="{00000000-0005-0000-0000-000091360000}"/>
    <cellStyle name="Normal 23 4 3 2 2" xfId="7845" xr:uid="{00000000-0005-0000-0000-000092360000}"/>
    <cellStyle name="Normal 23 4 3 2 2 2" xfId="17205" xr:uid="{00000000-0005-0000-0000-000093360000}"/>
    <cellStyle name="Normal 23 4 3 2 2 2 2" xfId="33779" xr:uid="{00000000-0005-0000-0000-000094360000}"/>
    <cellStyle name="Normal 23 4 3 2 2 3" xfId="25732" xr:uid="{00000000-0005-0000-0000-000095360000}"/>
    <cellStyle name="Normal 23 4 3 2 3" xfId="13335" xr:uid="{00000000-0005-0000-0000-000096360000}"/>
    <cellStyle name="Normal 23 4 3 2 3 2" xfId="29878" xr:uid="{00000000-0005-0000-0000-000097360000}"/>
    <cellStyle name="Normal 23 4 3 2 4" xfId="21835" xr:uid="{00000000-0005-0000-0000-000098360000}"/>
    <cellStyle name="Normal 23 4 3 3" xfId="7846" xr:uid="{00000000-0005-0000-0000-000099360000}"/>
    <cellStyle name="Normal 23 4 3 3 2" xfId="17206" xr:uid="{00000000-0005-0000-0000-00009A360000}"/>
    <cellStyle name="Normal 23 4 3 3 2 2" xfId="33780" xr:uid="{00000000-0005-0000-0000-00009B360000}"/>
    <cellStyle name="Normal 23 4 3 3 3" xfId="25733" xr:uid="{00000000-0005-0000-0000-00009C360000}"/>
    <cellStyle name="Normal 23 4 3 4" xfId="13334" xr:uid="{00000000-0005-0000-0000-00009D360000}"/>
    <cellStyle name="Normal 23 4 3 4 2" xfId="29877" xr:uid="{00000000-0005-0000-0000-00009E360000}"/>
    <cellStyle name="Normal 23 4 3 5" xfId="21834" xr:uid="{00000000-0005-0000-0000-00009F360000}"/>
    <cellStyle name="Normal 23 4 4" xfId="3741" xr:uid="{00000000-0005-0000-0000-0000A0360000}"/>
    <cellStyle name="Normal 23 4 4 2" xfId="7847" xr:uid="{00000000-0005-0000-0000-0000A1360000}"/>
    <cellStyle name="Normal 23 4 4 2 2" xfId="17207" xr:uid="{00000000-0005-0000-0000-0000A2360000}"/>
    <cellStyle name="Normal 23 4 4 2 2 2" xfId="33781" xr:uid="{00000000-0005-0000-0000-0000A3360000}"/>
    <cellStyle name="Normal 23 4 4 2 3" xfId="25734" xr:uid="{00000000-0005-0000-0000-0000A4360000}"/>
    <cellStyle name="Normal 23 4 4 3" xfId="13336" xr:uid="{00000000-0005-0000-0000-0000A5360000}"/>
    <cellStyle name="Normal 23 4 4 3 2" xfId="29879" xr:uid="{00000000-0005-0000-0000-0000A6360000}"/>
    <cellStyle name="Normal 23 4 4 4" xfId="21836" xr:uid="{00000000-0005-0000-0000-0000A7360000}"/>
    <cellStyle name="Normal 23 4 5" xfId="7848" xr:uid="{00000000-0005-0000-0000-0000A8360000}"/>
    <cellStyle name="Normal 23 4 5 2" xfId="17208" xr:uid="{00000000-0005-0000-0000-0000A9360000}"/>
    <cellStyle name="Normal 23 4 5 2 2" xfId="33782" xr:uid="{00000000-0005-0000-0000-0000AA360000}"/>
    <cellStyle name="Normal 23 4 5 3" xfId="25735" xr:uid="{00000000-0005-0000-0000-0000AB360000}"/>
    <cellStyle name="Normal 23 4 6" xfId="13329" xr:uid="{00000000-0005-0000-0000-0000AC360000}"/>
    <cellStyle name="Normal 23 4 6 2" xfId="29872" xr:uid="{00000000-0005-0000-0000-0000AD360000}"/>
    <cellStyle name="Normal 23 4 7" xfId="21829" xr:uid="{00000000-0005-0000-0000-0000AE360000}"/>
    <cellStyle name="Normal 23 5" xfId="3742" xr:uid="{00000000-0005-0000-0000-0000AF360000}"/>
    <cellStyle name="Normal 23 5 2" xfId="3743" xr:uid="{00000000-0005-0000-0000-0000B0360000}"/>
    <cellStyle name="Normal 23 5 2 2" xfId="3744" xr:uid="{00000000-0005-0000-0000-0000B1360000}"/>
    <cellStyle name="Normal 23 5 2 2 2" xfId="3745" xr:uid="{00000000-0005-0000-0000-0000B2360000}"/>
    <cellStyle name="Normal 23 5 2 2 2 2" xfId="7849" xr:uid="{00000000-0005-0000-0000-0000B3360000}"/>
    <cellStyle name="Normal 23 5 2 2 2 2 2" xfId="17209" xr:uid="{00000000-0005-0000-0000-0000B4360000}"/>
    <cellStyle name="Normal 23 5 2 2 2 2 2 2" xfId="33783" xr:uid="{00000000-0005-0000-0000-0000B5360000}"/>
    <cellStyle name="Normal 23 5 2 2 2 2 3" xfId="25736" xr:uid="{00000000-0005-0000-0000-0000B6360000}"/>
    <cellStyle name="Normal 23 5 2 2 2 3" xfId="13340" xr:uid="{00000000-0005-0000-0000-0000B7360000}"/>
    <cellStyle name="Normal 23 5 2 2 2 3 2" xfId="29883" xr:uid="{00000000-0005-0000-0000-0000B8360000}"/>
    <cellStyle name="Normal 23 5 2 2 2 4" xfId="21840" xr:uid="{00000000-0005-0000-0000-0000B9360000}"/>
    <cellStyle name="Normal 23 5 2 2 3" xfId="7850" xr:uid="{00000000-0005-0000-0000-0000BA360000}"/>
    <cellStyle name="Normal 23 5 2 2 3 2" xfId="17210" xr:uid="{00000000-0005-0000-0000-0000BB360000}"/>
    <cellStyle name="Normal 23 5 2 2 3 2 2" xfId="33784" xr:uid="{00000000-0005-0000-0000-0000BC360000}"/>
    <cellStyle name="Normal 23 5 2 2 3 3" xfId="25737" xr:uid="{00000000-0005-0000-0000-0000BD360000}"/>
    <cellStyle name="Normal 23 5 2 2 4" xfId="13339" xr:uid="{00000000-0005-0000-0000-0000BE360000}"/>
    <cellStyle name="Normal 23 5 2 2 4 2" xfId="29882" xr:uid="{00000000-0005-0000-0000-0000BF360000}"/>
    <cellStyle name="Normal 23 5 2 2 5" xfId="21839" xr:uid="{00000000-0005-0000-0000-0000C0360000}"/>
    <cellStyle name="Normal 23 5 2 3" xfId="3746" xr:uid="{00000000-0005-0000-0000-0000C1360000}"/>
    <cellStyle name="Normal 23 5 2 3 2" xfId="7851" xr:uid="{00000000-0005-0000-0000-0000C2360000}"/>
    <cellStyle name="Normal 23 5 2 3 2 2" xfId="17211" xr:uid="{00000000-0005-0000-0000-0000C3360000}"/>
    <cellStyle name="Normal 23 5 2 3 2 2 2" xfId="33785" xr:uid="{00000000-0005-0000-0000-0000C4360000}"/>
    <cellStyle name="Normal 23 5 2 3 2 3" xfId="25738" xr:uid="{00000000-0005-0000-0000-0000C5360000}"/>
    <cellStyle name="Normal 23 5 2 3 3" xfId="13341" xr:uid="{00000000-0005-0000-0000-0000C6360000}"/>
    <cellStyle name="Normal 23 5 2 3 3 2" xfId="29884" xr:uid="{00000000-0005-0000-0000-0000C7360000}"/>
    <cellStyle name="Normal 23 5 2 3 4" xfId="21841" xr:uid="{00000000-0005-0000-0000-0000C8360000}"/>
    <cellStyle name="Normal 23 5 2 4" xfId="7852" xr:uid="{00000000-0005-0000-0000-0000C9360000}"/>
    <cellStyle name="Normal 23 5 2 4 2" xfId="17212" xr:uid="{00000000-0005-0000-0000-0000CA360000}"/>
    <cellStyle name="Normal 23 5 2 4 2 2" xfId="33786" xr:uid="{00000000-0005-0000-0000-0000CB360000}"/>
    <cellStyle name="Normal 23 5 2 4 3" xfId="25739" xr:uid="{00000000-0005-0000-0000-0000CC360000}"/>
    <cellStyle name="Normal 23 5 2 5" xfId="13338" xr:uid="{00000000-0005-0000-0000-0000CD360000}"/>
    <cellStyle name="Normal 23 5 2 5 2" xfId="29881" xr:uid="{00000000-0005-0000-0000-0000CE360000}"/>
    <cellStyle name="Normal 23 5 2 6" xfId="21838" xr:uid="{00000000-0005-0000-0000-0000CF360000}"/>
    <cellStyle name="Normal 23 5 3" xfId="3747" xr:uid="{00000000-0005-0000-0000-0000D0360000}"/>
    <cellStyle name="Normal 23 5 3 2" xfId="3748" xr:uid="{00000000-0005-0000-0000-0000D1360000}"/>
    <cellStyle name="Normal 23 5 3 2 2" xfId="7853" xr:uid="{00000000-0005-0000-0000-0000D2360000}"/>
    <cellStyle name="Normal 23 5 3 2 2 2" xfId="17213" xr:uid="{00000000-0005-0000-0000-0000D3360000}"/>
    <cellStyle name="Normal 23 5 3 2 2 2 2" xfId="33787" xr:uid="{00000000-0005-0000-0000-0000D4360000}"/>
    <cellStyle name="Normal 23 5 3 2 2 3" xfId="25740" xr:uid="{00000000-0005-0000-0000-0000D5360000}"/>
    <cellStyle name="Normal 23 5 3 2 3" xfId="13343" xr:uid="{00000000-0005-0000-0000-0000D6360000}"/>
    <cellStyle name="Normal 23 5 3 2 3 2" xfId="29886" xr:uid="{00000000-0005-0000-0000-0000D7360000}"/>
    <cellStyle name="Normal 23 5 3 2 4" xfId="21843" xr:uid="{00000000-0005-0000-0000-0000D8360000}"/>
    <cellStyle name="Normal 23 5 3 3" xfId="7854" xr:uid="{00000000-0005-0000-0000-0000D9360000}"/>
    <cellStyle name="Normal 23 5 3 3 2" xfId="17214" xr:uid="{00000000-0005-0000-0000-0000DA360000}"/>
    <cellStyle name="Normal 23 5 3 3 2 2" xfId="33788" xr:uid="{00000000-0005-0000-0000-0000DB360000}"/>
    <cellStyle name="Normal 23 5 3 3 3" xfId="25741" xr:uid="{00000000-0005-0000-0000-0000DC360000}"/>
    <cellStyle name="Normal 23 5 3 4" xfId="13342" xr:uid="{00000000-0005-0000-0000-0000DD360000}"/>
    <cellStyle name="Normal 23 5 3 4 2" xfId="29885" xr:uid="{00000000-0005-0000-0000-0000DE360000}"/>
    <cellStyle name="Normal 23 5 3 5" xfId="21842" xr:uid="{00000000-0005-0000-0000-0000DF360000}"/>
    <cellStyle name="Normal 23 5 4" xfId="3749" xr:uid="{00000000-0005-0000-0000-0000E0360000}"/>
    <cellStyle name="Normal 23 5 4 2" xfId="7855" xr:uid="{00000000-0005-0000-0000-0000E1360000}"/>
    <cellStyle name="Normal 23 5 4 2 2" xfId="17215" xr:uid="{00000000-0005-0000-0000-0000E2360000}"/>
    <cellStyle name="Normal 23 5 4 2 2 2" xfId="33789" xr:uid="{00000000-0005-0000-0000-0000E3360000}"/>
    <cellStyle name="Normal 23 5 4 2 3" xfId="25742" xr:uid="{00000000-0005-0000-0000-0000E4360000}"/>
    <cellStyle name="Normal 23 5 4 3" xfId="13344" xr:uid="{00000000-0005-0000-0000-0000E5360000}"/>
    <cellStyle name="Normal 23 5 4 3 2" xfId="29887" xr:uid="{00000000-0005-0000-0000-0000E6360000}"/>
    <cellStyle name="Normal 23 5 4 4" xfId="21844" xr:uid="{00000000-0005-0000-0000-0000E7360000}"/>
    <cellStyle name="Normal 23 5 5" xfId="7856" xr:uid="{00000000-0005-0000-0000-0000E8360000}"/>
    <cellStyle name="Normal 23 5 5 2" xfId="17216" xr:uid="{00000000-0005-0000-0000-0000E9360000}"/>
    <cellStyle name="Normal 23 5 5 2 2" xfId="33790" xr:uid="{00000000-0005-0000-0000-0000EA360000}"/>
    <cellStyle name="Normal 23 5 5 3" xfId="25743" xr:uid="{00000000-0005-0000-0000-0000EB360000}"/>
    <cellStyle name="Normal 23 5 6" xfId="13337" xr:uid="{00000000-0005-0000-0000-0000EC360000}"/>
    <cellStyle name="Normal 23 5 6 2" xfId="29880" xr:uid="{00000000-0005-0000-0000-0000ED360000}"/>
    <cellStyle name="Normal 23 5 7" xfId="21837" xr:uid="{00000000-0005-0000-0000-0000EE360000}"/>
    <cellStyle name="Normal 23 6" xfId="3750" xr:uid="{00000000-0005-0000-0000-0000EF360000}"/>
    <cellStyle name="Normal 23 6 2" xfId="3751" xr:uid="{00000000-0005-0000-0000-0000F0360000}"/>
    <cellStyle name="Normal 23 6 2 2" xfId="3752" xr:uid="{00000000-0005-0000-0000-0000F1360000}"/>
    <cellStyle name="Normal 23 6 2 2 2" xfId="7857" xr:uid="{00000000-0005-0000-0000-0000F2360000}"/>
    <cellStyle name="Normal 23 6 2 2 2 2" xfId="17217" xr:uid="{00000000-0005-0000-0000-0000F3360000}"/>
    <cellStyle name="Normal 23 6 2 2 2 2 2" xfId="33791" xr:uid="{00000000-0005-0000-0000-0000F4360000}"/>
    <cellStyle name="Normal 23 6 2 2 2 3" xfId="25744" xr:uid="{00000000-0005-0000-0000-0000F5360000}"/>
    <cellStyle name="Normal 23 6 2 2 3" xfId="13347" xr:uid="{00000000-0005-0000-0000-0000F6360000}"/>
    <cellStyle name="Normal 23 6 2 2 3 2" xfId="29890" xr:uid="{00000000-0005-0000-0000-0000F7360000}"/>
    <cellStyle name="Normal 23 6 2 2 4" xfId="21847" xr:uid="{00000000-0005-0000-0000-0000F8360000}"/>
    <cellStyle name="Normal 23 6 2 3" xfId="7858" xr:uid="{00000000-0005-0000-0000-0000F9360000}"/>
    <cellStyle name="Normal 23 6 2 3 2" xfId="17218" xr:uid="{00000000-0005-0000-0000-0000FA360000}"/>
    <cellStyle name="Normal 23 6 2 3 2 2" xfId="33792" xr:uid="{00000000-0005-0000-0000-0000FB360000}"/>
    <cellStyle name="Normal 23 6 2 3 3" xfId="25745" xr:uid="{00000000-0005-0000-0000-0000FC360000}"/>
    <cellStyle name="Normal 23 6 2 4" xfId="13346" xr:uid="{00000000-0005-0000-0000-0000FD360000}"/>
    <cellStyle name="Normal 23 6 2 4 2" xfId="29889" xr:uid="{00000000-0005-0000-0000-0000FE360000}"/>
    <cellStyle name="Normal 23 6 2 5" xfId="21846" xr:uid="{00000000-0005-0000-0000-0000FF360000}"/>
    <cellStyle name="Normal 23 6 3" xfId="3753" xr:uid="{00000000-0005-0000-0000-000000370000}"/>
    <cellStyle name="Normal 23 6 3 2" xfId="7859" xr:uid="{00000000-0005-0000-0000-000001370000}"/>
    <cellStyle name="Normal 23 6 3 2 2" xfId="17219" xr:uid="{00000000-0005-0000-0000-000002370000}"/>
    <cellStyle name="Normal 23 6 3 2 2 2" xfId="33793" xr:uid="{00000000-0005-0000-0000-000003370000}"/>
    <cellStyle name="Normal 23 6 3 2 3" xfId="25746" xr:uid="{00000000-0005-0000-0000-000004370000}"/>
    <cellStyle name="Normal 23 6 3 3" xfId="13348" xr:uid="{00000000-0005-0000-0000-000005370000}"/>
    <cellStyle name="Normal 23 6 3 3 2" xfId="29891" xr:uid="{00000000-0005-0000-0000-000006370000}"/>
    <cellStyle name="Normal 23 6 3 4" xfId="21848" xr:uid="{00000000-0005-0000-0000-000007370000}"/>
    <cellStyle name="Normal 23 6 4" xfId="7860" xr:uid="{00000000-0005-0000-0000-000008370000}"/>
    <cellStyle name="Normal 23 6 4 2" xfId="17220" xr:uid="{00000000-0005-0000-0000-000009370000}"/>
    <cellStyle name="Normal 23 6 4 2 2" xfId="33794" xr:uid="{00000000-0005-0000-0000-00000A370000}"/>
    <cellStyle name="Normal 23 6 4 3" xfId="25747" xr:uid="{00000000-0005-0000-0000-00000B370000}"/>
    <cellStyle name="Normal 23 6 5" xfId="13345" xr:uid="{00000000-0005-0000-0000-00000C370000}"/>
    <cellStyle name="Normal 23 6 5 2" xfId="29888" xr:uid="{00000000-0005-0000-0000-00000D370000}"/>
    <cellStyle name="Normal 23 6 6" xfId="21845" xr:uid="{00000000-0005-0000-0000-00000E370000}"/>
    <cellStyle name="Normal 23 7" xfId="3754" xr:uid="{00000000-0005-0000-0000-00000F370000}"/>
    <cellStyle name="Normal 23 7 2" xfId="3755" xr:uid="{00000000-0005-0000-0000-000010370000}"/>
    <cellStyle name="Normal 23 7 2 2" xfId="7861" xr:uid="{00000000-0005-0000-0000-000011370000}"/>
    <cellStyle name="Normal 23 7 2 2 2" xfId="17221" xr:uid="{00000000-0005-0000-0000-000012370000}"/>
    <cellStyle name="Normal 23 7 2 2 2 2" xfId="33795" xr:uid="{00000000-0005-0000-0000-000013370000}"/>
    <cellStyle name="Normal 23 7 2 2 3" xfId="25748" xr:uid="{00000000-0005-0000-0000-000014370000}"/>
    <cellStyle name="Normal 23 7 2 3" xfId="13350" xr:uid="{00000000-0005-0000-0000-000015370000}"/>
    <cellStyle name="Normal 23 7 2 3 2" xfId="29893" xr:uid="{00000000-0005-0000-0000-000016370000}"/>
    <cellStyle name="Normal 23 7 2 4" xfId="21850" xr:uid="{00000000-0005-0000-0000-000017370000}"/>
    <cellStyle name="Normal 23 7 3" xfId="7862" xr:uid="{00000000-0005-0000-0000-000018370000}"/>
    <cellStyle name="Normal 23 7 3 2" xfId="17222" xr:uid="{00000000-0005-0000-0000-000019370000}"/>
    <cellStyle name="Normal 23 7 3 2 2" xfId="33796" xr:uid="{00000000-0005-0000-0000-00001A370000}"/>
    <cellStyle name="Normal 23 7 3 3" xfId="25749" xr:uid="{00000000-0005-0000-0000-00001B370000}"/>
    <cellStyle name="Normal 23 7 4" xfId="13349" xr:uid="{00000000-0005-0000-0000-00001C370000}"/>
    <cellStyle name="Normal 23 7 4 2" xfId="29892" xr:uid="{00000000-0005-0000-0000-00001D370000}"/>
    <cellStyle name="Normal 23 7 5" xfId="21849" xr:uid="{00000000-0005-0000-0000-00001E370000}"/>
    <cellStyle name="Normal 23 8" xfId="3756" xr:uid="{00000000-0005-0000-0000-00001F370000}"/>
    <cellStyle name="Normal 23 8 2" xfId="7863" xr:uid="{00000000-0005-0000-0000-000020370000}"/>
    <cellStyle name="Normal 23 8 2 2" xfId="17223" xr:uid="{00000000-0005-0000-0000-000021370000}"/>
    <cellStyle name="Normal 23 8 2 2 2" xfId="33797" xr:uid="{00000000-0005-0000-0000-000022370000}"/>
    <cellStyle name="Normal 23 8 2 3" xfId="25750" xr:uid="{00000000-0005-0000-0000-000023370000}"/>
    <cellStyle name="Normal 23 8 3" xfId="13351" xr:uid="{00000000-0005-0000-0000-000024370000}"/>
    <cellStyle name="Normal 23 8 3 2" xfId="29894" xr:uid="{00000000-0005-0000-0000-000025370000}"/>
    <cellStyle name="Normal 23 8 4" xfId="21851" xr:uid="{00000000-0005-0000-0000-000026370000}"/>
    <cellStyle name="Normal 23 9" xfId="7864" xr:uid="{00000000-0005-0000-0000-000027370000}"/>
    <cellStyle name="Normal 23 9 2" xfId="17224" xr:uid="{00000000-0005-0000-0000-000028370000}"/>
    <cellStyle name="Normal 23 9 2 2" xfId="33798" xr:uid="{00000000-0005-0000-0000-000029370000}"/>
    <cellStyle name="Normal 23 9 3" xfId="25751" xr:uid="{00000000-0005-0000-0000-00002A370000}"/>
    <cellStyle name="Normal 230" xfId="10694" xr:uid="{00000000-0005-0000-0000-00002B370000}"/>
    <cellStyle name="Normal 231" xfId="10697" xr:uid="{00000000-0005-0000-0000-00002C370000}"/>
    <cellStyle name="Normal 232" xfId="10700" xr:uid="{00000000-0005-0000-0000-00002D370000}"/>
    <cellStyle name="Normal 233" xfId="10703" xr:uid="{00000000-0005-0000-0000-00002E370000}"/>
    <cellStyle name="Normal 234" xfId="10706" xr:uid="{00000000-0005-0000-0000-00002F370000}"/>
    <cellStyle name="Normal 235" xfId="10709" xr:uid="{00000000-0005-0000-0000-000030370000}"/>
    <cellStyle name="Normal 236" xfId="10712" xr:uid="{00000000-0005-0000-0000-000031370000}"/>
    <cellStyle name="Normal 237" xfId="10715" xr:uid="{00000000-0005-0000-0000-000032370000}"/>
    <cellStyle name="Normal 238" xfId="10718" xr:uid="{00000000-0005-0000-0000-000033370000}"/>
    <cellStyle name="Normal 239" xfId="10721" xr:uid="{00000000-0005-0000-0000-000034370000}"/>
    <cellStyle name="Normal 24" xfId="3757" xr:uid="{00000000-0005-0000-0000-000035370000}"/>
    <cellStyle name="Normal 24 10" xfId="13352" xr:uid="{00000000-0005-0000-0000-000036370000}"/>
    <cellStyle name="Normal 24 10 2" xfId="29895" xr:uid="{00000000-0005-0000-0000-000037370000}"/>
    <cellStyle name="Normal 24 11" xfId="21852" xr:uid="{00000000-0005-0000-0000-000038370000}"/>
    <cellStyle name="Normal 24 2" xfId="3758" xr:uid="{00000000-0005-0000-0000-000039370000}"/>
    <cellStyle name="Normal 24 2 2" xfId="3759" xr:uid="{00000000-0005-0000-0000-00003A370000}"/>
    <cellStyle name="Normal 24 2 3" xfId="13353" xr:uid="{00000000-0005-0000-0000-00003B370000}"/>
    <cellStyle name="Normal 24 2 3 2" xfId="29896" xr:uid="{00000000-0005-0000-0000-00003C370000}"/>
    <cellStyle name="Normal 24 2 4" xfId="21853" xr:uid="{00000000-0005-0000-0000-00003D370000}"/>
    <cellStyle name="Normal 24 3" xfId="3760" xr:uid="{00000000-0005-0000-0000-00003E370000}"/>
    <cellStyle name="Normal 24 3 2" xfId="3761" xr:uid="{00000000-0005-0000-0000-00003F370000}"/>
    <cellStyle name="Normal 24 3 2 2" xfId="3762" xr:uid="{00000000-0005-0000-0000-000040370000}"/>
    <cellStyle name="Normal 24 3 2 2 2" xfId="3763" xr:uid="{00000000-0005-0000-0000-000041370000}"/>
    <cellStyle name="Normal 24 3 2 2 2 2" xfId="7865" xr:uid="{00000000-0005-0000-0000-000042370000}"/>
    <cellStyle name="Normal 24 3 2 2 2 2 2" xfId="17225" xr:uid="{00000000-0005-0000-0000-000043370000}"/>
    <cellStyle name="Normal 24 3 2 2 2 2 2 2" xfId="33799" xr:uid="{00000000-0005-0000-0000-000044370000}"/>
    <cellStyle name="Normal 24 3 2 2 2 2 3" xfId="25752" xr:uid="{00000000-0005-0000-0000-000045370000}"/>
    <cellStyle name="Normal 24 3 2 2 2 3" xfId="13356" xr:uid="{00000000-0005-0000-0000-000046370000}"/>
    <cellStyle name="Normal 24 3 2 2 2 3 2" xfId="29899" xr:uid="{00000000-0005-0000-0000-000047370000}"/>
    <cellStyle name="Normal 24 3 2 2 2 4" xfId="21856" xr:uid="{00000000-0005-0000-0000-000048370000}"/>
    <cellStyle name="Normal 24 3 2 2 3" xfId="7866" xr:uid="{00000000-0005-0000-0000-000049370000}"/>
    <cellStyle name="Normal 24 3 2 2 3 2" xfId="17226" xr:uid="{00000000-0005-0000-0000-00004A370000}"/>
    <cellStyle name="Normal 24 3 2 2 3 2 2" xfId="33800" xr:uid="{00000000-0005-0000-0000-00004B370000}"/>
    <cellStyle name="Normal 24 3 2 2 3 3" xfId="25753" xr:uid="{00000000-0005-0000-0000-00004C370000}"/>
    <cellStyle name="Normal 24 3 2 2 4" xfId="13355" xr:uid="{00000000-0005-0000-0000-00004D370000}"/>
    <cellStyle name="Normal 24 3 2 2 4 2" xfId="29898" xr:uid="{00000000-0005-0000-0000-00004E370000}"/>
    <cellStyle name="Normal 24 3 2 2 5" xfId="21855" xr:uid="{00000000-0005-0000-0000-00004F370000}"/>
    <cellStyle name="Normal 24 3 2 3" xfId="3764" xr:uid="{00000000-0005-0000-0000-000050370000}"/>
    <cellStyle name="Normal 24 3 2 3 2" xfId="7867" xr:uid="{00000000-0005-0000-0000-000051370000}"/>
    <cellStyle name="Normal 24 3 2 3 2 2" xfId="17227" xr:uid="{00000000-0005-0000-0000-000052370000}"/>
    <cellStyle name="Normal 24 3 2 3 2 2 2" xfId="33801" xr:uid="{00000000-0005-0000-0000-000053370000}"/>
    <cellStyle name="Normal 24 3 2 3 2 3" xfId="25754" xr:uid="{00000000-0005-0000-0000-000054370000}"/>
    <cellStyle name="Normal 24 3 2 3 3" xfId="13357" xr:uid="{00000000-0005-0000-0000-000055370000}"/>
    <cellStyle name="Normal 24 3 2 3 3 2" xfId="29900" xr:uid="{00000000-0005-0000-0000-000056370000}"/>
    <cellStyle name="Normal 24 3 2 3 4" xfId="21857" xr:uid="{00000000-0005-0000-0000-000057370000}"/>
    <cellStyle name="Normal 24 3 2 4" xfId="7868" xr:uid="{00000000-0005-0000-0000-000058370000}"/>
    <cellStyle name="Normal 24 3 2 4 2" xfId="17228" xr:uid="{00000000-0005-0000-0000-000059370000}"/>
    <cellStyle name="Normal 24 3 2 4 2 2" xfId="33802" xr:uid="{00000000-0005-0000-0000-00005A370000}"/>
    <cellStyle name="Normal 24 3 2 4 3" xfId="25755" xr:uid="{00000000-0005-0000-0000-00005B370000}"/>
    <cellStyle name="Normal 24 3 2 5" xfId="13354" xr:uid="{00000000-0005-0000-0000-00005C370000}"/>
    <cellStyle name="Normal 24 3 2 5 2" xfId="29897" xr:uid="{00000000-0005-0000-0000-00005D370000}"/>
    <cellStyle name="Normal 24 3 2 6" xfId="21854" xr:uid="{00000000-0005-0000-0000-00005E370000}"/>
    <cellStyle name="Normal 24 3 3" xfId="3765" xr:uid="{00000000-0005-0000-0000-00005F370000}"/>
    <cellStyle name="Normal 24 3 3 2" xfId="3766" xr:uid="{00000000-0005-0000-0000-000060370000}"/>
    <cellStyle name="Normal 24 3 3 2 2" xfId="7869" xr:uid="{00000000-0005-0000-0000-000061370000}"/>
    <cellStyle name="Normal 24 3 3 2 2 2" xfId="17229" xr:uid="{00000000-0005-0000-0000-000062370000}"/>
    <cellStyle name="Normal 24 3 3 2 2 2 2" xfId="33803" xr:uid="{00000000-0005-0000-0000-000063370000}"/>
    <cellStyle name="Normal 24 3 3 2 2 3" xfId="25756" xr:uid="{00000000-0005-0000-0000-000064370000}"/>
    <cellStyle name="Normal 24 3 3 2 3" xfId="13359" xr:uid="{00000000-0005-0000-0000-000065370000}"/>
    <cellStyle name="Normal 24 3 3 2 3 2" xfId="29902" xr:uid="{00000000-0005-0000-0000-000066370000}"/>
    <cellStyle name="Normal 24 3 3 2 4" xfId="21859" xr:uid="{00000000-0005-0000-0000-000067370000}"/>
    <cellStyle name="Normal 24 3 3 3" xfId="7870" xr:uid="{00000000-0005-0000-0000-000068370000}"/>
    <cellStyle name="Normal 24 3 3 3 2" xfId="17230" xr:uid="{00000000-0005-0000-0000-000069370000}"/>
    <cellStyle name="Normal 24 3 3 3 2 2" xfId="33804" xr:uid="{00000000-0005-0000-0000-00006A370000}"/>
    <cellStyle name="Normal 24 3 3 3 3" xfId="25757" xr:uid="{00000000-0005-0000-0000-00006B370000}"/>
    <cellStyle name="Normal 24 3 3 4" xfId="13358" xr:uid="{00000000-0005-0000-0000-00006C370000}"/>
    <cellStyle name="Normal 24 3 3 4 2" xfId="29901" xr:uid="{00000000-0005-0000-0000-00006D370000}"/>
    <cellStyle name="Normal 24 3 3 5" xfId="21858" xr:uid="{00000000-0005-0000-0000-00006E370000}"/>
    <cellStyle name="Normal 24 3 4" xfId="3767" xr:uid="{00000000-0005-0000-0000-00006F370000}"/>
    <cellStyle name="Normal 24 3 4 2" xfId="7871" xr:uid="{00000000-0005-0000-0000-000070370000}"/>
    <cellStyle name="Normal 24 3 4 2 2" xfId="17231" xr:uid="{00000000-0005-0000-0000-000071370000}"/>
    <cellStyle name="Normal 24 3 4 2 2 2" xfId="33805" xr:uid="{00000000-0005-0000-0000-000072370000}"/>
    <cellStyle name="Normal 24 3 4 2 3" xfId="25758" xr:uid="{00000000-0005-0000-0000-000073370000}"/>
    <cellStyle name="Normal 24 3 4 3" xfId="13360" xr:uid="{00000000-0005-0000-0000-000074370000}"/>
    <cellStyle name="Normal 24 3 4 3 2" xfId="29903" xr:uid="{00000000-0005-0000-0000-000075370000}"/>
    <cellStyle name="Normal 24 3 4 4" xfId="21860" xr:uid="{00000000-0005-0000-0000-000076370000}"/>
    <cellStyle name="Normal 24 3 5" xfId="3768" xr:uid="{00000000-0005-0000-0000-000077370000}"/>
    <cellStyle name="Normal 24 3 5 2" xfId="13361" xr:uid="{00000000-0005-0000-0000-000078370000}"/>
    <cellStyle name="Normal 24 3 5 2 2" xfId="29904" xr:uid="{00000000-0005-0000-0000-000079370000}"/>
    <cellStyle name="Normal 24 3 5 3" xfId="21861" xr:uid="{00000000-0005-0000-0000-00007A370000}"/>
    <cellStyle name="Normal 24 4" xfId="3769" xr:uid="{00000000-0005-0000-0000-00007B370000}"/>
    <cellStyle name="Normal 24 4 2" xfId="3770" xr:uid="{00000000-0005-0000-0000-00007C370000}"/>
    <cellStyle name="Normal 24 4 2 2" xfId="3771" xr:uid="{00000000-0005-0000-0000-00007D370000}"/>
    <cellStyle name="Normal 24 4 2 2 2" xfId="3772" xr:uid="{00000000-0005-0000-0000-00007E370000}"/>
    <cellStyle name="Normal 24 4 2 2 2 2" xfId="7872" xr:uid="{00000000-0005-0000-0000-00007F370000}"/>
    <cellStyle name="Normal 24 4 2 2 2 2 2" xfId="17232" xr:uid="{00000000-0005-0000-0000-000080370000}"/>
    <cellStyle name="Normal 24 4 2 2 2 2 2 2" xfId="33806" xr:uid="{00000000-0005-0000-0000-000081370000}"/>
    <cellStyle name="Normal 24 4 2 2 2 2 3" xfId="25759" xr:uid="{00000000-0005-0000-0000-000082370000}"/>
    <cellStyle name="Normal 24 4 2 2 2 3" xfId="13365" xr:uid="{00000000-0005-0000-0000-000083370000}"/>
    <cellStyle name="Normal 24 4 2 2 2 3 2" xfId="29908" xr:uid="{00000000-0005-0000-0000-000084370000}"/>
    <cellStyle name="Normal 24 4 2 2 2 4" xfId="21865" xr:uid="{00000000-0005-0000-0000-000085370000}"/>
    <cellStyle name="Normal 24 4 2 2 3" xfId="7873" xr:uid="{00000000-0005-0000-0000-000086370000}"/>
    <cellStyle name="Normal 24 4 2 2 3 2" xfId="17233" xr:uid="{00000000-0005-0000-0000-000087370000}"/>
    <cellStyle name="Normal 24 4 2 2 3 2 2" xfId="33807" xr:uid="{00000000-0005-0000-0000-000088370000}"/>
    <cellStyle name="Normal 24 4 2 2 3 3" xfId="25760" xr:uid="{00000000-0005-0000-0000-000089370000}"/>
    <cellStyle name="Normal 24 4 2 2 4" xfId="13364" xr:uid="{00000000-0005-0000-0000-00008A370000}"/>
    <cellStyle name="Normal 24 4 2 2 4 2" xfId="29907" xr:uid="{00000000-0005-0000-0000-00008B370000}"/>
    <cellStyle name="Normal 24 4 2 2 5" xfId="21864" xr:uid="{00000000-0005-0000-0000-00008C370000}"/>
    <cellStyle name="Normal 24 4 2 3" xfId="3773" xr:uid="{00000000-0005-0000-0000-00008D370000}"/>
    <cellStyle name="Normal 24 4 2 3 2" xfId="7874" xr:uid="{00000000-0005-0000-0000-00008E370000}"/>
    <cellStyle name="Normal 24 4 2 3 2 2" xfId="17234" xr:uid="{00000000-0005-0000-0000-00008F370000}"/>
    <cellStyle name="Normal 24 4 2 3 2 2 2" xfId="33808" xr:uid="{00000000-0005-0000-0000-000090370000}"/>
    <cellStyle name="Normal 24 4 2 3 2 3" xfId="25761" xr:uid="{00000000-0005-0000-0000-000091370000}"/>
    <cellStyle name="Normal 24 4 2 3 3" xfId="13366" xr:uid="{00000000-0005-0000-0000-000092370000}"/>
    <cellStyle name="Normal 24 4 2 3 3 2" xfId="29909" xr:uid="{00000000-0005-0000-0000-000093370000}"/>
    <cellStyle name="Normal 24 4 2 3 4" xfId="21866" xr:uid="{00000000-0005-0000-0000-000094370000}"/>
    <cellStyle name="Normal 24 4 2 4" xfId="7875" xr:uid="{00000000-0005-0000-0000-000095370000}"/>
    <cellStyle name="Normal 24 4 2 4 2" xfId="17235" xr:uid="{00000000-0005-0000-0000-000096370000}"/>
    <cellStyle name="Normal 24 4 2 4 2 2" xfId="33809" xr:uid="{00000000-0005-0000-0000-000097370000}"/>
    <cellStyle name="Normal 24 4 2 4 3" xfId="25762" xr:uid="{00000000-0005-0000-0000-000098370000}"/>
    <cellStyle name="Normal 24 4 2 5" xfId="13363" xr:uid="{00000000-0005-0000-0000-000099370000}"/>
    <cellStyle name="Normal 24 4 2 5 2" xfId="29906" xr:uid="{00000000-0005-0000-0000-00009A370000}"/>
    <cellStyle name="Normal 24 4 2 6" xfId="21863" xr:uid="{00000000-0005-0000-0000-00009B370000}"/>
    <cellStyle name="Normal 24 4 3" xfId="3774" xr:uid="{00000000-0005-0000-0000-00009C370000}"/>
    <cellStyle name="Normal 24 4 3 2" xfId="3775" xr:uid="{00000000-0005-0000-0000-00009D370000}"/>
    <cellStyle name="Normal 24 4 3 2 2" xfId="7876" xr:uid="{00000000-0005-0000-0000-00009E370000}"/>
    <cellStyle name="Normal 24 4 3 2 2 2" xfId="17236" xr:uid="{00000000-0005-0000-0000-00009F370000}"/>
    <cellStyle name="Normal 24 4 3 2 2 2 2" xfId="33810" xr:uid="{00000000-0005-0000-0000-0000A0370000}"/>
    <cellStyle name="Normal 24 4 3 2 2 3" xfId="25763" xr:uid="{00000000-0005-0000-0000-0000A1370000}"/>
    <cellStyle name="Normal 24 4 3 2 3" xfId="13368" xr:uid="{00000000-0005-0000-0000-0000A2370000}"/>
    <cellStyle name="Normal 24 4 3 2 3 2" xfId="29911" xr:uid="{00000000-0005-0000-0000-0000A3370000}"/>
    <cellStyle name="Normal 24 4 3 2 4" xfId="21868" xr:uid="{00000000-0005-0000-0000-0000A4370000}"/>
    <cellStyle name="Normal 24 4 3 3" xfId="7877" xr:uid="{00000000-0005-0000-0000-0000A5370000}"/>
    <cellStyle name="Normal 24 4 3 3 2" xfId="17237" xr:uid="{00000000-0005-0000-0000-0000A6370000}"/>
    <cellStyle name="Normal 24 4 3 3 2 2" xfId="33811" xr:uid="{00000000-0005-0000-0000-0000A7370000}"/>
    <cellStyle name="Normal 24 4 3 3 3" xfId="25764" xr:uid="{00000000-0005-0000-0000-0000A8370000}"/>
    <cellStyle name="Normal 24 4 3 4" xfId="13367" xr:uid="{00000000-0005-0000-0000-0000A9370000}"/>
    <cellStyle name="Normal 24 4 3 4 2" xfId="29910" xr:uid="{00000000-0005-0000-0000-0000AA370000}"/>
    <cellStyle name="Normal 24 4 3 5" xfId="21867" xr:uid="{00000000-0005-0000-0000-0000AB370000}"/>
    <cellStyle name="Normal 24 4 4" xfId="3776" xr:uid="{00000000-0005-0000-0000-0000AC370000}"/>
    <cellStyle name="Normal 24 4 4 2" xfId="7878" xr:uid="{00000000-0005-0000-0000-0000AD370000}"/>
    <cellStyle name="Normal 24 4 4 2 2" xfId="17238" xr:uid="{00000000-0005-0000-0000-0000AE370000}"/>
    <cellStyle name="Normal 24 4 4 2 2 2" xfId="33812" xr:uid="{00000000-0005-0000-0000-0000AF370000}"/>
    <cellStyle name="Normal 24 4 4 2 3" xfId="25765" xr:uid="{00000000-0005-0000-0000-0000B0370000}"/>
    <cellStyle name="Normal 24 4 4 3" xfId="13369" xr:uid="{00000000-0005-0000-0000-0000B1370000}"/>
    <cellStyle name="Normal 24 4 4 3 2" xfId="29912" xr:uid="{00000000-0005-0000-0000-0000B2370000}"/>
    <cellStyle name="Normal 24 4 4 4" xfId="21869" xr:uid="{00000000-0005-0000-0000-0000B3370000}"/>
    <cellStyle name="Normal 24 4 5" xfId="7879" xr:uid="{00000000-0005-0000-0000-0000B4370000}"/>
    <cellStyle name="Normal 24 4 5 2" xfId="17239" xr:uid="{00000000-0005-0000-0000-0000B5370000}"/>
    <cellStyle name="Normal 24 4 5 2 2" xfId="33813" xr:uid="{00000000-0005-0000-0000-0000B6370000}"/>
    <cellStyle name="Normal 24 4 5 3" xfId="25766" xr:uid="{00000000-0005-0000-0000-0000B7370000}"/>
    <cellStyle name="Normal 24 4 6" xfId="13362" xr:uid="{00000000-0005-0000-0000-0000B8370000}"/>
    <cellStyle name="Normal 24 4 6 2" xfId="29905" xr:uid="{00000000-0005-0000-0000-0000B9370000}"/>
    <cellStyle name="Normal 24 4 7" xfId="21862" xr:uid="{00000000-0005-0000-0000-0000BA370000}"/>
    <cellStyle name="Normal 24 5" xfId="3777" xr:uid="{00000000-0005-0000-0000-0000BB370000}"/>
    <cellStyle name="Normal 24 5 2" xfId="3778" xr:uid="{00000000-0005-0000-0000-0000BC370000}"/>
    <cellStyle name="Normal 24 5 2 2" xfId="3779" xr:uid="{00000000-0005-0000-0000-0000BD370000}"/>
    <cellStyle name="Normal 24 5 2 2 2" xfId="3780" xr:uid="{00000000-0005-0000-0000-0000BE370000}"/>
    <cellStyle name="Normal 24 5 2 2 2 2" xfId="7880" xr:uid="{00000000-0005-0000-0000-0000BF370000}"/>
    <cellStyle name="Normal 24 5 2 2 2 2 2" xfId="17240" xr:uid="{00000000-0005-0000-0000-0000C0370000}"/>
    <cellStyle name="Normal 24 5 2 2 2 2 2 2" xfId="33814" xr:uid="{00000000-0005-0000-0000-0000C1370000}"/>
    <cellStyle name="Normal 24 5 2 2 2 2 3" xfId="25767" xr:uid="{00000000-0005-0000-0000-0000C2370000}"/>
    <cellStyle name="Normal 24 5 2 2 2 3" xfId="13373" xr:uid="{00000000-0005-0000-0000-0000C3370000}"/>
    <cellStyle name="Normal 24 5 2 2 2 3 2" xfId="29916" xr:uid="{00000000-0005-0000-0000-0000C4370000}"/>
    <cellStyle name="Normal 24 5 2 2 2 4" xfId="21873" xr:uid="{00000000-0005-0000-0000-0000C5370000}"/>
    <cellStyle name="Normal 24 5 2 2 3" xfId="7881" xr:uid="{00000000-0005-0000-0000-0000C6370000}"/>
    <cellStyle name="Normal 24 5 2 2 3 2" xfId="17241" xr:uid="{00000000-0005-0000-0000-0000C7370000}"/>
    <cellStyle name="Normal 24 5 2 2 3 2 2" xfId="33815" xr:uid="{00000000-0005-0000-0000-0000C8370000}"/>
    <cellStyle name="Normal 24 5 2 2 3 3" xfId="25768" xr:uid="{00000000-0005-0000-0000-0000C9370000}"/>
    <cellStyle name="Normal 24 5 2 2 4" xfId="13372" xr:uid="{00000000-0005-0000-0000-0000CA370000}"/>
    <cellStyle name="Normal 24 5 2 2 4 2" xfId="29915" xr:uid="{00000000-0005-0000-0000-0000CB370000}"/>
    <cellStyle name="Normal 24 5 2 2 5" xfId="21872" xr:uid="{00000000-0005-0000-0000-0000CC370000}"/>
    <cellStyle name="Normal 24 5 2 3" xfId="3781" xr:uid="{00000000-0005-0000-0000-0000CD370000}"/>
    <cellStyle name="Normal 24 5 2 3 2" xfId="7882" xr:uid="{00000000-0005-0000-0000-0000CE370000}"/>
    <cellStyle name="Normal 24 5 2 3 2 2" xfId="17242" xr:uid="{00000000-0005-0000-0000-0000CF370000}"/>
    <cellStyle name="Normal 24 5 2 3 2 2 2" xfId="33816" xr:uid="{00000000-0005-0000-0000-0000D0370000}"/>
    <cellStyle name="Normal 24 5 2 3 2 3" xfId="25769" xr:uid="{00000000-0005-0000-0000-0000D1370000}"/>
    <cellStyle name="Normal 24 5 2 3 3" xfId="13374" xr:uid="{00000000-0005-0000-0000-0000D2370000}"/>
    <cellStyle name="Normal 24 5 2 3 3 2" xfId="29917" xr:uid="{00000000-0005-0000-0000-0000D3370000}"/>
    <cellStyle name="Normal 24 5 2 3 4" xfId="21874" xr:uid="{00000000-0005-0000-0000-0000D4370000}"/>
    <cellStyle name="Normal 24 5 2 4" xfId="7883" xr:uid="{00000000-0005-0000-0000-0000D5370000}"/>
    <cellStyle name="Normal 24 5 2 4 2" xfId="17243" xr:uid="{00000000-0005-0000-0000-0000D6370000}"/>
    <cellStyle name="Normal 24 5 2 4 2 2" xfId="33817" xr:uid="{00000000-0005-0000-0000-0000D7370000}"/>
    <cellStyle name="Normal 24 5 2 4 3" xfId="25770" xr:uid="{00000000-0005-0000-0000-0000D8370000}"/>
    <cellStyle name="Normal 24 5 2 5" xfId="13371" xr:uid="{00000000-0005-0000-0000-0000D9370000}"/>
    <cellStyle name="Normal 24 5 2 5 2" xfId="29914" xr:uid="{00000000-0005-0000-0000-0000DA370000}"/>
    <cellStyle name="Normal 24 5 2 6" xfId="21871" xr:uid="{00000000-0005-0000-0000-0000DB370000}"/>
    <cellStyle name="Normal 24 5 3" xfId="3782" xr:uid="{00000000-0005-0000-0000-0000DC370000}"/>
    <cellStyle name="Normal 24 5 3 2" xfId="3783" xr:uid="{00000000-0005-0000-0000-0000DD370000}"/>
    <cellStyle name="Normal 24 5 3 2 2" xfId="7884" xr:uid="{00000000-0005-0000-0000-0000DE370000}"/>
    <cellStyle name="Normal 24 5 3 2 2 2" xfId="17244" xr:uid="{00000000-0005-0000-0000-0000DF370000}"/>
    <cellStyle name="Normal 24 5 3 2 2 2 2" xfId="33818" xr:uid="{00000000-0005-0000-0000-0000E0370000}"/>
    <cellStyle name="Normal 24 5 3 2 2 3" xfId="25771" xr:uid="{00000000-0005-0000-0000-0000E1370000}"/>
    <cellStyle name="Normal 24 5 3 2 3" xfId="13376" xr:uid="{00000000-0005-0000-0000-0000E2370000}"/>
    <cellStyle name="Normal 24 5 3 2 3 2" xfId="29919" xr:uid="{00000000-0005-0000-0000-0000E3370000}"/>
    <cellStyle name="Normal 24 5 3 2 4" xfId="21876" xr:uid="{00000000-0005-0000-0000-0000E4370000}"/>
    <cellStyle name="Normal 24 5 3 3" xfId="7885" xr:uid="{00000000-0005-0000-0000-0000E5370000}"/>
    <cellStyle name="Normal 24 5 3 3 2" xfId="17245" xr:uid="{00000000-0005-0000-0000-0000E6370000}"/>
    <cellStyle name="Normal 24 5 3 3 2 2" xfId="33819" xr:uid="{00000000-0005-0000-0000-0000E7370000}"/>
    <cellStyle name="Normal 24 5 3 3 3" xfId="25772" xr:uid="{00000000-0005-0000-0000-0000E8370000}"/>
    <cellStyle name="Normal 24 5 3 4" xfId="13375" xr:uid="{00000000-0005-0000-0000-0000E9370000}"/>
    <cellStyle name="Normal 24 5 3 4 2" xfId="29918" xr:uid="{00000000-0005-0000-0000-0000EA370000}"/>
    <cellStyle name="Normal 24 5 3 5" xfId="21875" xr:uid="{00000000-0005-0000-0000-0000EB370000}"/>
    <cellStyle name="Normal 24 5 4" xfId="3784" xr:uid="{00000000-0005-0000-0000-0000EC370000}"/>
    <cellStyle name="Normal 24 5 4 2" xfId="7886" xr:uid="{00000000-0005-0000-0000-0000ED370000}"/>
    <cellStyle name="Normal 24 5 4 2 2" xfId="17246" xr:uid="{00000000-0005-0000-0000-0000EE370000}"/>
    <cellStyle name="Normal 24 5 4 2 2 2" xfId="33820" xr:uid="{00000000-0005-0000-0000-0000EF370000}"/>
    <cellStyle name="Normal 24 5 4 2 3" xfId="25773" xr:uid="{00000000-0005-0000-0000-0000F0370000}"/>
    <cellStyle name="Normal 24 5 4 3" xfId="13377" xr:uid="{00000000-0005-0000-0000-0000F1370000}"/>
    <cellStyle name="Normal 24 5 4 3 2" xfId="29920" xr:uid="{00000000-0005-0000-0000-0000F2370000}"/>
    <cellStyle name="Normal 24 5 4 4" xfId="21877" xr:uid="{00000000-0005-0000-0000-0000F3370000}"/>
    <cellStyle name="Normal 24 5 5" xfId="7887" xr:uid="{00000000-0005-0000-0000-0000F4370000}"/>
    <cellStyle name="Normal 24 5 5 2" xfId="17247" xr:uid="{00000000-0005-0000-0000-0000F5370000}"/>
    <cellStyle name="Normal 24 5 5 2 2" xfId="33821" xr:uid="{00000000-0005-0000-0000-0000F6370000}"/>
    <cellStyle name="Normal 24 5 5 3" xfId="25774" xr:uid="{00000000-0005-0000-0000-0000F7370000}"/>
    <cellStyle name="Normal 24 5 6" xfId="13370" xr:uid="{00000000-0005-0000-0000-0000F8370000}"/>
    <cellStyle name="Normal 24 5 6 2" xfId="29913" xr:uid="{00000000-0005-0000-0000-0000F9370000}"/>
    <cellStyle name="Normal 24 5 7" xfId="21870" xr:uid="{00000000-0005-0000-0000-0000FA370000}"/>
    <cellStyle name="Normal 24 6" xfId="3785" xr:uid="{00000000-0005-0000-0000-0000FB370000}"/>
    <cellStyle name="Normal 24 6 2" xfId="3786" xr:uid="{00000000-0005-0000-0000-0000FC370000}"/>
    <cellStyle name="Normal 24 6 2 2" xfId="3787" xr:uid="{00000000-0005-0000-0000-0000FD370000}"/>
    <cellStyle name="Normal 24 6 2 2 2" xfId="7888" xr:uid="{00000000-0005-0000-0000-0000FE370000}"/>
    <cellStyle name="Normal 24 6 2 2 2 2" xfId="17248" xr:uid="{00000000-0005-0000-0000-0000FF370000}"/>
    <cellStyle name="Normal 24 6 2 2 2 2 2" xfId="33822" xr:uid="{00000000-0005-0000-0000-000000380000}"/>
    <cellStyle name="Normal 24 6 2 2 2 3" xfId="25775" xr:uid="{00000000-0005-0000-0000-000001380000}"/>
    <cellStyle name="Normal 24 6 2 2 3" xfId="13380" xr:uid="{00000000-0005-0000-0000-000002380000}"/>
    <cellStyle name="Normal 24 6 2 2 3 2" xfId="29923" xr:uid="{00000000-0005-0000-0000-000003380000}"/>
    <cellStyle name="Normal 24 6 2 2 4" xfId="21880" xr:uid="{00000000-0005-0000-0000-000004380000}"/>
    <cellStyle name="Normal 24 6 2 3" xfId="7889" xr:uid="{00000000-0005-0000-0000-000005380000}"/>
    <cellStyle name="Normal 24 6 2 3 2" xfId="17249" xr:uid="{00000000-0005-0000-0000-000006380000}"/>
    <cellStyle name="Normal 24 6 2 3 2 2" xfId="33823" xr:uid="{00000000-0005-0000-0000-000007380000}"/>
    <cellStyle name="Normal 24 6 2 3 3" xfId="25776" xr:uid="{00000000-0005-0000-0000-000008380000}"/>
    <cellStyle name="Normal 24 6 2 4" xfId="13379" xr:uid="{00000000-0005-0000-0000-000009380000}"/>
    <cellStyle name="Normal 24 6 2 4 2" xfId="29922" xr:uid="{00000000-0005-0000-0000-00000A380000}"/>
    <cellStyle name="Normal 24 6 2 5" xfId="21879" xr:uid="{00000000-0005-0000-0000-00000B380000}"/>
    <cellStyle name="Normal 24 6 3" xfId="3788" xr:uid="{00000000-0005-0000-0000-00000C380000}"/>
    <cellStyle name="Normal 24 6 3 2" xfId="7890" xr:uid="{00000000-0005-0000-0000-00000D380000}"/>
    <cellStyle name="Normal 24 6 3 2 2" xfId="17250" xr:uid="{00000000-0005-0000-0000-00000E380000}"/>
    <cellStyle name="Normal 24 6 3 2 2 2" xfId="33824" xr:uid="{00000000-0005-0000-0000-00000F380000}"/>
    <cellStyle name="Normal 24 6 3 2 3" xfId="25777" xr:uid="{00000000-0005-0000-0000-000010380000}"/>
    <cellStyle name="Normal 24 6 3 3" xfId="13381" xr:uid="{00000000-0005-0000-0000-000011380000}"/>
    <cellStyle name="Normal 24 6 3 3 2" xfId="29924" xr:uid="{00000000-0005-0000-0000-000012380000}"/>
    <cellStyle name="Normal 24 6 3 4" xfId="21881" xr:uid="{00000000-0005-0000-0000-000013380000}"/>
    <cellStyle name="Normal 24 6 4" xfId="7891" xr:uid="{00000000-0005-0000-0000-000014380000}"/>
    <cellStyle name="Normal 24 6 4 2" xfId="17251" xr:uid="{00000000-0005-0000-0000-000015380000}"/>
    <cellStyle name="Normal 24 6 4 2 2" xfId="33825" xr:uid="{00000000-0005-0000-0000-000016380000}"/>
    <cellStyle name="Normal 24 6 4 3" xfId="25778" xr:uid="{00000000-0005-0000-0000-000017380000}"/>
    <cellStyle name="Normal 24 6 5" xfId="13378" xr:uid="{00000000-0005-0000-0000-000018380000}"/>
    <cellStyle name="Normal 24 6 5 2" xfId="29921" xr:uid="{00000000-0005-0000-0000-000019380000}"/>
    <cellStyle name="Normal 24 6 6" xfId="21878" xr:uid="{00000000-0005-0000-0000-00001A380000}"/>
    <cellStyle name="Normal 24 7" xfId="3789" xr:uid="{00000000-0005-0000-0000-00001B380000}"/>
    <cellStyle name="Normal 24 7 2" xfId="3790" xr:uid="{00000000-0005-0000-0000-00001C380000}"/>
    <cellStyle name="Normal 24 7 2 2" xfId="7892" xr:uid="{00000000-0005-0000-0000-00001D380000}"/>
    <cellStyle name="Normal 24 7 2 2 2" xfId="17252" xr:uid="{00000000-0005-0000-0000-00001E380000}"/>
    <cellStyle name="Normal 24 7 2 2 2 2" xfId="33826" xr:uid="{00000000-0005-0000-0000-00001F380000}"/>
    <cellStyle name="Normal 24 7 2 2 3" xfId="25779" xr:uid="{00000000-0005-0000-0000-000020380000}"/>
    <cellStyle name="Normal 24 7 2 3" xfId="13383" xr:uid="{00000000-0005-0000-0000-000021380000}"/>
    <cellStyle name="Normal 24 7 2 3 2" xfId="29926" xr:uid="{00000000-0005-0000-0000-000022380000}"/>
    <cellStyle name="Normal 24 7 2 4" xfId="21883" xr:uid="{00000000-0005-0000-0000-000023380000}"/>
    <cellStyle name="Normal 24 7 3" xfId="7893" xr:uid="{00000000-0005-0000-0000-000024380000}"/>
    <cellStyle name="Normal 24 7 3 2" xfId="17253" xr:uid="{00000000-0005-0000-0000-000025380000}"/>
    <cellStyle name="Normal 24 7 3 2 2" xfId="33827" xr:uid="{00000000-0005-0000-0000-000026380000}"/>
    <cellStyle name="Normal 24 7 3 3" xfId="25780" xr:uid="{00000000-0005-0000-0000-000027380000}"/>
    <cellStyle name="Normal 24 7 4" xfId="13382" xr:uid="{00000000-0005-0000-0000-000028380000}"/>
    <cellStyle name="Normal 24 7 4 2" xfId="29925" xr:uid="{00000000-0005-0000-0000-000029380000}"/>
    <cellStyle name="Normal 24 7 5" xfId="21882" xr:uid="{00000000-0005-0000-0000-00002A380000}"/>
    <cellStyle name="Normal 24 8" xfId="3791" xr:uid="{00000000-0005-0000-0000-00002B380000}"/>
    <cellStyle name="Normal 24 8 2" xfId="7894" xr:uid="{00000000-0005-0000-0000-00002C380000}"/>
    <cellStyle name="Normal 24 8 2 2" xfId="17254" xr:uid="{00000000-0005-0000-0000-00002D380000}"/>
    <cellStyle name="Normal 24 8 2 2 2" xfId="33828" xr:uid="{00000000-0005-0000-0000-00002E380000}"/>
    <cellStyle name="Normal 24 8 2 3" xfId="25781" xr:uid="{00000000-0005-0000-0000-00002F380000}"/>
    <cellStyle name="Normal 24 8 3" xfId="13384" xr:uid="{00000000-0005-0000-0000-000030380000}"/>
    <cellStyle name="Normal 24 8 3 2" xfId="29927" xr:uid="{00000000-0005-0000-0000-000031380000}"/>
    <cellStyle name="Normal 24 8 4" xfId="21884" xr:uid="{00000000-0005-0000-0000-000032380000}"/>
    <cellStyle name="Normal 24 9" xfId="7895" xr:uid="{00000000-0005-0000-0000-000033380000}"/>
    <cellStyle name="Normal 24 9 2" xfId="17255" xr:uid="{00000000-0005-0000-0000-000034380000}"/>
    <cellStyle name="Normal 24 9 2 2" xfId="33829" xr:uid="{00000000-0005-0000-0000-000035380000}"/>
    <cellStyle name="Normal 24 9 3" xfId="25782" xr:uid="{00000000-0005-0000-0000-000036380000}"/>
    <cellStyle name="Normal 240" xfId="10724" xr:uid="{00000000-0005-0000-0000-000037380000}"/>
    <cellStyle name="Normal 241" xfId="10727" xr:uid="{00000000-0005-0000-0000-000038380000}"/>
    <cellStyle name="Normal 242" xfId="10730" xr:uid="{00000000-0005-0000-0000-000039380000}"/>
    <cellStyle name="Normal 243" xfId="10733" xr:uid="{00000000-0005-0000-0000-00003A380000}"/>
    <cellStyle name="Normal 244" xfId="10736" xr:uid="{00000000-0005-0000-0000-00003B380000}"/>
    <cellStyle name="Normal 245" xfId="10739" xr:uid="{00000000-0005-0000-0000-00003C380000}"/>
    <cellStyle name="Normal 246" xfId="10742" xr:uid="{00000000-0005-0000-0000-00003D380000}"/>
    <cellStyle name="Normal 247" xfId="10745" xr:uid="{00000000-0005-0000-0000-00003E380000}"/>
    <cellStyle name="Normal 248" xfId="10748" xr:uid="{00000000-0005-0000-0000-00003F380000}"/>
    <cellStyle name="Normal 249" xfId="10751" xr:uid="{00000000-0005-0000-0000-000040380000}"/>
    <cellStyle name="Normal 25" xfId="3792" xr:uid="{00000000-0005-0000-0000-000041380000}"/>
    <cellStyle name="Normal 25 10" xfId="13385" xr:uid="{00000000-0005-0000-0000-000042380000}"/>
    <cellStyle name="Normal 25 10 2" xfId="29928" xr:uid="{00000000-0005-0000-0000-000043380000}"/>
    <cellStyle name="Normal 25 11" xfId="21885" xr:uid="{00000000-0005-0000-0000-000044380000}"/>
    <cellStyle name="Normal 25 12" xfId="36821" xr:uid="{00000000-0005-0000-0000-000045380000}"/>
    <cellStyle name="Normal 25 2" xfId="3793" xr:uid="{00000000-0005-0000-0000-000046380000}"/>
    <cellStyle name="Normal 25 2 2" xfId="3794" xr:uid="{00000000-0005-0000-0000-000047380000}"/>
    <cellStyle name="Normal 25 2 3" xfId="13386" xr:uid="{00000000-0005-0000-0000-000048380000}"/>
    <cellStyle name="Normal 25 2 3 2" xfId="29929" xr:uid="{00000000-0005-0000-0000-000049380000}"/>
    <cellStyle name="Normal 25 2 4" xfId="21886" xr:uid="{00000000-0005-0000-0000-00004A380000}"/>
    <cellStyle name="Normal 25 3" xfId="3795" xr:uid="{00000000-0005-0000-0000-00004B380000}"/>
    <cellStyle name="Normal 25 3 2" xfId="3796" xr:uid="{00000000-0005-0000-0000-00004C380000}"/>
    <cellStyle name="Normal 25 3 2 2" xfId="3797" xr:uid="{00000000-0005-0000-0000-00004D380000}"/>
    <cellStyle name="Normal 25 3 2 2 2" xfId="3798" xr:uid="{00000000-0005-0000-0000-00004E380000}"/>
    <cellStyle name="Normal 25 3 2 2 2 2" xfId="7896" xr:uid="{00000000-0005-0000-0000-00004F380000}"/>
    <cellStyle name="Normal 25 3 2 2 2 2 2" xfId="17256" xr:uid="{00000000-0005-0000-0000-000050380000}"/>
    <cellStyle name="Normal 25 3 2 2 2 2 2 2" xfId="33830" xr:uid="{00000000-0005-0000-0000-000051380000}"/>
    <cellStyle name="Normal 25 3 2 2 2 2 3" xfId="25783" xr:uid="{00000000-0005-0000-0000-000052380000}"/>
    <cellStyle name="Normal 25 3 2 2 2 3" xfId="13389" xr:uid="{00000000-0005-0000-0000-000053380000}"/>
    <cellStyle name="Normal 25 3 2 2 2 3 2" xfId="29932" xr:uid="{00000000-0005-0000-0000-000054380000}"/>
    <cellStyle name="Normal 25 3 2 2 2 4" xfId="21889" xr:uid="{00000000-0005-0000-0000-000055380000}"/>
    <cellStyle name="Normal 25 3 2 2 3" xfId="7897" xr:uid="{00000000-0005-0000-0000-000056380000}"/>
    <cellStyle name="Normal 25 3 2 2 3 2" xfId="17257" xr:uid="{00000000-0005-0000-0000-000057380000}"/>
    <cellStyle name="Normal 25 3 2 2 3 2 2" xfId="33831" xr:uid="{00000000-0005-0000-0000-000058380000}"/>
    <cellStyle name="Normal 25 3 2 2 3 3" xfId="25784" xr:uid="{00000000-0005-0000-0000-000059380000}"/>
    <cellStyle name="Normal 25 3 2 2 4" xfId="13388" xr:uid="{00000000-0005-0000-0000-00005A380000}"/>
    <cellStyle name="Normal 25 3 2 2 4 2" xfId="29931" xr:uid="{00000000-0005-0000-0000-00005B380000}"/>
    <cellStyle name="Normal 25 3 2 2 5" xfId="21888" xr:uid="{00000000-0005-0000-0000-00005C380000}"/>
    <cellStyle name="Normal 25 3 2 3" xfId="3799" xr:uid="{00000000-0005-0000-0000-00005D380000}"/>
    <cellStyle name="Normal 25 3 2 3 2" xfId="7898" xr:uid="{00000000-0005-0000-0000-00005E380000}"/>
    <cellStyle name="Normal 25 3 2 3 2 2" xfId="17258" xr:uid="{00000000-0005-0000-0000-00005F380000}"/>
    <cellStyle name="Normal 25 3 2 3 2 2 2" xfId="33832" xr:uid="{00000000-0005-0000-0000-000060380000}"/>
    <cellStyle name="Normal 25 3 2 3 2 3" xfId="25785" xr:uid="{00000000-0005-0000-0000-000061380000}"/>
    <cellStyle name="Normal 25 3 2 3 3" xfId="13390" xr:uid="{00000000-0005-0000-0000-000062380000}"/>
    <cellStyle name="Normal 25 3 2 3 3 2" xfId="29933" xr:uid="{00000000-0005-0000-0000-000063380000}"/>
    <cellStyle name="Normal 25 3 2 3 4" xfId="21890" xr:uid="{00000000-0005-0000-0000-000064380000}"/>
    <cellStyle name="Normal 25 3 2 4" xfId="7899" xr:uid="{00000000-0005-0000-0000-000065380000}"/>
    <cellStyle name="Normal 25 3 2 4 2" xfId="17259" xr:uid="{00000000-0005-0000-0000-000066380000}"/>
    <cellStyle name="Normal 25 3 2 4 2 2" xfId="33833" xr:uid="{00000000-0005-0000-0000-000067380000}"/>
    <cellStyle name="Normal 25 3 2 4 3" xfId="25786" xr:uid="{00000000-0005-0000-0000-000068380000}"/>
    <cellStyle name="Normal 25 3 2 5" xfId="13387" xr:uid="{00000000-0005-0000-0000-000069380000}"/>
    <cellStyle name="Normal 25 3 2 5 2" xfId="29930" xr:uid="{00000000-0005-0000-0000-00006A380000}"/>
    <cellStyle name="Normal 25 3 2 6" xfId="21887" xr:uid="{00000000-0005-0000-0000-00006B380000}"/>
    <cellStyle name="Normal 25 3 3" xfId="3800" xr:uid="{00000000-0005-0000-0000-00006C380000}"/>
    <cellStyle name="Normal 25 3 3 2" xfId="3801" xr:uid="{00000000-0005-0000-0000-00006D380000}"/>
    <cellStyle name="Normal 25 3 3 2 2" xfId="7900" xr:uid="{00000000-0005-0000-0000-00006E380000}"/>
    <cellStyle name="Normal 25 3 3 2 2 2" xfId="17260" xr:uid="{00000000-0005-0000-0000-00006F380000}"/>
    <cellStyle name="Normal 25 3 3 2 2 2 2" xfId="33834" xr:uid="{00000000-0005-0000-0000-000070380000}"/>
    <cellStyle name="Normal 25 3 3 2 2 3" xfId="25787" xr:uid="{00000000-0005-0000-0000-000071380000}"/>
    <cellStyle name="Normal 25 3 3 2 3" xfId="13392" xr:uid="{00000000-0005-0000-0000-000072380000}"/>
    <cellStyle name="Normal 25 3 3 2 3 2" xfId="29935" xr:uid="{00000000-0005-0000-0000-000073380000}"/>
    <cellStyle name="Normal 25 3 3 2 4" xfId="21892" xr:uid="{00000000-0005-0000-0000-000074380000}"/>
    <cellStyle name="Normal 25 3 3 3" xfId="7901" xr:uid="{00000000-0005-0000-0000-000075380000}"/>
    <cellStyle name="Normal 25 3 3 3 2" xfId="17261" xr:uid="{00000000-0005-0000-0000-000076380000}"/>
    <cellStyle name="Normal 25 3 3 3 2 2" xfId="33835" xr:uid="{00000000-0005-0000-0000-000077380000}"/>
    <cellStyle name="Normal 25 3 3 3 3" xfId="25788" xr:uid="{00000000-0005-0000-0000-000078380000}"/>
    <cellStyle name="Normal 25 3 3 4" xfId="13391" xr:uid="{00000000-0005-0000-0000-000079380000}"/>
    <cellStyle name="Normal 25 3 3 4 2" xfId="29934" xr:uid="{00000000-0005-0000-0000-00007A380000}"/>
    <cellStyle name="Normal 25 3 3 5" xfId="21891" xr:uid="{00000000-0005-0000-0000-00007B380000}"/>
    <cellStyle name="Normal 25 3 4" xfId="3802" xr:uid="{00000000-0005-0000-0000-00007C380000}"/>
    <cellStyle name="Normal 25 3 4 2" xfId="7902" xr:uid="{00000000-0005-0000-0000-00007D380000}"/>
    <cellStyle name="Normal 25 3 4 2 2" xfId="17262" xr:uid="{00000000-0005-0000-0000-00007E380000}"/>
    <cellStyle name="Normal 25 3 4 2 2 2" xfId="33836" xr:uid="{00000000-0005-0000-0000-00007F380000}"/>
    <cellStyle name="Normal 25 3 4 2 3" xfId="25789" xr:uid="{00000000-0005-0000-0000-000080380000}"/>
    <cellStyle name="Normal 25 3 4 3" xfId="13393" xr:uid="{00000000-0005-0000-0000-000081380000}"/>
    <cellStyle name="Normal 25 3 4 3 2" xfId="29936" xr:uid="{00000000-0005-0000-0000-000082380000}"/>
    <cellStyle name="Normal 25 3 4 4" xfId="21893" xr:uid="{00000000-0005-0000-0000-000083380000}"/>
    <cellStyle name="Normal 25 3 5" xfId="3803" xr:uid="{00000000-0005-0000-0000-000084380000}"/>
    <cellStyle name="Normal 25 3 5 2" xfId="13394" xr:uid="{00000000-0005-0000-0000-000085380000}"/>
    <cellStyle name="Normal 25 3 5 2 2" xfId="29937" xr:uid="{00000000-0005-0000-0000-000086380000}"/>
    <cellStyle name="Normal 25 3 5 3" xfId="21894" xr:uid="{00000000-0005-0000-0000-000087380000}"/>
    <cellStyle name="Normal 25 4" xfId="3804" xr:uid="{00000000-0005-0000-0000-000088380000}"/>
    <cellStyle name="Normal 25 4 2" xfId="3805" xr:uid="{00000000-0005-0000-0000-000089380000}"/>
    <cellStyle name="Normal 25 4 2 2" xfId="3806" xr:uid="{00000000-0005-0000-0000-00008A380000}"/>
    <cellStyle name="Normal 25 4 2 2 2" xfId="3807" xr:uid="{00000000-0005-0000-0000-00008B380000}"/>
    <cellStyle name="Normal 25 4 2 2 2 2" xfId="7903" xr:uid="{00000000-0005-0000-0000-00008C380000}"/>
    <cellStyle name="Normal 25 4 2 2 2 2 2" xfId="17263" xr:uid="{00000000-0005-0000-0000-00008D380000}"/>
    <cellStyle name="Normal 25 4 2 2 2 2 2 2" xfId="33837" xr:uid="{00000000-0005-0000-0000-00008E380000}"/>
    <cellStyle name="Normal 25 4 2 2 2 2 3" xfId="25790" xr:uid="{00000000-0005-0000-0000-00008F380000}"/>
    <cellStyle name="Normal 25 4 2 2 2 3" xfId="13398" xr:uid="{00000000-0005-0000-0000-000090380000}"/>
    <cellStyle name="Normal 25 4 2 2 2 3 2" xfId="29941" xr:uid="{00000000-0005-0000-0000-000091380000}"/>
    <cellStyle name="Normal 25 4 2 2 2 4" xfId="21898" xr:uid="{00000000-0005-0000-0000-000092380000}"/>
    <cellStyle name="Normal 25 4 2 2 3" xfId="7904" xr:uid="{00000000-0005-0000-0000-000093380000}"/>
    <cellStyle name="Normal 25 4 2 2 3 2" xfId="17264" xr:uid="{00000000-0005-0000-0000-000094380000}"/>
    <cellStyle name="Normal 25 4 2 2 3 2 2" xfId="33838" xr:uid="{00000000-0005-0000-0000-000095380000}"/>
    <cellStyle name="Normal 25 4 2 2 3 3" xfId="25791" xr:uid="{00000000-0005-0000-0000-000096380000}"/>
    <cellStyle name="Normal 25 4 2 2 4" xfId="13397" xr:uid="{00000000-0005-0000-0000-000097380000}"/>
    <cellStyle name="Normal 25 4 2 2 4 2" xfId="29940" xr:uid="{00000000-0005-0000-0000-000098380000}"/>
    <cellStyle name="Normal 25 4 2 2 5" xfId="21897" xr:uid="{00000000-0005-0000-0000-000099380000}"/>
    <cellStyle name="Normal 25 4 2 3" xfId="3808" xr:uid="{00000000-0005-0000-0000-00009A380000}"/>
    <cellStyle name="Normal 25 4 2 3 2" xfId="7905" xr:uid="{00000000-0005-0000-0000-00009B380000}"/>
    <cellStyle name="Normal 25 4 2 3 2 2" xfId="17265" xr:uid="{00000000-0005-0000-0000-00009C380000}"/>
    <cellStyle name="Normal 25 4 2 3 2 2 2" xfId="33839" xr:uid="{00000000-0005-0000-0000-00009D380000}"/>
    <cellStyle name="Normal 25 4 2 3 2 3" xfId="25792" xr:uid="{00000000-0005-0000-0000-00009E380000}"/>
    <cellStyle name="Normal 25 4 2 3 3" xfId="13399" xr:uid="{00000000-0005-0000-0000-00009F380000}"/>
    <cellStyle name="Normal 25 4 2 3 3 2" xfId="29942" xr:uid="{00000000-0005-0000-0000-0000A0380000}"/>
    <cellStyle name="Normal 25 4 2 3 4" xfId="21899" xr:uid="{00000000-0005-0000-0000-0000A1380000}"/>
    <cellStyle name="Normal 25 4 2 4" xfId="7906" xr:uid="{00000000-0005-0000-0000-0000A2380000}"/>
    <cellStyle name="Normal 25 4 2 4 2" xfId="17266" xr:uid="{00000000-0005-0000-0000-0000A3380000}"/>
    <cellStyle name="Normal 25 4 2 4 2 2" xfId="33840" xr:uid="{00000000-0005-0000-0000-0000A4380000}"/>
    <cellStyle name="Normal 25 4 2 4 3" xfId="25793" xr:uid="{00000000-0005-0000-0000-0000A5380000}"/>
    <cellStyle name="Normal 25 4 2 5" xfId="13396" xr:uid="{00000000-0005-0000-0000-0000A6380000}"/>
    <cellStyle name="Normal 25 4 2 5 2" xfId="29939" xr:uid="{00000000-0005-0000-0000-0000A7380000}"/>
    <cellStyle name="Normal 25 4 2 6" xfId="21896" xr:uid="{00000000-0005-0000-0000-0000A8380000}"/>
    <cellStyle name="Normal 25 4 3" xfId="3809" xr:uid="{00000000-0005-0000-0000-0000A9380000}"/>
    <cellStyle name="Normal 25 4 3 2" xfId="3810" xr:uid="{00000000-0005-0000-0000-0000AA380000}"/>
    <cellStyle name="Normal 25 4 3 2 2" xfId="7907" xr:uid="{00000000-0005-0000-0000-0000AB380000}"/>
    <cellStyle name="Normal 25 4 3 2 2 2" xfId="17267" xr:uid="{00000000-0005-0000-0000-0000AC380000}"/>
    <cellStyle name="Normal 25 4 3 2 2 2 2" xfId="33841" xr:uid="{00000000-0005-0000-0000-0000AD380000}"/>
    <cellStyle name="Normal 25 4 3 2 2 3" xfId="25794" xr:uid="{00000000-0005-0000-0000-0000AE380000}"/>
    <cellStyle name="Normal 25 4 3 2 3" xfId="13401" xr:uid="{00000000-0005-0000-0000-0000AF380000}"/>
    <cellStyle name="Normal 25 4 3 2 3 2" xfId="29944" xr:uid="{00000000-0005-0000-0000-0000B0380000}"/>
    <cellStyle name="Normal 25 4 3 2 4" xfId="21901" xr:uid="{00000000-0005-0000-0000-0000B1380000}"/>
    <cellStyle name="Normal 25 4 3 3" xfId="7908" xr:uid="{00000000-0005-0000-0000-0000B2380000}"/>
    <cellStyle name="Normal 25 4 3 3 2" xfId="17268" xr:uid="{00000000-0005-0000-0000-0000B3380000}"/>
    <cellStyle name="Normal 25 4 3 3 2 2" xfId="33842" xr:uid="{00000000-0005-0000-0000-0000B4380000}"/>
    <cellStyle name="Normal 25 4 3 3 3" xfId="25795" xr:uid="{00000000-0005-0000-0000-0000B5380000}"/>
    <cellStyle name="Normal 25 4 3 4" xfId="13400" xr:uid="{00000000-0005-0000-0000-0000B6380000}"/>
    <cellStyle name="Normal 25 4 3 4 2" xfId="29943" xr:uid="{00000000-0005-0000-0000-0000B7380000}"/>
    <cellStyle name="Normal 25 4 3 5" xfId="21900" xr:uid="{00000000-0005-0000-0000-0000B8380000}"/>
    <cellStyle name="Normal 25 4 4" xfId="3811" xr:uid="{00000000-0005-0000-0000-0000B9380000}"/>
    <cellStyle name="Normal 25 4 4 2" xfId="7909" xr:uid="{00000000-0005-0000-0000-0000BA380000}"/>
    <cellStyle name="Normal 25 4 4 2 2" xfId="17269" xr:uid="{00000000-0005-0000-0000-0000BB380000}"/>
    <cellStyle name="Normal 25 4 4 2 2 2" xfId="33843" xr:uid="{00000000-0005-0000-0000-0000BC380000}"/>
    <cellStyle name="Normal 25 4 4 2 3" xfId="25796" xr:uid="{00000000-0005-0000-0000-0000BD380000}"/>
    <cellStyle name="Normal 25 4 4 3" xfId="13402" xr:uid="{00000000-0005-0000-0000-0000BE380000}"/>
    <cellStyle name="Normal 25 4 4 3 2" xfId="29945" xr:uid="{00000000-0005-0000-0000-0000BF380000}"/>
    <cellStyle name="Normal 25 4 4 4" xfId="21902" xr:uid="{00000000-0005-0000-0000-0000C0380000}"/>
    <cellStyle name="Normal 25 4 5" xfId="7910" xr:uid="{00000000-0005-0000-0000-0000C1380000}"/>
    <cellStyle name="Normal 25 4 5 2" xfId="17270" xr:uid="{00000000-0005-0000-0000-0000C2380000}"/>
    <cellStyle name="Normal 25 4 5 2 2" xfId="33844" xr:uid="{00000000-0005-0000-0000-0000C3380000}"/>
    <cellStyle name="Normal 25 4 5 3" xfId="25797" xr:uid="{00000000-0005-0000-0000-0000C4380000}"/>
    <cellStyle name="Normal 25 4 6" xfId="13395" xr:uid="{00000000-0005-0000-0000-0000C5380000}"/>
    <cellStyle name="Normal 25 4 6 2" xfId="29938" xr:uid="{00000000-0005-0000-0000-0000C6380000}"/>
    <cellStyle name="Normal 25 4 7" xfId="21895" xr:uid="{00000000-0005-0000-0000-0000C7380000}"/>
    <cellStyle name="Normal 25 5" xfId="3812" xr:uid="{00000000-0005-0000-0000-0000C8380000}"/>
    <cellStyle name="Normal 25 5 2" xfId="3813" xr:uid="{00000000-0005-0000-0000-0000C9380000}"/>
    <cellStyle name="Normal 25 5 2 2" xfId="3814" xr:uid="{00000000-0005-0000-0000-0000CA380000}"/>
    <cellStyle name="Normal 25 5 2 2 2" xfId="3815" xr:uid="{00000000-0005-0000-0000-0000CB380000}"/>
    <cellStyle name="Normal 25 5 2 2 2 2" xfId="7911" xr:uid="{00000000-0005-0000-0000-0000CC380000}"/>
    <cellStyle name="Normal 25 5 2 2 2 2 2" xfId="17271" xr:uid="{00000000-0005-0000-0000-0000CD380000}"/>
    <cellStyle name="Normal 25 5 2 2 2 2 2 2" xfId="33845" xr:uid="{00000000-0005-0000-0000-0000CE380000}"/>
    <cellStyle name="Normal 25 5 2 2 2 2 3" xfId="25798" xr:uid="{00000000-0005-0000-0000-0000CF380000}"/>
    <cellStyle name="Normal 25 5 2 2 2 3" xfId="13406" xr:uid="{00000000-0005-0000-0000-0000D0380000}"/>
    <cellStyle name="Normal 25 5 2 2 2 3 2" xfId="29949" xr:uid="{00000000-0005-0000-0000-0000D1380000}"/>
    <cellStyle name="Normal 25 5 2 2 2 4" xfId="21906" xr:uid="{00000000-0005-0000-0000-0000D2380000}"/>
    <cellStyle name="Normal 25 5 2 2 3" xfId="7912" xr:uid="{00000000-0005-0000-0000-0000D3380000}"/>
    <cellStyle name="Normal 25 5 2 2 3 2" xfId="17272" xr:uid="{00000000-0005-0000-0000-0000D4380000}"/>
    <cellStyle name="Normal 25 5 2 2 3 2 2" xfId="33846" xr:uid="{00000000-0005-0000-0000-0000D5380000}"/>
    <cellStyle name="Normal 25 5 2 2 3 3" xfId="25799" xr:uid="{00000000-0005-0000-0000-0000D6380000}"/>
    <cellStyle name="Normal 25 5 2 2 4" xfId="13405" xr:uid="{00000000-0005-0000-0000-0000D7380000}"/>
    <cellStyle name="Normal 25 5 2 2 4 2" xfId="29948" xr:uid="{00000000-0005-0000-0000-0000D8380000}"/>
    <cellStyle name="Normal 25 5 2 2 5" xfId="21905" xr:uid="{00000000-0005-0000-0000-0000D9380000}"/>
    <cellStyle name="Normal 25 5 2 3" xfId="3816" xr:uid="{00000000-0005-0000-0000-0000DA380000}"/>
    <cellStyle name="Normal 25 5 2 3 2" xfId="7913" xr:uid="{00000000-0005-0000-0000-0000DB380000}"/>
    <cellStyle name="Normal 25 5 2 3 2 2" xfId="17273" xr:uid="{00000000-0005-0000-0000-0000DC380000}"/>
    <cellStyle name="Normal 25 5 2 3 2 2 2" xfId="33847" xr:uid="{00000000-0005-0000-0000-0000DD380000}"/>
    <cellStyle name="Normal 25 5 2 3 2 3" xfId="25800" xr:uid="{00000000-0005-0000-0000-0000DE380000}"/>
    <cellStyle name="Normal 25 5 2 3 3" xfId="13407" xr:uid="{00000000-0005-0000-0000-0000DF380000}"/>
    <cellStyle name="Normal 25 5 2 3 3 2" xfId="29950" xr:uid="{00000000-0005-0000-0000-0000E0380000}"/>
    <cellStyle name="Normal 25 5 2 3 4" xfId="21907" xr:uid="{00000000-0005-0000-0000-0000E1380000}"/>
    <cellStyle name="Normal 25 5 2 4" xfId="7914" xr:uid="{00000000-0005-0000-0000-0000E2380000}"/>
    <cellStyle name="Normal 25 5 2 4 2" xfId="17274" xr:uid="{00000000-0005-0000-0000-0000E3380000}"/>
    <cellStyle name="Normal 25 5 2 4 2 2" xfId="33848" xr:uid="{00000000-0005-0000-0000-0000E4380000}"/>
    <cellStyle name="Normal 25 5 2 4 3" xfId="25801" xr:uid="{00000000-0005-0000-0000-0000E5380000}"/>
    <cellStyle name="Normal 25 5 2 5" xfId="13404" xr:uid="{00000000-0005-0000-0000-0000E6380000}"/>
    <cellStyle name="Normal 25 5 2 5 2" xfId="29947" xr:uid="{00000000-0005-0000-0000-0000E7380000}"/>
    <cellStyle name="Normal 25 5 2 6" xfId="21904" xr:uid="{00000000-0005-0000-0000-0000E8380000}"/>
    <cellStyle name="Normal 25 5 3" xfId="3817" xr:uid="{00000000-0005-0000-0000-0000E9380000}"/>
    <cellStyle name="Normal 25 5 3 2" xfId="3818" xr:uid="{00000000-0005-0000-0000-0000EA380000}"/>
    <cellStyle name="Normal 25 5 3 2 2" xfId="7915" xr:uid="{00000000-0005-0000-0000-0000EB380000}"/>
    <cellStyle name="Normal 25 5 3 2 2 2" xfId="17275" xr:uid="{00000000-0005-0000-0000-0000EC380000}"/>
    <cellStyle name="Normal 25 5 3 2 2 2 2" xfId="33849" xr:uid="{00000000-0005-0000-0000-0000ED380000}"/>
    <cellStyle name="Normal 25 5 3 2 2 3" xfId="25802" xr:uid="{00000000-0005-0000-0000-0000EE380000}"/>
    <cellStyle name="Normal 25 5 3 2 3" xfId="13409" xr:uid="{00000000-0005-0000-0000-0000EF380000}"/>
    <cellStyle name="Normal 25 5 3 2 3 2" xfId="29952" xr:uid="{00000000-0005-0000-0000-0000F0380000}"/>
    <cellStyle name="Normal 25 5 3 2 4" xfId="21909" xr:uid="{00000000-0005-0000-0000-0000F1380000}"/>
    <cellStyle name="Normal 25 5 3 3" xfId="7916" xr:uid="{00000000-0005-0000-0000-0000F2380000}"/>
    <cellStyle name="Normal 25 5 3 3 2" xfId="17276" xr:uid="{00000000-0005-0000-0000-0000F3380000}"/>
    <cellStyle name="Normal 25 5 3 3 2 2" xfId="33850" xr:uid="{00000000-0005-0000-0000-0000F4380000}"/>
    <cellStyle name="Normal 25 5 3 3 3" xfId="25803" xr:uid="{00000000-0005-0000-0000-0000F5380000}"/>
    <cellStyle name="Normal 25 5 3 4" xfId="13408" xr:uid="{00000000-0005-0000-0000-0000F6380000}"/>
    <cellStyle name="Normal 25 5 3 4 2" xfId="29951" xr:uid="{00000000-0005-0000-0000-0000F7380000}"/>
    <cellStyle name="Normal 25 5 3 5" xfId="21908" xr:uid="{00000000-0005-0000-0000-0000F8380000}"/>
    <cellStyle name="Normal 25 5 4" xfId="3819" xr:uid="{00000000-0005-0000-0000-0000F9380000}"/>
    <cellStyle name="Normal 25 5 4 2" xfId="7917" xr:uid="{00000000-0005-0000-0000-0000FA380000}"/>
    <cellStyle name="Normal 25 5 4 2 2" xfId="17277" xr:uid="{00000000-0005-0000-0000-0000FB380000}"/>
    <cellStyle name="Normal 25 5 4 2 2 2" xfId="33851" xr:uid="{00000000-0005-0000-0000-0000FC380000}"/>
    <cellStyle name="Normal 25 5 4 2 3" xfId="25804" xr:uid="{00000000-0005-0000-0000-0000FD380000}"/>
    <cellStyle name="Normal 25 5 4 3" xfId="13410" xr:uid="{00000000-0005-0000-0000-0000FE380000}"/>
    <cellStyle name="Normal 25 5 4 3 2" xfId="29953" xr:uid="{00000000-0005-0000-0000-0000FF380000}"/>
    <cellStyle name="Normal 25 5 4 4" xfId="21910" xr:uid="{00000000-0005-0000-0000-000000390000}"/>
    <cellStyle name="Normal 25 5 5" xfId="7918" xr:uid="{00000000-0005-0000-0000-000001390000}"/>
    <cellStyle name="Normal 25 5 5 2" xfId="17278" xr:uid="{00000000-0005-0000-0000-000002390000}"/>
    <cellStyle name="Normal 25 5 5 2 2" xfId="33852" xr:uid="{00000000-0005-0000-0000-000003390000}"/>
    <cellStyle name="Normal 25 5 5 3" xfId="25805" xr:uid="{00000000-0005-0000-0000-000004390000}"/>
    <cellStyle name="Normal 25 5 6" xfId="13403" xr:uid="{00000000-0005-0000-0000-000005390000}"/>
    <cellStyle name="Normal 25 5 6 2" xfId="29946" xr:uid="{00000000-0005-0000-0000-000006390000}"/>
    <cellStyle name="Normal 25 5 7" xfId="21903" xr:uid="{00000000-0005-0000-0000-000007390000}"/>
    <cellStyle name="Normal 25 6" xfId="3820" xr:uid="{00000000-0005-0000-0000-000008390000}"/>
    <cellStyle name="Normal 25 6 2" xfId="3821" xr:uid="{00000000-0005-0000-0000-000009390000}"/>
    <cellStyle name="Normal 25 6 2 2" xfId="3822" xr:uid="{00000000-0005-0000-0000-00000A390000}"/>
    <cellStyle name="Normal 25 6 2 2 2" xfId="7919" xr:uid="{00000000-0005-0000-0000-00000B390000}"/>
    <cellStyle name="Normal 25 6 2 2 2 2" xfId="17279" xr:uid="{00000000-0005-0000-0000-00000C390000}"/>
    <cellStyle name="Normal 25 6 2 2 2 2 2" xfId="33853" xr:uid="{00000000-0005-0000-0000-00000D390000}"/>
    <cellStyle name="Normal 25 6 2 2 2 3" xfId="25806" xr:uid="{00000000-0005-0000-0000-00000E390000}"/>
    <cellStyle name="Normal 25 6 2 2 3" xfId="13413" xr:uid="{00000000-0005-0000-0000-00000F390000}"/>
    <cellStyle name="Normal 25 6 2 2 3 2" xfId="29956" xr:uid="{00000000-0005-0000-0000-000010390000}"/>
    <cellStyle name="Normal 25 6 2 2 4" xfId="21913" xr:uid="{00000000-0005-0000-0000-000011390000}"/>
    <cellStyle name="Normal 25 6 2 3" xfId="7920" xr:uid="{00000000-0005-0000-0000-000012390000}"/>
    <cellStyle name="Normal 25 6 2 3 2" xfId="17280" xr:uid="{00000000-0005-0000-0000-000013390000}"/>
    <cellStyle name="Normal 25 6 2 3 2 2" xfId="33854" xr:uid="{00000000-0005-0000-0000-000014390000}"/>
    <cellStyle name="Normal 25 6 2 3 3" xfId="25807" xr:uid="{00000000-0005-0000-0000-000015390000}"/>
    <cellStyle name="Normal 25 6 2 4" xfId="13412" xr:uid="{00000000-0005-0000-0000-000016390000}"/>
    <cellStyle name="Normal 25 6 2 4 2" xfId="29955" xr:uid="{00000000-0005-0000-0000-000017390000}"/>
    <cellStyle name="Normal 25 6 2 5" xfId="21912" xr:uid="{00000000-0005-0000-0000-000018390000}"/>
    <cellStyle name="Normal 25 6 3" xfId="3823" xr:uid="{00000000-0005-0000-0000-000019390000}"/>
    <cellStyle name="Normal 25 6 3 2" xfId="7921" xr:uid="{00000000-0005-0000-0000-00001A390000}"/>
    <cellStyle name="Normal 25 6 3 2 2" xfId="17281" xr:uid="{00000000-0005-0000-0000-00001B390000}"/>
    <cellStyle name="Normal 25 6 3 2 2 2" xfId="33855" xr:uid="{00000000-0005-0000-0000-00001C390000}"/>
    <cellStyle name="Normal 25 6 3 2 3" xfId="25808" xr:uid="{00000000-0005-0000-0000-00001D390000}"/>
    <cellStyle name="Normal 25 6 3 3" xfId="13414" xr:uid="{00000000-0005-0000-0000-00001E390000}"/>
    <cellStyle name="Normal 25 6 3 3 2" xfId="29957" xr:uid="{00000000-0005-0000-0000-00001F390000}"/>
    <cellStyle name="Normal 25 6 3 4" xfId="21914" xr:uid="{00000000-0005-0000-0000-000020390000}"/>
    <cellStyle name="Normal 25 6 4" xfId="7922" xr:uid="{00000000-0005-0000-0000-000021390000}"/>
    <cellStyle name="Normal 25 6 4 2" xfId="17282" xr:uid="{00000000-0005-0000-0000-000022390000}"/>
    <cellStyle name="Normal 25 6 4 2 2" xfId="33856" xr:uid="{00000000-0005-0000-0000-000023390000}"/>
    <cellStyle name="Normal 25 6 4 3" xfId="25809" xr:uid="{00000000-0005-0000-0000-000024390000}"/>
    <cellStyle name="Normal 25 6 5" xfId="13411" xr:uid="{00000000-0005-0000-0000-000025390000}"/>
    <cellStyle name="Normal 25 6 5 2" xfId="29954" xr:uid="{00000000-0005-0000-0000-000026390000}"/>
    <cellStyle name="Normal 25 6 6" xfId="21911" xr:uid="{00000000-0005-0000-0000-000027390000}"/>
    <cellStyle name="Normal 25 7" xfId="3824" xr:uid="{00000000-0005-0000-0000-000028390000}"/>
    <cellStyle name="Normal 25 7 2" xfId="3825" xr:uid="{00000000-0005-0000-0000-000029390000}"/>
    <cellStyle name="Normal 25 7 2 2" xfId="7923" xr:uid="{00000000-0005-0000-0000-00002A390000}"/>
    <cellStyle name="Normal 25 7 2 2 2" xfId="17283" xr:uid="{00000000-0005-0000-0000-00002B390000}"/>
    <cellStyle name="Normal 25 7 2 2 2 2" xfId="33857" xr:uid="{00000000-0005-0000-0000-00002C390000}"/>
    <cellStyle name="Normal 25 7 2 2 3" xfId="25810" xr:uid="{00000000-0005-0000-0000-00002D390000}"/>
    <cellStyle name="Normal 25 7 2 3" xfId="13416" xr:uid="{00000000-0005-0000-0000-00002E390000}"/>
    <cellStyle name="Normal 25 7 2 3 2" xfId="29959" xr:uid="{00000000-0005-0000-0000-00002F390000}"/>
    <cellStyle name="Normal 25 7 2 4" xfId="21916" xr:uid="{00000000-0005-0000-0000-000030390000}"/>
    <cellStyle name="Normal 25 7 3" xfId="7924" xr:uid="{00000000-0005-0000-0000-000031390000}"/>
    <cellStyle name="Normal 25 7 3 2" xfId="17284" xr:uid="{00000000-0005-0000-0000-000032390000}"/>
    <cellStyle name="Normal 25 7 3 2 2" xfId="33858" xr:uid="{00000000-0005-0000-0000-000033390000}"/>
    <cellStyle name="Normal 25 7 3 3" xfId="25811" xr:uid="{00000000-0005-0000-0000-000034390000}"/>
    <cellStyle name="Normal 25 7 4" xfId="13415" xr:uid="{00000000-0005-0000-0000-000035390000}"/>
    <cellStyle name="Normal 25 7 4 2" xfId="29958" xr:uid="{00000000-0005-0000-0000-000036390000}"/>
    <cellStyle name="Normal 25 7 5" xfId="21915" xr:uid="{00000000-0005-0000-0000-000037390000}"/>
    <cellStyle name="Normal 25 8" xfId="3826" xr:uid="{00000000-0005-0000-0000-000038390000}"/>
    <cellStyle name="Normal 25 8 2" xfId="7925" xr:uid="{00000000-0005-0000-0000-000039390000}"/>
    <cellStyle name="Normal 25 8 2 2" xfId="17285" xr:uid="{00000000-0005-0000-0000-00003A390000}"/>
    <cellStyle name="Normal 25 8 2 2 2" xfId="33859" xr:uid="{00000000-0005-0000-0000-00003B390000}"/>
    <cellStyle name="Normal 25 8 2 3" xfId="25812" xr:uid="{00000000-0005-0000-0000-00003C390000}"/>
    <cellStyle name="Normal 25 8 3" xfId="13417" xr:uid="{00000000-0005-0000-0000-00003D390000}"/>
    <cellStyle name="Normal 25 8 3 2" xfId="29960" xr:uid="{00000000-0005-0000-0000-00003E390000}"/>
    <cellStyle name="Normal 25 8 4" xfId="21917" xr:uid="{00000000-0005-0000-0000-00003F390000}"/>
    <cellStyle name="Normal 25 9" xfId="7926" xr:uid="{00000000-0005-0000-0000-000040390000}"/>
    <cellStyle name="Normal 25 9 2" xfId="17286" xr:uid="{00000000-0005-0000-0000-000041390000}"/>
    <cellStyle name="Normal 25 9 2 2" xfId="33860" xr:uid="{00000000-0005-0000-0000-000042390000}"/>
    <cellStyle name="Normal 25 9 3" xfId="25813" xr:uid="{00000000-0005-0000-0000-000043390000}"/>
    <cellStyle name="Normal 250" xfId="10754" xr:uid="{00000000-0005-0000-0000-000044390000}"/>
    <cellStyle name="Normal 251" xfId="10757" xr:uid="{00000000-0005-0000-0000-000045390000}"/>
    <cellStyle name="Normal 252" xfId="10760" xr:uid="{00000000-0005-0000-0000-000046390000}"/>
    <cellStyle name="Normal 253" xfId="10763" xr:uid="{00000000-0005-0000-0000-000047390000}"/>
    <cellStyle name="Normal 254" xfId="10766" xr:uid="{00000000-0005-0000-0000-000048390000}"/>
    <cellStyle name="Normal 255" xfId="10769" xr:uid="{00000000-0005-0000-0000-000049390000}"/>
    <cellStyle name="Normal 256" xfId="10772" xr:uid="{00000000-0005-0000-0000-00004A390000}"/>
    <cellStyle name="Normal 257" xfId="10775" xr:uid="{00000000-0005-0000-0000-00004B390000}"/>
    <cellStyle name="Normal 258" xfId="10778" xr:uid="{00000000-0005-0000-0000-00004C390000}"/>
    <cellStyle name="Normal 259" xfId="10781" xr:uid="{00000000-0005-0000-0000-00004D390000}"/>
    <cellStyle name="Normal 26" xfId="3827" xr:uid="{00000000-0005-0000-0000-00004E390000}"/>
    <cellStyle name="Normal 26 10" xfId="13418" xr:uid="{00000000-0005-0000-0000-00004F390000}"/>
    <cellStyle name="Normal 26 10 2" xfId="29961" xr:uid="{00000000-0005-0000-0000-000050390000}"/>
    <cellStyle name="Normal 26 11" xfId="21918" xr:uid="{00000000-0005-0000-0000-000051390000}"/>
    <cellStyle name="Normal 26 12" xfId="36915" xr:uid="{00000000-0005-0000-0000-000052390000}"/>
    <cellStyle name="Normal 26 2" xfId="3828" xr:uid="{00000000-0005-0000-0000-000053390000}"/>
    <cellStyle name="Normal 26 2 2" xfId="3829" xr:uid="{00000000-0005-0000-0000-000054390000}"/>
    <cellStyle name="Normal 26 2 3" xfId="13419" xr:uid="{00000000-0005-0000-0000-000055390000}"/>
    <cellStyle name="Normal 26 2 3 2" xfId="29962" xr:uid="{00000000-0005-0000-0000-000056390000}"/>
    <cellStyle name="Normal 26 2 4" xfId="21919" xr:uid="{00000000-0005-0000-0000-000057390000}"/>
    <cellStyle name="Normal 26 3" xfId="3830" xr:uid="{00000000-0005-0000-0000-000058390000}"/>
    <cellStyle name="Normal 26 3 2" xfId="3831" xr:uid="{00000000-0005-0000-0000-000059390000}"/>
    <cellStyle name="Normal 26 3 2 2" xfId="3832" xr:uid="{00000000-0005-0000-0000-00005A390000}"/>
    <cellStyle name="Normal 26 3 2 2 2" xfId="3833" xr:uid="{00000000-0005-0000-0000-00005B390000}"/>
    <cellStyle name="Normal 26 3 2 2 2 2" xfId="7927" xr:uid="{00000000-0005-0000-0000-00005C390000}"/>
    <cellStyle name="Normal 26 3 2 2 2 2 2" xfId="17287" xr:uid="{00000000-0005-0000-0000-00005D390000}"/>
    <cellStyle name="Normal 26 3 2 2 2 2 2 2" xfId="33861" xr:uid="{00000000-0005-0000-0000-00005E390000}"/>
    <cellStyle name="Normal 26 3 2 2 2 2 3" xfId="25814" xr:uid="{00000000-0005-0000-0000-00005F390000}"/>
    <cellStyle name="Normal 26 3 2 2 2 3" xfId="13422" xr:uid="{00000000-0005-0000-0000-000060390000}"/>
    <cellStyle name="Normal 26 3 2 2 2 3 2" xfId="29965" xr:uid="{00000000-0005-0000-0000-000061390000}"/>
    <cellStyle name="Normal 26 3 2 2 2 4" xfId="21922" xr:uid="{00000000-0005-0000-0000-000062390000}"/>
    <cellStyle name="Normal 26 3 2 2 3" xfId="7928" xr:uid="{00000000-0005-0000-0000-000063390000}"/>
    <cellStyle name="Normal 26 3 2 2 3 2" xfId="17288" xr:uid="{00000000-0005-0000-0000-000064390000}"/>
    <cellStyle name="Normal 26 3 2 2 3 2 2" xfId="33862" xr:uid="{00000000-0005-0000-0000-000065390000}"/>
    <cellStyle name="Normal 26 3 2 2 3 3" xfId="25815" xr:uid="{00000000-0005-0000-0000-000066390000}"/>
    <cellStyle name="Normal 26 3 2 2 4" xfId="13421" xr:uid="{00000000-0005-0000-0000-000067390000}"/>
    <cellStyle name="Normal 26 3 2 2 4 2" xfId="29964" xr:uid="{00000000-0005-0000-0000-000068390000}"/>
    <cellStyle name="Normal 26 3 2 2 5" xfId="21921" xr:uid="{00000000-0005-0000-0000-000069390000}"/>
    <cellStyle name="Normal 26 3 2 3" xfId="3834" xr:uid="{00000000-0005-0000-0000-00006A390000}"/>
    <cellStyle name="Normal 26 3 2 3 2" xfId="7929" xr:uid="{00000000-0005-0000-0000-00006B390000}"/>
    <cellStyle name="Normal 26 3 2 3 2 2" xfId="17289" xr:uid="{00000000-0005-0000-0000-00006C390000}"/>
    <cellStyle name="Normal 26 3 2 3 2 2 2" xfId="33863" xr:uid="{00000000-0005-0000-0000-00006D390000}"/>
    <cellStyle name="Normal 26 3 2 3 2 3" xfId="25816" xr:uid="{00000000-0005-0000-0000-00006E390000}"/>
    <cellStyle name="Normal 26 3 2 3 3" xfId="13423" xr:uid="{00000000-0005-0000-0000-00006F390000}"/>
    <cellStyle name="Normal 26 3 2 3 3 2" xfId="29966" xr:uid="{00000000-0005-0000-0000-000070390000}"/>
    <cellStyle name="Normal 26 3 2 3 4" xfId="21923" xr:uid="{00000000-0005-0000-0000-000071390000}"/>
    <cellStyle name="Normal 26 3 2 4" xfId="7930" xr:uid="{00000000-0005-0000-0000-000072390000}"/>
    <cellStyle name="Normal 26 3 2 4 2" xfId="17290" xr:uid="{00000000-0005-0000-0000-000073390000}"/>
    <cellStyle name="Normal 26 3 2 4 2 2" xfId="33864" xr:uid="{00000000-0005-0000-0000-000074390000}"/>
    <cellStyle name="Normal 26 3 2 4 3" xfId="25817" xr:uid="{00000000-0005-0000-0000-000075390000}"/>
    <cellStyle name="Normal 26 3 2 5" xfId="13420" xr:uid="{00000000-0005-0000-0000-000076390000}"/>
    <cellStyle name="Normal 26 3 2 5 2" xfId="29963" xr:uid="{00000000-0005-0000-0000-000077390000}"/>
    <cellStyle name="Normal 26 3 2 6" xfId="21920" xr:uid="{00000000-0005-0000-0000-000078390000}"/>
    <cellStyle name="Normal 26 3 3" xfId="3835" xr:uid="{00000000-0005-0000-0000-000079390000}"/>
    <cellStyle name="Normal 26 3 3 2" xfId="3836" xr:uid="{00000000-0005-0000-0000-00007A390000}"/>
    <cellStyle name="Normal 26 3 3 2 2" xfId="7931" xr:uid="{00000000-0005-0000-0000-00007B390000}"/>
    <cellStyle name="Normal 26 3 3 2 2 2" xfId="17291" xr:uid="{00000000-0005-0000-0000-00007C390000}"/>
    <cellStyle name="Normal 26 3 3 2 2 2 2" xfId="33865" xr:uid="{00000000-0005-0000-0000-00007D390000}"/>
    <cellStyle name="Normal 26 3 3 2 2 3" xfId="25818" xr:uid="{00000000-0005-0000-0000-00007E390000}"/>
    <cellStyle name="Normal 26 3 3 2 3" xfId="13425" xr:uid="{00000000-0005-0000-0000-00007F390000}"/>
    <cellStyle name="Normal 26 3 3 2 3 2" xfId="29968" xr:uid="{00000000-0005-0000-0000-000080390000}"/>
    <cellStyle name="Normal 26 3 3 2 4" xfId="21925" xr:uid="{00000000-0005-0000-0000-000081390000}"/>
    <cellStyle name="Normal 26 3 3 3" xfId="7932" xr:uid="{00000000-0005-0000-0000-000082390000}"/>
    <cellStyle name="Normal 26 3 3 3 2" xfId="17292" xr:uid="{00000000-0005-0000-0000-000083390000}"/>
    <cellStyle name="Normal 26 3 3 3 2 2" xfId="33866" xr:uid="{00000000-0005-0000-0000-000084390000}"/>
    <cellStyle name="Normal 26 3 3 3 3" xfId="25819" xr:uid="{00000000-0005-0000-0000-000085390000}"/>
    <cellStyle name="Normal 26 3 3 4" xfId="13424" xr:uid="{00000000-0005-0000-0000-000086390000}"/>
    <cellStyle name="Normal 26 3 3 4 2" xfId="29967" xr:uid="{00000000-0005-0000-0000-000087390000}"/>
    <cellStyle name="Normal 26 3 3 5" xfId="21924" xr:uid="{00000000-0005-0000-0000-000088390000}"/>
    <cellStyle name="Normal 26 3 4" xfId="3837" xr:uid="{00000000-0005-0000-0000-000089390000}"/>
    <cellStyle name="Normal 26 3 4 2" xfId="7933" xr:uid="{00000000-0005-0000-0000-00008A390000}"/>
    <cellStyle name="Normal 26 3 4 2 2" xfId="17293" xr:uid="{00000000-0005-0000-0000-00008B390000}"/>
    <cellStyle name="Normal 26 3 4 2 2 2" xfId="33867" xr:uid="{00000000-0005-0000-0000-00008C390000}"/>
    <cellStyle name="Normal 26 3 4 2 3" xfId="25820" xr:uid="{00000000-0005-0000-0000-00008D390000}"/>
    <cellStyle name="Normal 26 3 4 3" xfId="13426" xr:uid="{00000000-0005-0000-0000-00008E390000}"/>
    <cellStyle name="Normal 26 3 4 3 2" xfId="29969" xr:uid="{00000000-0005-0000-0000-00008F390000}"/>
    <cellStyle name="Normal 26 3 4 4" xfId="21926" xr:uid="{00000000-0005-0000-0000-000090390000}"/>
    <cellStyle name="Normal 26 3 5" xfId="3838" xr:uid="{00000000-0005-0000-0000-000091390000}"/>
    <cellStyle name="Normal 26 3 5 2" xfId="13427" xr:uid="{00000000-0005-0000-0000-000092390000}"/>
    <cellStyle name="Normal 26 3 5 2 2" xfId="29970" xr:uid="{00000000-0005-0000-0000-000093390000}"/>
    <cellStyle name="Normal 26 3 5 3" xfId="21927" xr:uid="{00000000-0005-0000-0000-000094390000}"/>
    <cellStyle name="Normal 26 4" xfId="3839" xr:uid="{00000000-0005-0000-0000-000095390000}"/>
    <cellStyle name="Normal 26 4 2" xfId="3840" xr:uid="{00000000-0005-0000-0000-000096390000}"/>
    <cellStyle name="Normal 26 4 2 2" xfId="3841" xr:uid="{00000000-0005-0000-0000-000097390000}"/>
    <cellStyle name="Normal 26 4 2 2 2" xfId="3842" xr:uid="{00000000-0005-0000-0000-000098390000}"/>
    <cellStyle name="Normal 26 4 2 2 2 2" xfId="7934" xr:uid="{00000000-0005-0000-0000-000099390000}"/>
    <cellStyle name="Normal 26 4 2 2 2 2 2" xfId="17294" xr:uid="{00000000-0005-0000-0000-00009A390000}"/>
    <cellStyle name="Normal 26 4 2 2 2 2 2 2" xfId="33868" xr:uid="{00000000-0005-0000-0000-00009B390000}"/>
    <cellStyle name="Normal 26 4 2 2 2 2 3" xfId="25821" xr:uid="{00000000-0005-0000-0000-00009C390000}"/>
    <cellStyle name="Normal 26 4 2 2 2 3" xfId="13431" xr:uid="{00000000-0005-0000-0000-00009D390000}"/>
    <cellStyle name="Normal 26 4 2 2 2 3 2" xfId="29974" xr:uid="{00000000-0005-0000-0000-00009E390000}"/>
    <cellStyle name="Normal 26 4 2 2 2 4" xfId="21931" xr:uid="{00000000-0005-0000-0000-00009F390000}"/>
    <cellStyle name="Normal 26 4 2 2 3" xfId="7935" xr:uid="{00000000-0005-0000-0000-0000A0390000}"/>
    <cellStyle name="Normal 26 4 2 2 3 2" xfId="17295" xr:uid="{00000000-0005-0000-0000-0000A1390000}"/>
    <cellStyle name="Normal 26 4 2 2 3 2 2" xfId="33869" xr:uid="{00000000-0005-0000-0000-0000A2390000}"/>
    <cellStyle name="Normal 26 4 2 2 3 3" xfId="25822" xr:uid="{00000000-0005-0000-0000-0000A3390000}"/>
    <cellStyle name="Normal 26 4 2 2 4" xfId="13430" xr:uid="{00000000-0005-0000-0000-0000A4390000}"/>
    <cellStyle name="Normal 26 4 2 2 4 2" xfId="29973" xr:uid="{00000000-0005-0000-0000-0000A5390000}"/>
    <cellStyle name="Normal 26 4 2 2 5" xfId="21930" xr:uid="{00000000-0005-0000-0000-0000A6390000}"/>
    <cellStyle name="Normal 26 4 2 3" xfId="3843" xr:uid="{00000000-0005-0000-0000-0000A7390000}"/>
    <cellStyle name="Normal 26 4 2 3 2" xfId="7936" xr:uid="{00000000-0005-0000-0000-0000A8390000}"/>
    <cellStyle name="Normal 26 4 2 3 2 2" xfId="17296" xr:uid="{00000000-0005-0000-0000-0000A9390000}"/>
    <cellStyle name="Normal 26 4 2 3 2 2 2" xfId="33870" xr:uid="{00000000-0005-0000-0000-0000AA390000}"/>
    <cellStyle name="Normal 26 4 2 3 2 3" xfId="25823" xr:uid="{00000000-0005-0000-0000-0000AB390000}"/>
    <cellStyle name="Normal 26 4 2 3 3" xfId="13432" xr:uid="{00000000-0005-0000-0000-0000AC390000}"/>
    <cellStyle name="Normal 26 4 2 3 3 2" xfId="29975" xr:uid="{00000000-0005-0000-0000-0000AD390000}"/>
    <cellStyle name="Normal 26 4 2 3 4" xfId="21932" xr:uid="{00000000-0005-0000-0000-0000AE390000}"/>
    <cellStyle name="Normal 26 4 2 4" xfId="7937" xr:uid="{00000000-0005-0000-0000-0000AF390000}"/>
    <cellStyle name="Normal 26 4 2 4 2" xfId="17297" xr:uid="{00000000-0005-0000-0000-0000B0390000}"/>
    <cellStyle name="Normal 26 4 2 4 2 2" xfId="33871" xr:uid="{00000000-0005-0000-0000-0000B1390000}"/>
    <cellStyle name="Normal 26 4 2 4 3" xfId="25824" xr:uid="{00000000-0005-0000-0000-0000B2390000}"/>
    <cellStyle name="Normal 26 4 2 5" xfId="13429" xr:uid="{00000000-0005-0000-0000-0000B3390000}"/>
    <cellStyle name="Normal 26 4 2 5 2" xfId="29972" xr:uid="{00000000-0005-0000-0000-0000B4390000}"/>
    <cellStyle name="Normal 26 4 2 6" xfId="21929" xr:uid="{00000000-0005-0000-0000-0000B5390000}"/>
    <cellStyle name="Normal 26 4 3" xfId="3844" xr:uid="{00000000-0005-0000-0000-0000B6390000}"/>
    <cellStyle name="Normal 26 4 3 2" xfId="3845" xr:uid="{00000000-0005-0000-0000-0000B7390000}"/>
    <cellStyle name="Normal 26 4 3 2 2" xfId="7938" xr:uid="{00000000-0005-0000-0000-0000B8390000}"/>
    <cellStyle name="Normal 26 4 3 2 2 2" xfId="17298" xr:uid="{00000000-0005-0000-0000-0000B9390000}"/>
    <cellStyle name="Normal 26 4 3 2 2 2 2" xfId="33872" xr:uid="{00000000-0005-0000-0000-0000BA390000}"/>
    <cellStyle name="Normal 26 4 3 2 2 3" xfId="25825" xr:uid="{00000000-0005-0000-0000-0000BB390000}"/>
    <cellStyle name="Normal 26 4 3 2 3" xfId="13434" xr:uid="{00000000-0005-0000-0000-0000BC390000}"/>
    <cellStyle name="Normal 26 4 3 2 3 2" xfId="29977" xr:uid="{00000000-0005-0000-0000-0000BD390000}"/>
    <cellStyle name="Normal 26 4 3 2 4" xfId="21934" xr:uid="{00000000-0005-0000-0000-0000BE390000}"/>
    <cellStyle name="Normal 26 4 3 3" xfId="7939" xr:uid="{00000000-0005-0000-0000-0000BF390000}"/>
    <cellStyle name="Normal 26 4 3 3 2" xfId="17299" xr:uid="{00000000-0005-0000-0000-0000C0390000}"/>
    <cellStyle name="Normal 26 4 3 3 2 2" xfId="33873" xr:uid="{00000000-0005-0000-0000-0000C1390000}"/>
    <cellStyle name="Normal 26 4 3 3 3" xfId="25826" xr:uid="{00000000-0005-0000-0000-0000C2390000}"/>
    <cellStyle name="Normal 26 4 3 4" xfId="13433" xr:uid="{00000000-0005-0000-0000-0000C3390000}"/>
    <cellStyle name="Normal 26 4 3 4 2" xfId="29976" xr:uid="{00000000-0005-0000-0000-0000C4390000}"/>
    <cellStyle name="Normal 26 4 3 5" xfId="21933" xr:uid="{00000000-0005-0000-0000-0000C5390000}"/>
    <cellStyle name="Normal 26 4 4" xfId="3846" xr:uid="{00000000-0005-0000-0000-0000C6390000}"/>
    <cellStyle name="Normal 26 4 4 2" xfId="7940" xr:uid="{00000000-0005-0000-0000-0000C7390000}"/>
    <cellStyle name="Normal 26 4 4 2 2" xfId="17300" xr:uid="{00000000-0005-0000-0000-0000C8390000}"/>
    <cellStyle name="Normal 26 4 4 2 2 2" xfId="33874" xr:uid="{00000000-0005-0000-0000-0000C9390000}"/>
    <cellStyle name="Normal 26 4 4 2 3" xfId="25827" xr:uid="{00000000-0005-0000-0000-0000CA390000}"/>
    <cellStyle name="Normal 26 4 4 3" xfId="13435" xr:uid="{00000000-0005-0000-0000-0000CB390000}"/>
    <cellStyle name="Normal 26 4 4 3 2" xfId="29978" xr:uid="{00000000-0005-0000-0000-0000CC390000}"/>
    <cellStyle name="Normal 26 4 4 4" xfId="21935" xr:uid="{00000000-0005-0000-0000-0000CD390000}"/>
    <cellStyle name="Normal 26 4 5" xfId="7941" xr:uid="{00000000-0005-0000-0000-0000CE390000}"/>
    <cellStyle name="Normal 26 4 5 2" xfId="17301" xr:uid="{00000000-0005-0000-0000-0000CF390000}"/>
    <cellStyle name="Normal 26 4 5 2 2" xfId="33875" xr:uid="{00000000-0005-0000-0000-0000D0390000}"/>
    <cellStyle name="Normal 26 4 5 3" xfId="25828" xr:uid="{00000000-0005-0000-0000-0000D1390000}"/>
    <cellStyle name="Normal 26 4 6" xfId="13428" xr:uid="{00000000-0005-0000-0000-0000D2390000}"/>
    <cellStyle name="Normal 26 4 6 2" xfId="29971" xr:uid="{00000000-0005-0000-0000-0000D3390000}"/>
    <cellStyle name="Normal 26 4 7" xfId="21928" xr:uid="{00000000-0005-0000-0000-0000D4390000}"/>
    <cellStyle name="Normal 26 5" xfId="3847" xr:uid="{00000000-0005-0000-0000-0000D5390000}"/>
    <cellStyle name="Normal 26 5 2" xfId="3848" xr:uid="{00000000-0005-0000-0000-0000D6390000}"/>
    <cellStyle name="Normal 26 5 2 2" xfId="3849" xr:uid="{00000000-0005-0000-0000-0000D7390000}"/>
    <cellStyle name="Normal 26 5 2 2 2" xfId="3850" xr:uid="{00000000-0005-0000-0000-0000D8390000}"/>
    <cellStyle name="Normal 26 5 2 2 2 2" xfId="7942" xr:uid="{00000000-0005-0000-0000-0000D9390000}"/>
    <cellStyle name="Normal 26 5 2 2 2 2 2" xfId="17302" xr:uid="{00000000-0005-0000-0000-0000DA390000}"/>
    <cellStyle name="Normal 26 5 2 2 2 2 2 2" xfId="33876" xr:uid="{00000000-0005-0000-0000-0000DB390000}"/>
    <cellStyle name="Normal 26 5 2 2 2 2 3" xfId="25829" xr:uid="{00000000-0005-0000-0000-0000DC390000}"/>
    <cellStyle name="Normal 26 5 2 2 2 3" xfId="13439" xr:uid="{00000000-0005-0000-0000-0000DD390000}"/>
    <cellStyle name="Normal 26 5 2 2 2 3 2" xfId="29982" xr:uid="{00000000-0005-0000-0000-0000DE390000}"/>
    <cellStyle name="Normal 26 5 2 2 2 4" xfId="21939" xr:uid="{00000000-0005-0000-0000-0000DF390000}"/>
    <cellStyle name="Normal 26 5 2 2 3" xfId="7943" xr:uid="{00000000-0005-0000-0000-0000E0390000}"/>
    <cellStyle name="Normal 26 5 2 2 3 2" xfId="17303" xr:uid="{00000000-0005-0000-0000-0000E1390000}"/>
    <cellStyle name="Normal 26 5 2 2 3 2 2" xfId="33877" xr:uid="{00000000-0005-0000-0000-0000E2390000}"/>
    <cellStyle name="Normal 26 5 2 2 3 3" xfId="25830" xr:uid="{00000000-0005-0000-0000-0000E3390000}"/>
    <cellStyle name="Normal 26 5 2 2 4" xfId="13438" xr:uid="{00000000-0005-0000-0000-0000E4390000}"/>
    <cellStyle name="Normal 26 5 2 2 4 2" xfId="29981" xr:uid="{00000000-0005-0000-0000-0000E5390000}"/>
    <cellStyle name="Normal 26 5 2 2 5" xfId="21938" xr:uid="{00000000-0005-0000-0000-0000E6390000}"/>
    <cellStyle name="Normal 26 5 2 3" xfId="3851" xr:uid="{00000000-0005-0000-0000-0000E7390000}"/>
    <cellStyle name="Normal 26 5 2 3 2" xfId="7944" xr:uid="{00000000-0005-0000-0000-0000E8390000}"/>
    <cellStyle name="Normal 26 5 2 3 2 2" xfId="17304" xr:uid="{00000000-0005-0000-0000-0000E9390000}"/>
    <cellStyle name="Normal 26 5 2 3 2 2 2" xfId="33878" xr:uid="{00000000-0005-0000-0000-0000EA390000}"/>
    <cellStyle name="Normal 26 5 2 3 2 3" xfId="25831" xr:uid="{00000000-0005-0000-0000-0000EB390000}"/>
    <cellStyle name="Normal 26 5 2 3 3" xfId="13440" xr:uid="{00000000-0005-0000-0000-0000EC390000}"/>
    <cellStyle name="Normal 26 5 2 3 3 2" xfId="29983" xr:uid="{00000000-0005-0000-0000-0000ED390000}"/>
    <cellStyle name="Normal 26 5 2 3 4" xfId="21940" xr:uid="{00000000-0005-0000-0000-0000EE390000}"/>
    <cellStyle name="Normal 26 5 2 4" xfId="7945" xr:uid="{00000000-0005-0000-0000-0000EF390000}"/>
    <cellStyle name="Normal 26 5 2 4 2" xfId="17305" xr:uid="{00000000-0005-0000-0000-0000F0390000}"/>
    <cellStyle name="Normal 26 5 2 4 2 2" xfId="33879" xr:uid="{00000000-0005-0000-0000-0000F1390000}"/>
    <cellStyle name="Normal 26 5 2 4 3" xfId="25832" xr:uid="{00000000-0005-0000-0000-0000F2390000}"/>
    <cellStyle name="Normal 26 5 2 5" xfId="13437" xr:uid="{00000000-0005-0000-0000-0000F3390000}"/>
    <cellStyle name="Normal 26 5 2 5 2" xfId="29980" xr:uid="{00000000-0005-0000-0000-0000F4390000}"/>
    <cellStyle name="Normal 26 5 2 6" xfId="21937" xr:uid="{00000000-0005-0000-0000-0000F5390000}"/>
    <cellStyle name="Normal 26 5 3" xfId="3852" xr:uid="{00000000-0005-0000-0000-0000F6390000}"/>
    <cellStyle name="Normal 26 5 3 2" xfId="3853" xr:uid="{00000000-0005-0000-0000-0000F7390000}"/>
    <cellStyle name="Normal 26 5 3 2 2" xfId="7946" xr:uid="{00000000-0005-0000-0000-0000F8390000}"/>
    <cellStyle name="Normal 26 5 3 2 2 2" xfId="17306" xr:uid="{00000000-0005-0000-0000-0000F9390000}"/>
    <cellStyle name="Normal 26 5 3 2 2 2 2" xfId="33880" xr:uid="{00000000-0005-0000-0000-0000FA390000}"/>
    <cellStyle name="Normal 26 5 3 2 2 3" xfId="25833" xr:uid="{00000000-0005-0000-0000-0000FB390000}"/>
    <cellStyle name="Normal 26 5 3 2 3" xfId="13442" xr:uid="{00000000-0005-0000-0000-0000FC390000}"/>
    <cellStyle name="Normal 26 5 3 2 3 2" xfId="29985" xr:uid="{00000000-0005-0000-0000-0000FD390000}"/>
    <cellStyle name="Normal 26 5 3 2 4" xfId="21942" xr:uid="{00000000-0005-0000-0000-0000FE390000}"/>
    <cellStyle name="Normal 26 5 3 3" xfId="7947" xr:uid="{00000000-0005-0000-0000-0000FF390000}"/>
    <cellStyle name="Normal 26 5 3 3 2" xfId="17307" xr:uid="{00000000-0005-0000-0000-0000003A0000}"/>
    <cellStyle name="Normal 26 5 3 3 2 2" xfId="33881" xr:uid="{00000000-0005-0000-0000-0000013A0000}"/>
    <cellStyle name="Normal 26 5 3 3 3" xfId="25834" xr:uid="{00000000-0005-0000-0000-0000023A0000}"/>
    <cellStyle name="Normal 26 5 3 4" xfId="13441" xr:uid="{00000000-0005-0000-0000-0000033A0000}"/>
    <cellStyle name="Normal 26 5 3 4 2" xfId="29984" xr:uid="{00000000-0005-0000-0000-0000043A0000}"/>
    <cellStyle name="Normal 26 5 3 5" xfId="21941" xr:uid="{00000000-0005-0000-0000-0000053A0000}"/>
    <cellStyle name="Normal 26 5 4" xfId="3854" xr:uid="{00000000-0005-0000-0000-0000063A0000}"/>
    <cellStyle name="Normal 26 5 4 2" xfId="7948" xr:uid="{00000000-0005-0000-0000-0000073A0000}"/>
    <cellStyle name="Normal 26 5 4 2 2" xfId="17308" xr:uid="{00000000-0005-0000-0000-0000083A0000}"/>
    <cellStyle name="Normal 26 5 4 2 2 2" xfId="33882" xr:uid="{00000000-0005-0000-0000-0000093A0000}"/>
    <cellStyle name="Normal 26 5 4 2 3" xfId="25835" xr:uid="{00000000-0005-0000-0000-00000A3A0000}"/>
    <cellStyle name="Normal 26 5 4 3" xfId="13443" xr:uid="{00000000-0005-0000-0000-00000B3A0000}"/>
    <cellStyle name="Normal 26 5 4 3 2" xfId="29986" xr:uid="{00000000-0005-0000-0000-00000C3A0000}"/>
    <cellStyle name="Normal 26 5 4 4" xfId="21943" xr:uid="{00000000-0005-0000-0000-00000D3A0000}"/>
    <cellStyle name="Normal 26 5 5" xfId="7949" xr:uid="{00000000-0005-0000-0000-00000E3A0000}"/>
    <cellStyle name="Normal 26 5 5 2" xfId="17309" xr:uid="{00000000-0005-0000-0000-00000F3A0000}"/>
    <cellStyle name="Normal 26 5 5 2 2" xfId="33883" xr:uid="{00000000-0005-0000-0000-0000103A0000}"/>
    <cellStyle name="Normal 26 5 5 3" xfId="25836" xr:uid="{00000000-0005-0000-0000-0000113A0000}"/>
    <cellStyle name="Normal 26 5 6" xfId="13436" xr:uid="{00000000-0005-0000-0000-0000123A0000}"/>
    <cellStyle name="Normal 26 5 6 2" xfId="29979" xr:uid="{00000000-0005-0000-0000-0000133A0000}"/>
    <cellStyle name="Normal 26 5 7" xfId="21936" xr:uid="{00000000-0005-0000-0000-0000143A0000}"/>
    <cellStyle name="Normal 26 6" xfId="3855" xr:uid="{00000000-0005-0000-0000-0000153A0000}"/>
    <cellStyle name="Normal 26 6 2" xfId="3856" xr:uid="{00000000-0005-0000-0000-0000163A0000}"/>
    <cellStyle name="Normal 26 6 2 2" xfId="3857" xr:uid="{00000000-0005-0000-0000-0000173A0000}"/>
    <cellStyle name="Normal 26 6 2 2 2" xfId="7950" xr:uid="{00000000-0005-0000-0000-0000183A0000}"/>
    <cellStyle name="Normal 26 6 2 2 2 2" xfId="17310" xr:uid="{00000000-0005-0000-0000-0000193A0000}"/>
    <cellStyle name="Normal 26 6 2 2 2 2 2" xfId="33884" xr:uid="{00000000-0005-0000-0000-00001A3A0000}"/>
    <cellStyle name="Normal 26 6 2 2 2 3" xfId="25837" xr:uid="{00000000-0005-0000-0000-00001B3A0000}"/>
    <cellStyle name="Normal 26 6 2 2 3" xfId="13446" xr:uid="{00000000-0005-0000-0000-00001C3A0000}"/>
    <cellStyle name="Normal 26 6 2 2 3 2" xfId="29989" xr:uid="{00000000-0005-0000-0000-00001D3A0000}"/>
    <cellStyle name="Normal 26 6 2 2 4" xfId="21946" xr:uid="{00000000-0005-0000-0000-00001E3A0000}"/>
    <cellStyle name="Normal 26 6 2 3" xfId="7951" xr:uid="{00000000-0005-0000-0000-00001F3A0000}"/>
    <cellStyle name="Normal 26 6 2 3 2" xfId="17311" xr:uid="{00000000-0005-0000-0000-0000203A0000}"/>
    <cellStyle name="Normal 26 6 2 3 2 2" xfId="33885" xr:uid="{00000000-0005-0000-0000-0000213A0000}"/>
    <cellStyle name="Normal 26 6 2 3 3" xfId="25838" xr:uid="{00000000-0005-0000-0000-0000223A0000}"/>
    <cellStyle name="Normal 26 6 2 4" xfId="13445" xr:uid="{00000000-0005-0000-0000-0000233A0000}"/>
    <cellStyle name="Normal 26 6 2 4 2" xfId="29988" xr:uid="{00000000-0005-0000-0000-0000243A0000}"/>
    <cellStyle name="Normal 26 6 2 5" xfId="21945" xr:uid="{00000000-0005-0000-0000-0000253A0000}"/>
    <cellStyle name="Normal 26 6 3" xfId="3858" xr:uid="{00000000-0005-0000-0000-0000263A0000}"/>
    <cellStyle name="Normal 26 6 3 2" xfId="7952" xr:uid="{00000000-0005-0000-0000-0000273A0000}"/>
    <cellStyle name="Normal 26 6 3 2 2" xfId="17312" xr:uid="{00000000-0005-0000-0000-0000283A0000}"/>
    <cellStyle name="Normal 26 6 3 2 2 2" xfId="33886" xr:uid="{00000000-0005-0000-0000-0000293A0000}"/>
    <cellStyle name="Normal 26 6 3 2 3" xfId="25839" xr:uid="{00000000-0005-0000-0000-00002A3A0000}"/>
    <cellStyle name="Normal 26 6 3 3" xfId="13447" xr:uid="{00000000-0005-0000-0000-00002B3A0000}"/>
    <cellStyle name="Normal 26 6 3 3 2" xfId="29990" xr:uid="{00000000-0005-0000-0000-00002C3A0000}"/>
    <cellStyle name="Normal 26 6 3 4" xfId="21947" xr:uid="{00000000-0005-0000-0000-00002D3A0000}"/>
    <cellStyle name="Normal 26 6 4" xfId="7953" xr:uid="{00000000-0005-0000-0000-00002E3A0000}"/>
    <cellStyle name="Normal 26 6 4 2" xfId="17313" xr:uid="{00000000-0005-0000-0000-00002F3A0000}"/>
    <cellStyle name="Normal 26 6 4 2 2" xfId="33887" xr:uid="{00000000-0005-0000-0000-0000303A0000}"/>
    <cellStyle name="Normal 26 6 4 3" xfId="25840" xr:uid="{00000000-0005-0000-0000-0000313A0000}"/>
    <cellStyle name="Normal 26 6 5" xfId="13444" xr:uid="{00000000-0005-0000-0000-0000323A0000}"/>
    <cellStyle name="Normal 26 6 5 2" xfId="29987" xr:uid="{00000000-0005-0000-0000-0000333A0000}"/>
    <cellStyle name="Normal 26 6 6" xfId="21944" xr:uid="{00000000-0005-0000-0000-0000343A0000}"/>
    <cellStyle name="Normal 26 7" xfId="3859" xr:uid="{00000000-0005-0000-0000-0000353A0000}"/>
    <cellStyle name="Normal 26 7 2" xfId="3860" xr:uid="{00000000-0005-0000-0000-0000363A0000}"/>
    <cellStyle name="Normal 26 7 2 2" xfId="7954" xr:uid="{00000000-0005-0000-0000-0000373A0000}"/>
    <cellStyle name="Normal 26 7 2 2 2" xfId="17314" xr:uid="{00000000-0005-0000-0000-0000383A0000}"/>
    <cellStyle name="Normal 26 7 2 2 2 2" xfId="33888" xr:uid="{00000000-0005-0000-0000-0000393A0000}"/>
    <cellStyle name="Normal 26 7 2 2 3" xfId="25841" xr:uid="{00000000-0005-0000-0000-00003A3A0000}"/>
    <cellStyle name="Normal 26 7 2 3" xfId="13449" xr:uid="{00000000-0005-0000-0000-00003B3A0000}"/>
    <cellStyle name="Normal 26 7 2 3 2" xfId="29992" xr:uid="{00000000-0005-0000-0000-00003C3A0000}"/>
    <cellStyle name="Normal 26 7 2 4" xfId="21949" xr:uid="{00000000-0005-0000-0000-00003D3A0000}"/>
    <cellStyle name="Normal 26 7 3" xfId="7955" xr:uid="{00000000-0005-0000-0000-00003E3A0000}"/>
    <cellStyle name="Normal 26 7 3 2" xfId="17315" xr:uid="{00000000-0005-0000-0000-00003F3A0000}"/>
    <cellStyle name="Normal 26 7 3 2 2" xfId="33889" xr:uid="{00000000-0005-0000-0000-0000403A0000}"/>
    <cellStyle name="Normal 26 7 3 3" xfId="25842" xr:uid="{00000000-0005-0000-0000-0000413A0000}"/>
    <cellStyle name="Normal 26 7 4" xfId="13448" xr:uid="{00000000-0005-0000-0000-0000423A0000}"/>
    <cellStyle name="Normal 26 7 4 2" xfId="29991" xr:uid="{00000000-0005-0000-0000-0000433A0000}"/>
    <cellStyle name="Normal 26 7 5" xfId="21948" xr:uid="{00000000-0005-0000-0000-0000443A0000}"/>
    <cellStyle name="Normal 26 8" xfId="3861" xr:uid="{00000000-0005-0000-0000-0000453A0000}"/>
    <cellStyle name="Normal 26 8 2" xfId="7956" xr:uid="{00000000-0005-0000-0000-0000463A0000}"/>
    <cellStyle name="Normal 26 8 2 2" xfId="17316" xr:uid="{00000000-0005-0000-0000-0000473A0000}"/>
    <cellStyle name="Normal 26 8 2 2 2" xfId="33890" xr:uid="{00000000-0005-0000-0000-0000483A0000}"/>
    <cellStyle name="Normal 26 8 2 3" xfId="25843" xr:uid="{00000000-0005-0000-0000-0000493A0000}"/>
    <cellStyle name="Normal 26 8 3" xfId="13450" xr:uid="{00000000-0005-0000-0000-00004A3A0000}"/>
    <cellStyle name="Normal 26 8 3 2" xfId="29993" xr:uid="{00000000-0005-0000-0000-00004B3A0000}"/>
    <cellStyle name="Normal 26 8 4" xfId="21950" xr:uid="{00000000-0005-0000-0000-00004C3A0000}"/>
    <cellStyle name="Normal 26 9" xfId="7957" xr:uid="{00000000-0005-0000-0000-00004D3A0000}"/>
    <cellStyle name="Normal 26 9 2" xfId="17317" xr:uid="{00000000-0005-0000-0000-00004E3A0000}"/>
    <cellStyle name="Normal 26 9 2 2" xfId="33891" xr:uid="{00000000-0005-0000-0000-00004F3A0000}"/>
    <cellStyle name="Normal 26 9 3" xfId="25844" xr:uid="{00000000-0005-0000-0000-0000503A0000}"/>
    <cellStyle name="Normal 260" xfId="10784" xr:uid="{00000000-0005-0000-0000-0000513A0000}"/>
    <cellStyle name="Normal 261" xfId="10787" xr:uid="{00000000-0005-0000-0000-0000523A0000}"/>
    <cellStyle name="Normal 262" xfId="10790" xr:uid="{00000000-0005-0000-0000-0000533A0000}"/>
    <cellStyle name="Normal 263" xfId="10793" xr:uid="{00000000-0005-0000-0000-0000543A0000}"/>
    <cellStyle name="Normal 264" xfId="10796" xr:uid="{00000000-0005-0000-0000-0000553A0000}"/>
    <cellStyle name="Normal 265" xfId="10799" xr:uid="{00000000-0005-0000-0000-0000563A0000}"/>
    <cellStyle name="Normal 266" xfId="10802" xr:uid="{00000000-0005-0000-0000-0000573A0000}"/>
    <cellStyle name="Normal 267" xfId="10805" xr:uid="{00000000-0005-0000-0000-0000583A0000}"/>
    <cellStyle name="Normal 268" xfId="10808" xr:uid="{00000000-0005-0000-0000-0000593A0000}"/>
    <cellStyle name="Normal 269" xfId="10811" xr:uid="{00000000-0005-0000-0000-00005A3A0000}"/>
    <cellStyle name="Normal 27" xfId="3862" xr:uid="{00000000-0005-0000-0000-00005B3A0000}"/>
    <cellStyle name="Normal 27 10" xfId="13451" xr:uid="{00000000-0005-0000-0000-00005C3A0000}"/>
    <cellStyle name="Normal 27 10 2" xfId="29994" xr:uid="{00000000-0005-0000-0000-00005D3A0000}"/>
    <cellStyle name="Normal 27 11" xfId="21951" xr:uid="{00000000-0005-0000-0000-00005E3A0000}"/>
    <cellStyle name="Normal 27 12" xfId="36916" xr:uid="{00000000-0005-0000-0000-00005F3A0000}"/>
    <cellStyle name="Normal 27 2" xfId="3863" xr:uid="{00000000-0005-0000-0000-0000603A0000}"/>
    <cellStyle name="Normal 27 2 2" xfId="3864" xr:uid="{00000000-0005-0000-0000-0000613A0000}"/>
    <cellStyle name="Normal 27 2 3" xfId="13452" xr:uid="{00000000-0005-0000-0000-0000623A0000}"/>
    <cellStyle name="Normal 27 2 3 2" xfId="29995" xr:uid="{00000000-0005-0000-0000-0000633A0000}"/>
    <cellStyle name="Normal 27 2 4" xfId="21952" xr:uid="{00000000-0005-0000-0000-0000643A0000}"/>
    <cellStyle name="Normal 27 3" xfId="3865" xr:uid="{00000000-0005-0000-0000-0000653A0000}"/>
    <cellStyle name="Normal 27 3 2" xfId="3866" xr:uid="{00000000-0005-0000-0000-0000663A0000}"/>
    <cellStyle name="Normal 27 3 2 2" xfId="3867" xr:uid="{00000000-0005-0000-0000-0000673A0000}"/>
    <cellStyle name="Normal 27 3 2 2 2" xfId="3868" xr:uid="{00000000-0005-0000-0000-0000683A0000}"/>
    <cellStyle name="Normal 27 3 2 2 2 2" xfId="7958" xr:uid="{00000000-0005-0000-0000-0000693A0000}"/>
    <cellStyle name="Normal 27 3 2 2 2 2 2" xfId="17318" xr:uid="{00000000-0005-0000-0000-00006A3A0000}"/>
    <cellStyle name="Normal 27 3 2 2 2 2 2 2" xfId="33892" xr:uid="{00000000-0005-0000-0000-00006B3A0000}"/>
    <cellStyle name="Normal 27 3 2 2 2 2 3" xfId="25845" xr:uid="{00000000-0005-0000-0000-00006C3A0000}"/>
    <cellStyle name="Normal 27 3 2 2 2 3" xfId="13455" xr:uid="{00000000-0005-0000-0000-00006D3A0000}"/>
    <cellStyle name="Normal 27 3 2 2 2 3 2" xfId="29998" xr:uid="{00000000-0005-0000-0000-00006E3A0000}"/>
    <cellStyle name="Normal 27 3 2 2 2 4" xfId="21955" xr:uid="{00000000-0005-0000-0000-00006F3A0000}"/>
    <cellStyle name="Normal 27 3 2 2 3" xfId="7959" xr:uid="{00000000-0005-0000-0000-0000703A0000}"/>
    <cellStyle name="Normal 27 3 2 2 3 2" xfId="17319" xr:uid="{00000000-0005-0000-0000-0000713A0000}"/>
    <cellStyle name="Normal 27 3 2 2 3 2 2" xfId="33893" xr:uid="{00000000-0005-0000-0000-0000723A0000}"/>
    <cellStyle name="Normal 27 3 2 2 3 3" xfId="25846" xr:uid="{00000000-0005-0000-0000-0000733A0000}"/>
    <cellStyle name="Normal 27 3 2 2 4" xfId="13454" xr:uid="{00000000-0005-0000-0000-0000743A0000}"/>
    <cellStyle name="Normal 27 3 2 2 4 2" xfId="29997" xr:uid="{00000000-0005-0000-0000-0000753A0000}"/>
    <cellStyle name="Normal 27 3 2 2 5" xfId="21954" xr:uid="{00000000-0005-0000-0000-0000763A0000}"/>
    <cellStyle name="Normal 27 3 2 3" xfId="3869" xr:uid="{00000000-0005-0000-0000-0000773A0000}"/>
    <cellStyle name="Normal 27 3 2 3 2" xfId="7960" xr:uid="{00000000-0005-0000-0000-0000783A0000}"/>
    <cellStyle name="Normal 27 3 2 3 2 2" xfId="17320" xr:uid="{00000000-0005-0000-0000-0000793A0000}"/>
    <cellStyle name="Normal 27 3 2 3 2 2 2" xfId="33894" xr:uid="{00000000-0005-0000-0000-00007A3A0000}"/>
    <cellStyle name="Normal 27 3 2 3 2 3" xfId="25847" xr:uid="{00000000-0005-0000-0000-00007B3A0000}"/>
    <cellStyle name="Normal 27 3 2 3 3" xfId="13456" xr:uid="{00000000-0005-0000-0000-00007C3A0000}"/>
    <cellStyle name="Normal 27 3 2 3 3 2" xfId="29999" xr:uid="{00000000-0005-0000-0000-00007D3A0000}"/>
    <cellStyle name="Normal 27 3 2 3 4" xfId="21956" xr:uid="{00000000-0005-0000-0000-00007E3A0000}"/>
    <cellStyle name="Normal 27 3 2 4" xfId="7961" xr:uid="{00000000-0005-0000-0000-00007F3A0000}"/>
    <cellStyle name="Normal 27 3 2 4 2" xfId="17321" xr:uid="{00000000-0005-0000-0000-0000803A0000}"/>
    <cellStyle name="Normal 27 3 2 4 2 2" xfId="33895" xr:uid="{00000000-0005-0000-0000-0000813A0000}"/>
    <cellStyle name="Normal 27 3 2 4 3" xfId="25848" xr:uid="{00000000-0005-0000-0000-0000823A0000}"/>
    <cellStyle name="Normal 27 3 2 5" xfId="13453" xr:uid="{00000000-0005-0000-0000-0000833A0000}"/>
    <cellStyle name="Normal 27 3 2 5 2" xfId="29996" xr:uid="{00000000-0005-0000-0000-0000843A0000}"/>
    <cellStyle name="Normal 27 3 2 6" xfId="21953" xr:uid="{00000000-0005-0000-0000-0000853A0000}"/>
    <cellStyle name="Normal 27 3 3" xfId="3870" xr:uid="{00000000-0005-0000-0000-0000863A0000}"/>
    <cellStyle name="Normal 27 3 3 2" xfId="3871" xr:uid="{00000000-0005-0000-0000-0000873A0000}"/>
    <cellStyle name="Normal 27 3 3 2 2" xfId="7962" xr:uid="{00000000-0005-0000-0000-0000883A0000}"/>
    <cellStyle name="Normal 27 3 3 2 2 2" xfId="17322" xr:uid="{00000000-0005-0000-0000-0000893A0000}"/>
    <cellStyle name="Normal 27 3 3 2 2 2 2" xfId="33896" xr:uid="{00000000-0005-0000-0000-00008A3A0000}"/>
    <cellStyle name="Normal 27 3 3 2 2 3" xfId="25849" xr:uid="{00000000-0005-0000-0000-00008B3A0000}"/>
    <cellStyle name="Normal 27 3 3 2 3" xfId="13458" xr:uid="{00000000-0005-0000-0000-00008C3A0000}"/>
    <cellStyle name="Normal 27 3 3 2 3 2" xfId="30001" xr:uid="{00000000-0005-0000-0000-00008D3A0000}"/>
    <cellStyle name="Normal 27 3 3 2 4" xfId="21958" xr:uid="{00000000-0005-0000-0000-00008E3A0000}"/>
    <cellStyle name="Normal 27 3 3 3" xfId="7963" xr:uid="{00000000-0005-0000-0000-00008F3A0000}"/>
    <cellStyle name="Normal 27 3 3 3 2" xfId="17323" xr:uid="{00000000-0005-0000-0000-0000903A0000}"/>
    <cellStyle name="Normal 27 3 3 3 2 2" xfId="33897" xr:uid="{00000000-0005-0000-0000-0000913A0000}"/>
    <cellStyle name="Normal 27 3 3 3 3" xfId="25850" xr:uid="{00000000-0005-0000-0000-0000923A0000}"/>
    <cellStyle name="Normal 27 3 3 4" xfId="13457" xr:uid="{00000000-0005-0000-0000-0000933A0000}"/>
    <cellStyle name="Normal 27 3 3 4 2" xfId="30000" xr:uid="{00000000-0005-0000-0000-0000943A0000}"/>
    <cellStyle name="Normal 27 3 3 5" xfId="21957" xr:uid="{00000000-0005-0000-0000-0000953A0000}"/>
    <cellStyle name="Normal 27 3 4" xfId="3872" xr:uid="{00000000-0005-0000-0000-0000963A0000}"/>
    <cellStyle name="Normal 27 3 4 2" xfId="7964" xr:uid="{00000000-0005-0000-0000-0000973A0000}"/>
    <cellStyle name="Normal 27 3 4 2 2" xfId="17324" xr:uid="{00000000-0005-0000-0000-0000983A0000}"/>
    <cellStyle name="Normal 27 3 4 2 2 2" xfId="33898" xr:uid="{00000000-0005-0000-0000-0000993A0000}"/>
    <cellStyle name="Normal 27 3 4 2 3" xfId="25851" xr:uid="{00000000-0005-0000-0000-00009A3A0000}"/>
    <cellStyle name="Normal 27 3 4 3" xfId="13459" xr:uid="{00000000-0005-0000-0000-00009B3A0000}"/>
    <cellStyle name="Normal 27 3 4 3 2" xfId="30002" xr:uid="{00000000-0005-0000-0000-00009C3A0000}"/>
    <cellStyle name="Normal 27 3 4 4" xfId="21959" xr:uid="{00000000-0005-0000-0000-00009D3A0000}"/>
    <cellStyle name="Normal 27 3 5" xfId="3873" xr:uid="{00000000-0005-0000-0000-00009E3A0000}"/>
    <cellStyle name="Normal 27 3 5 2" xfId="13460" xr:uid="{00000000-0005-0000-0000-00009F3A0000}"/>
    <cellStyle name="Normal 27 3 5 2 2" xfId="30003" xr:uid="{00000000-0005-0000-0000-0000A03A0000}"/>
    <cellStyle name="Normal 27 3 5 3" xfId="21960" xr:uid="{00000000-0005-0000-0000-0000A13A0000}"/>
    <cellStyle name="Normal 27 4" xfId="3874" xr:uid="{00000000-0005-0000-0000-0000A23A0000}"/>
    <cellStyle name="Normal 27 4 2" xfId="3875" xr:uid="{00000000-0005-0000-0000-0000A33A0000}"/>
    <cellStyle name="Normal 27 4 2 2" xfId="3876" xr:uid="{00000000-0005-0000-0000-0000A43A0000}"/>
    <cellStyle name="Normal 27 4 2 2 2" xfId="3877" xr:uid="{00000000-0005-0000-0000-0000A53A0000}"/>
    <cellStyle name="Normal 27 4 2 2 2 2" xfId="7965" xr:uid="{00000000-0005-0000-0000-0000A63A0000}"/>
    <cellStyle name="Normal 27 4 2 2 2 2 2" xfId="17325" xr:uid="{00000000-0005-0000-0000-0000A73A0000}"/>
    <cellStyle name="Normal 27 4 2 2 2 2 2 2" xfId="33899" xr:uid="{00000000-0005-0000-0000-0000A83A0000}"/>
    <cellStyle name="Normal 27 4 2 2 2 2 3" xfId="25852" xr:uid="{00000000-0005-0000-0000-0000A93A0000}"/>
    <cellStyle name="Normal 27 4 2 2 2 3" xfId="13464" xr:uid="{00000000-0005-0000-0000-0000AA3A0000}"/>
    <cellStyle name="Normal 27 4 2 2 2 3 2" xfId="30007" xr:uid="{00000000-0005-0000-0000-0000AB3A0000}"/>
    <cellStyle name="Normal 27 4 2 2 2 4" xfId="21964" xr:uid="{00000000-0005-0000-0000-0000AC3A0000}"/>
    <cellStyle name="Normal 27 4 2 2 3" xfId="7966" xr:uid="{00000000-0005-0000-0000-0000AD3A0000}"/>
    <cellStyle name="Normal 27 4 2 2 3 2" xfId="17326" xr:uid="{00000000-0005-0000-0000-0000AE3A0000}"/>
    <cellStyle name="Normal 27 4 2 2 3 2 2" xfId="33900" xr:uid="{00000000-0005-0000-0000-0000AF3A0000}"/>
    <cellStyle name="Normal 27 4 2 2 3 3" xfId="25853" xr:uid="{00000000-0005-0000-0000-0000B03A0000}"/>
    <cellStyle name="Normal 27 4 2 2 4" xfId="13463" xr:uid="{00000000-0005-0000-0000-0000B13A0000}"/>
    <cellStyle name="Normal 27 4 2 2 4 2" xfId="30006" xr:uid="{00000000-0005-0000-0000-0000B23A0000}"/>
    <cellStyle name="Normal 27 4 2 2 5" xfId="21963" xr:uid="{00000000-0005-0000-0000-0000B33A0000}"/>
    <cellStyle name="Normal 27 4 2 3" xfId="3878" xr:uid="{00000000-0005-0000-0000-0000B43A0000}"/>
    <cellStyle name="Normal 27 4 2 3 2" xfId="7967" xr:uid="{00000000-0005-0000-0000-0000B53A0000}"/>
    <cellStyle name="Normal 27 4 2 3 2 2" xfId="17327" xr:uid="{00000000-0005-0000-0000-0000B63A0000}"/>
    <cellStyle name="Normal 27 4 2 3 2 2 2" xfId="33901" xr:uid="{00000000-0005-0000-0000-0000B73A0000}"/>
    <cellStyle name="Normal 27 4 2 3 2 3" xfId="25854" xr:uid="{00000000-0005-0000-0000-0000B83A0000}"/>
    <cellStyle name="Normal 27 4 2 3 3" xfId="13465" xr:uid="{00000000-0005-0000-0000-0000B93A0000}"/>
    <cellStyle name="Normal 27 4 2 3 3 2" xfId="30008" xr:uid="{00000000-0005-0000-0000-0000BA3A0000}"/>
    <cellStyle name="Normal 27 4 2 3 4" xfId="21965" xr:uid="{00000000-0005-0000-0000-0000BB3A0000}"/>
    <cellStyle name="Normal 27 4 2 4" xfId="7968" xr:uid="{00000000-0005-0000-0000-0000BC3A0000}"/>
    <cellStyle name="Normal 27 4 2 4 2" xfId="17328" xr:uid="{00000000-0005-0000-0000-0000BD3A0000}"/>
    <cellStyle name="Normal 27 4 2 4 2 2" xfId="33902" xr:uid="{00000000-0005-0000-0000-0000BE3A0000}"/>
    <cellStyle name="Normal 27 4 2 4 3" xfId="25855" xr:uid="{00000000-0005-0000-0000-0000BF3A0000}"/>
    <cellStyle name="Normal 27 4 2 5" xfId="13462" xr:uid="{00000000-0005-0000-0000-0000C03A0000}"/>
    <cellStyle name="Normal 27 4 2 5 2" xfId="30005" xr:uid="{00000000-0005-0000-0000-0000C13A0000}"/>
    <cellStyle name="Normal 27 4 2 6" xfId="21962" xr:uid="{00000000-0005-0000-0000-0000C23A0000}"/>
    <cellStyle name="Normal 27 4 3" xfId="3879" xr:uid="{00000000-0005-0000-0000-0000C33A0000}"/>
    <cellStyle name="Normal 27 4 3 2" xfId="3880" xr:uid="{00000000-0005-0000-0000-0000C43A0000}"/>
    <cellStyle name="Normal 27 4 3 2 2" xfId="7969" xr:uid="{00000000-0005-0000-0000-0000C53A0000}"/>
    <cellStyle name="Normal 27 4 3 2 2 2" xfId="17329" xr:uid="{00000000-0005-0000-0000-0000C63A0000}"/>
    <cellStyle name="Normal 27 4 3 2 2 2 2" xfId="33903" xr:uid="{00000000-0005-0000-0000-0000C73A0000}"/>
    <cellStyle name="Normal 27 4 3 2 2 3" xfId="25856" xr:uid="{00000000-0005-0000-0000-0000C83A0000}"/>
    <cellStyle name="Normal 27 4 3 2 3" xfId="13467" xr:uid="{00000000-0005-0000-0000-0000C93A0000}"/>
    <cellStyle name="Normal 27 4 3 2 3 2" xfId="30010" xr:uid="{00000000-0005-0000-0000-0000CA3A0000}"/>
    <cellStyle name="Normal 27 4 3 2 4" xfId="21967" xr:uid="{00000000-0005-0000-0000-0000CB3A0000}"/>
    <cellStyle name="Normal 27 4 3 3" xfId="7970" xr:uid="{00000000-0005-0000-0000-0000CC3A0000}"/>
    <cellStyle name="Normal 27 4 3 3 2" xfId="17330" xr:uid="{00000000-0005-0000-0000-0000CD3A0000}"/>
    <cellStyle name="Normal 27 4 3 3 2 2" xfId="33904" xr:uid="{00000000-0005-0000-0000-0000CE3A0000}"/>
    <cellStyle name="Normal 27 4 3 3 3" xfId="25857" xr:uid="{00000000-0005-0000-0000-0000CF3A0000}"/>
    <cellStyle name="Normal 27 4 3 4" xfId="13466" xr:uid="{00000000-0005-0000-0000-0000D03A0000}"/>
    <cellStyle name="Normal 27 4 3 4 2" xfId="30009" xr:uid="{00000000-0005-0000-0000-0000D13A0000}"/>
    <cellStyle name="Normal 27 4 3 5" xfId="21966" xr:uid="{00000000-0005-0000-0000-0000D23A0000}"/>
    <cellStyle name="Normal 27 4 4" xfId="3881" xr:uid="{00000000-0005-0000-0000-0000D33A0000}"/>
    <cellStyle name="Normal 27 4 4 2" xfId="7971" xr:uid="{00000000-0005-0000-0000-0000D43A0000}"/>
    <cellStyle name="Normal 27 4 4 2 2" xfId="17331" xr:uid="{00000000-0005-0000-0000-0000D53A0000}"/>
    <cellStyle name="Normal 27 4 4 2 2 2" xfId="33905" xr:uid="{00000000-0005-0000-0000-0000D63A0000}"/>
    <cellStyle name="Normal 27 4 4 2 3" xfId="25858" xr:uid="{00000000-0005-0000-0000-0000D73A0000}"/>
    <cellStyle name="Normal 27 4 4 3" xfId="13468" xr:uid="{00000000-0005-0000-0000-0000D83A0000}"/>
    <cellStyle name="Normal 27 4 4 3 2" xfId="30011" xr:uid="{00000000-0005-0000-0000-0000D93A0000}"/>
    <cellStyle name="Normal 27 4 4 4" xfId="21968" xr:uid="{00000000-0005-0000-0000-0000DA3A0000}"/>
    <cellStyle name="Normal 27 4 5" xfId="7972" xr:uid="{00000000-0005-0000-0000-0000DB3A0000}"/>
    <cellStyle name="Normal 27 4 5 2" xfId="17332" xr:uid="{00000000-0005-0000-0000-0000DC3A0000}"/>
    <cellStyle name="Normal 27 4 5 2 2" xfId="33906" xr:uid="{00000000-0005-0000-0000-0000DD3A0000}"/>
    <cellStyle name="Normal 27 4 5 3" xfId="25859" xr:uid="{00000000-0005-0000-0000-0000DE3A0000}"/>
    <cellStyle name="Normal 27 4 6" xfId="13461" xr:uid="{00000000-0005-0000-0000-0000DF3A0000}"/>
    <cellStyle name="Normal 27 4 6 2" xfId="30004" xr:uid="{00000000-0005-0000-0000-0000E03A0000}"/>
    <cellStyle name="Normal 27 4 7" xfId="21961" xr:uid="{00000000-0005-0000-0000-0000E13A0000}"/>
    <cellStyle name="Normal 27 5" xfId="3882" xr:uid="{00000000-0005-0000-0000-0000E23A0000}"/>
    <cellStyle name="Normal 27 5 2" xfId="3883" xr:uid="{00000000-0005-0000-0000-0000E33A0000}"/>
    <cellStyle name="Normal 27 5 2 2" xfId="3884" xr:uid="{00000000-0005-0000-0000-0000E43A0000}"/>
    <cellStyle name="Normal 27 5 2 2 2" xfId="3885" xr:uid="{00000000-0005-0000-0000-0000E53A0000}"/>
    <cellStyle name="Normal 27 5 2 2 2 2" xfId="7973" xr:uid="{00000000-0005-0000-0000-0000E63A0000}"/>
    <cellStyle name="Normal 27 5 2 2 2 2 2" xfId="17333" xr:uid="{00000000-0005-0000-0000-0000E73A0000}"/>
    <cellStyle name="Normal 27 5 2 2 2 2 2 2" xfId="33907" xr:uid="{00000000-0005-0000-0000-0000E83A0000}"/>
    <cellStyle name="Normal 27 5 2 2 2 2 3" xfId="25860" xr:uid="{00000000-0005-0000-0000-0000E93A0000}"/>
    <cellStyle name="Normal 27 5 2 2 2 3" xfId="13472" xr:uid="{00000000-0005-0000-0000-0000EA3A0000}"/>
    <cellStyle name="Normal 27 5 2 2 2 3 2" xfId="30015" xr:uid="{00000000-0005-0000-0000-0000EB3A0000}"/>
    <cellStyle name="Normal 27 5 2 2 2 4" xfId="21972" xr:uid="{00000000-0005-0000-0000-0000EC3A0000}"/>
    <cellStyle name="Normal 27 5 2 2 3" xfId="7974" xr:uid="{00000000-0005-0000-0000-0000ED3A0000}"/>
    <cellStyle name="Normal 27 5 2 2 3 2" xfId="17334" xr:uid="{00000000-0005-0000-0000-0000EE3A0000}"/>
    <cellStyle name="Normal 27 5 2 2 3 2 2" xfId="33908" xr:uid="{00000000-0005-0000-0000-0000EF3A0000}"/>
    <cellStyle name="Normal 27 5 2 2 3 3" xfId="25861" xr:uid="{00000000-0005-0000-0000-0000F03A0000}"/>
    <cellStyle name="Normal 27 5 2 2 4" xfId="13471" xr:uid="{00000000-0005-0000-0000-0000F13A0000}"/>
    <cellStyle name="Normal 27 5 2 2 4 2" xfId="30014" xr:uid="{00000000-0005-0000-0000-0000F23A0000}"/>
    <cellStyle name="Normal 27 5 2 2 5" xfId="21971" xr:uid="{00000000-0005-0000-0000-0000F33A0000}"/>
    <cellStyle name="Normal 27 5 2 3" xfId="3886" xr:uid="{00000000-0005-0000-0000-0000F43A0000}"/>
    <cellStyle name="Normal 27 5 2 3 2" xfId="7975" xr:uid="{00000000-0005-0000-0000-0000F53A0000}"/>
    <cellStyle name="Normal 27 5 2 3 2 2" xfId="17335" xr:uid="{00000000-0005-0000-0000-0000F63A0000}"/>
    <cellStyle name="Normal 27 5 2 3 2 2 2" xfId="33909" xr:uid="{00000000-0005-0000-0000-0000F73A0000}"/>
    <cellStyle name="Normal 27 5 2 3 2 3" xfId="25862" xr:uid="{00000000-0005-0000-0000-0000F83A0000}"/>
    <cellStyle name="Normal 27 5 2 3 3" xfId="13473" xr:uid="{00000000-0005-0000-0000-0000F93A0000}"/>
    <cellStyle name="Normal 27 5 2 3 3 2" xfId="30016" xr:uid="{00000000-0005-0000-0000-0000FA3A0000}"/>
    <cellStyle name="Normal 27 5 2 3 4" xfId="21973" xr:uid="{00000000-0005-0000-0000-0000FB3A0000}"/>
    <cellStyle name="Normal 27 5 2 4" xfId="7976" xr:uid="{00000000-0005-0000-0000-0000FC3A0000}"/>
    <cellStyle name="Normal 27 5 2 4 2" xfId="17336" xr:uid="{00000000-0005-0000-0000-0000FD3A0000}"/>
    <cellStyle name="Normal 27 5 2 4 2 2" xfId="33910" xr:uid="{00000000-0005-0000-0000-0000FE3A0000}"/>
    <cellStyle name="Normal 27 5 2 4 3" xfId="25863" xr:uid="{00000000-0005-0000-0000-0000FF3A0000}"/>
    <cellStyle name="Normal 27 5 2 5" xfId="13470" xr:uid="{00000000-0005-0000-0000-0000003B0000}"/>
    <cellStyle name="Normal 27 5 2 5 2" xfId="30013" xr:uid="{00000000-0005-0000-0000-0000013B0000}"/>
    <cellStyle name="Normal 27 5 2 6" xfId="21970" xr:uid="{00000000-0005-0000-0000-0000023B0000}"/>
    <cellStyle name="Normal 27 5 3" xfId="3887" xr:uid="{00000000-0005-0000-0000-0000033B0000}"/>
    <cellStyle name="Normal 27 5 3 2" xfId="3888" xr:uid="{00000000-0005-0000-0000-0000043B0000}"/>
    <cellStyle name="Normal 27 5 3 2 2" xfId="7977" xr:uid="{00000000-0005-0000-0000-0000053B0000}"/>
    <cellStyle name="Normal 27 5 3 2 2 2" xfId="17337" xr:uid="{00000000-0005-0000-0000-0000063B0000}"/>
    <cellStyle name="Normal 27 5 3 2 2 2 2" xfId="33911" xr:uid="{00000000-0005-0000-0000-0000073B0000}"/>
    <cellStyle name="Normal 27 5 3 2 2 3" xfId="25864" xr:uid="{00000000-0005-0000-0000-0000083B0000}"/>
    <cellStyle name="Normal 27 5 3 2 3" xfId="13475" xr:uid="{00000000-0005-0000-0000-0000093B0000}"/>
    <cellStyle name="Normal 27 5 3 2 3 2" xfId="30018" xr:uid="{00000000-0005-0000-0000-00000A3B0000}"/>
    <cellStyle name="Normal 27 5 3 2 4" xfId="21975" xr:uid="{00000000-0005-0000-0000-00000B3B0000}"/>
    <cellStyle name="Normal 27 5 3 3" xfId="7978" xr:uid="{00000000-0005-0000-0000-00000C3B0000}"/>
    <cellStyle name="Normal 27 5 3 3 2" xfId="17338" xr:uid="{00000000-0005-0000-0000-00000D3B0000}"/>
    <cellStyle name="Normal 27 5 3 3 2 2" xfId="33912" xr:uid="{00000000-0005-0000-0000-00000E3B0000}"/>
    <cellStyle name="Normal 27 5 3 3 3" xfId="25865" xr:uid="{00000000-0005-0000-0000-00000F3B0000}"/>
    <cellStyle name="Normal 27 5 3 4" xfId="13474" xr:uid="{00000000-0005-0000-0000-0000103B0000}"/>
    <cellStyle name="Normal 27 5 3 4 2" xfId="30017" xr:uid="{00000000-0005-0000-0000-0000113B0000}"/>
    <cellStyle name="Normal 27 5 3 5" xfId="21974" xr:uid="{00000000-0005-0000-0000-0000123B0000}"/>
    <cellStyle name="Normal 27 5 4" xfId="3889" xr:uid="{00000000-0005-0000-0000-0000133B0000}"/>
    <cellStyle name="Normal 27 5 4 2" xfId="7979" xr:uid="{00000000-0005-0000-0000-0000143B0000}"/>
    <cellStyle name="Normal 27 5 4 2 2" xfId="17339" xr:uid="{00000000-0005-0000-0000-0000153B0000}"/>
    <cellStyle name="Normal 27 5 4 2 2 2" xfId="33913" xr:uid="{00000000-0005-0000-0000-0000163B0000}"/>
    <cellStyle name="Normal 27 5 4 2 3" xfId="25866" xr:uid="{00000000-0005-0000-0000-0000173B0000}"/>
    <cellStyle name="Normal 27 5 4 3" xfId="13476" xr:uid="{00000000-0005-0000-0000-0000183B0000}"/>
    <cellStyle name="Normal 27 5 4 3 2" xfId="30019" xr:uid="{00000000-0005-0000-0000-0000193B0000}"/>
    <cellStyle name="Normal 27 5 4 4" xfId="21976" xr:uid="{00000000-0005-0000-0000-00001A3B0000}"/>
    <cellStyle name="Normal 27 5 5" xfId="7980" xr:uid="{00000000-0005-0000-0000-00001B3B0000}"/>
    <cellStyle name="Normal 27 5 5 2" xfId="17340" xr:uid="{00000000-0005-0000-0000-00001C3B0000}"/>
    <cellStyle name="Normal 27 5 5 2 2" xfId="33914" xr:uid="{00000000-0005-0000-0000-00001D3B0000}"/>
    <cellStyle name="Normal 27 5 5 3" xfId="25867" xr:uid="{00000000-0005-0000-0000-00001E3B0000}"/>
    <cellStyle name="Normal 27 5 6" xfId="13469" xr:uid="{00000000-0005-0000-0000-00001F3B0000}"/>
    <cellStyle name="Normal 27 5 6 2" xfId="30012" xr:uid="{00000000-0005-0000-0000-0000203B0000}"/>
    <cellStyle name="Normal 27 5 7" xfId="21969" xr:uid="{00000000-0005-0000-0000-0000213B0000}"/>
    <cellStyle name="Normal 27 6" xfId="3890" xr:uid="{00000000-0005-0000-0000-0000223B0000}"/>
    <cellStyle name="Normal 27 6 2" xfId="3891" xr:uid="{00000000-0005-0000-0000-0000233B0000}"/>
    <cellStyle name="Normal 27 6 2 2" xfId="3892" xr:uid="{00000000-0005-0000-0000-0000243B0000}"/>
    <cellStyle name="Normal 27 6 2 2 2" xfId="7981" xr:uid="{00000000-0005-0000-0000-0000253B0000}"/>
    <cellStyle name="Normal 27 6 2 2 2 2" xfId="17341" xr:uid="{00000000-0005-0000-0000-0000263B0000}"/>
    <cellStyle name="Normal 27 6 2 2 2 2 2" xfId="33915" xr:uid="{00000000-0005-0000-0000-0000273B0000}"/>
    <cellStyle name="Normal 27 6 2 2 2 3" xfId="25868" xr:uid="{00000000-0005-0000-0000-0000283B0000}"/>
    <cellStyle name="Normal 27 6 2 2 3" xfId="13479" xr:uid="{00000000-0005-0000-0000-0000293B0000}"/>
    <cellStyle name="Normal 27 6 2 2 3 2" xfId="30022" xr:uid="{00000000-0005-0000-0000-00002A3B0000}"/>
    <cellStyle name="Normal 27 6 2 2 4" xfId="21979" xr:uid="{00000000-0005-0000-0000-00002B3B0000}"/>
    <cellStyle name="Normal 27 6 2 3" xfId="7982" xr:uid="{00000000-0005-0000-0000-00002C3B0000}"/>
    <cellStyle name="Normal 27 6 2 3 2" xfId="17342" xr:uid="{00000000-0005-0000-0000-00002D3B0000}"/>
    <cellStyle name="Normal 27 6 2 3 2 2" xfId="33916" xr:uid="{00000000-0005-0000-0000-00002E3B0000}"/>
    <cellStyle name="Normal 27 6 2 3 3" xfId="25869" xr:uid="{00000000-0005-0000-0000-00002F3B0000}"/>
    <cellStyle name="Normal 27 6 2 4" xfId="13478" xr:uid="{00000000-0005-0000-0000-0000303B0000}"/>
    <cellStyle name="Normal 27 6 2 4 2" xfId="30021" xr:uid="{00000000-0005-0000-0000-0000313B0000}"/>
    <cellStyle name="Normal 27 6 2 5" xfId="21978" xr:uid="{00000000-0005-0000-0000-0000323B0000}"/>
    <cellStyle name="Normal 27 6 3" xfId="3893" xr:uid="{00000000-0005-0000-0000-0000333B0000}"/>
    <cellStyle name="Normal 27 6 3 2" xfId="7983" xr:uid="{00000000-0005-0000-0000-0000343B0000}"/>
    <cellStyle name="Normal 27 6 3 2 2" xfId="17343" xr:uid="{00000000-0005-0000-0000-0000353B0000}"/>
    <cellStyle name="Normal 27 6 3 2 2 2" xfId="33917" xr:uid="{00000000-0005-0000-0000-0000363B0000}"/>
    <cellStyle name="Normal 27 6 3 2 3" xfId="25870" xr:uid="{00000000-0005-0000-0000-0000373B0000}"/>
    <cellStyle name="Normal 27 6 3 3" xfId="13480" xr:uid="{00000000-0005-0000-0000-0000383B0000}"/>
    <cellStyle name="Normal 27 6 3 3 2" xfId="30023" xr:uid="{00000000-0005-0000-0000-0000393B0000}"/>
    <cellStyle name="Normal 27 6 3 4" xfId="21980" xr:uid="{00000000-0005-0000-0000-00003A3B0000}"/>
    <cellStyle name="Normal 27 6 4" xfId="7984" xr:uid="{00000000-0005-0000-0000-00003B3B0000}"/>
    <cellStyle name="Normal 27 6 4 2" xfId="17344" xr:uid="{00000000-0005-0000-0000-00003C3B0000}"/>
    <cellStyle name="Normal 27 6 4 2 2" xfId="33918" xr:uid="{00000000-0005-0000-0000-00003D3B0000}"/>
    <cellStyle name="Normal 27 6 4 3" xfId="25871" xr:uid="{00000000-0005-0000-0000-00003E3B0000}"/>
    <cellStyle name="Normal 27 6 5" xfId="13477" xr:uid="{00000000-0005-0000-0000-00003F3B0000}"/>
    <cellStyle name="Normal 27 6 5 2" xfId="30020" xr:uid="{00000000-0005-0000-0000-0000403B0000}"/>
    <cellStyle name="Normal 27 6 6" xfId="21977" xr:uid="{00000000-0005-0000-0000-0000413B0000}"/>
    <cellStyle name="Normal 27 7" xfId="3894" xr:uid="{00000000-0005-0000-0000-0000423B0000}"/>
    <cellStyle name="Normal 27 7 2" xfId="3895" xr:uid="{00000000-0005-0000-0000-0000433B0000}"/>
    <cellStyle name="Normal 27 7 2 2" xfId="7985" xr:uid="{00000000-0005-0000-0000-0000443B0000}"/>
    <cellStyle name="Normal 27 7 2 2 2" xfId="17345" xr:uid="{00000000-0005-0000-0000-0000453B0000}"/>
    <cellStyle name="Normal 27 7 2 2 2 2" xfId="33919" xr:uid="{00000000-0005-0000-0000-0000463B0000}"/>
    <cellStyle name="Normal 27 7 2 2 3" xfId="25872" xr:uid="{00000000-0005-0000-0000-0000473B0000}"/>
    <cellStyle name="Normal 27 7 2 3" xfId="13482" xr:uid="{00000000-0005-0000-0000-0000483B0000}"/>
    <cellStyle name="Normal 27 7 2 3 2" xfId="30025" xr:uid="{00000000-0005-0000-0000-0000493B0000}"/>
    <cellStyle name="Normal 27 7 2 4" xfId="21982" xr:uid="{00000000-0005-0000-0000-00004A3B0000}"/>
    <cellStyle name="Normal 27 7 3" xfId="7986" xr:uid="{00000000-0005-0000-0000-00004B3B0000}"/>
    <cellStyle name="Normal 27 7 3 2" xfId="17346" xr:uid="{00000000-0005-0000-0000-00004C3B0000}"/>
    <cellStyle name="Normal 27 7 3 2 2" xfId="33920" xr:uid="{00000000-0005-0000-0000-00004D3B0000}"/>
    <cellStyle name="Normal 27 7 3 3" xfId="25873" xr:uid="{00000000-0005-0000-0000-00004E3B0000}"/>
    <cellStyle name="Normal 27 7 4" xfId="13481" xr:uid="{00000000-0005-0000-0000-00004F3B0000}"/>
    <cellStyle name="Normal 27 7 4 2" xfId="30024" xr:uid="{00000000-0005-0000-0000-0000503B0000}"/>
    <cellStyle name="Normal 27 7 5" xfId="21981" xr:uid="{00000000-0005-0000-0000-0000513B0000}"/>
    <cellStyle name="Normal 27 8" xfId="3896" xr:uid="{00000000-0005-0000-0000-0000523B0000}"/>
    <cellStyle name="Normal 27 8 2" xfId="7987" xr:uid="{00000000-0005-0000-0000-0000533B0000}"/>
    <cellStyle name="Normal 27 8 2 2" xfId="17347" xr:uid="{00000000-0005-0000-0000-0000543B0000}"/>
    <cellStyle name="Normal 27 8 2 2 2" xfId="33921" xr:uid="{00000000-0005-0000-0000-0000553B0000}"/>
    <cellStyle name="Normal 27 8 2 3" xfId="25874" xr:uid="{00000000-0005-0000-0000-0000563B0000}"/>
    <cellStyle name="Normal 27 8 3" xfId="13483" xr:uid="{00000000-0005-0000-0000-0000573B0000}"/>
    <cellStyle name="Normal 27 8 3 2" xfId="30026" xr:uid="{00000000-0005-0000-0000-0000583B0000}"/>
    <cellStyle name="Normal 27 8 4" xfId="21983" xr:uid="{00000000-0005-0000-0000-0000593B0000}"/>
    <cellStyle name="Normal 27 9" xfId="7988" xr:uid="{00000000-0005-0000-0000-00005A3B0000}"/>
    <cellStyle name="Normal 27 9 2" xfId="17348" xr:uid="{00000000-0005-0000-0000-00005B3B0000}"/>
    <cellStyle name="Normal 27 9 2 2" xfId="33922" xr:uid="{00000000-0005-0000-0000-00005C3B0000}"/>
    <cellStyle name="Normal 27 9 3" xfId="25875" xr:uid="{00000000-0005-0000-0000-00005D3B0000}"/>
    <cellStyle name="Normal 270" xfId="10814" xr:uid="{00000000-0005-0000-0000-00005E3B0000}"/>
    <cellStyle name="Normal 271" xfId="10817" xr:uid="{00000000-0005-0000-0000-00005F3B0000}"/>
    <cellStyle name="Normal 272" xfId="10820" xr:uid="{00000000-0005-0000-0000-0000603B0000}"/>
    <cellStyle name="Normal 273" xfId="10823" xr:uid="{00000000-0005-0000-0000-0000613B0000}"/>
    <cellStyle name="Normal 274" xfId="10826" xr:uid="{00000000-0005-0000-0000-0000623B0000}"/>
    <cellStyle name="Normal 275" xfId="10829" xr:uid="{00000000-0005-0000-0000-0000633B0000}"/>
    <cellStyle name="Normal 276" xfId="10832" xr:uid="{00000000-0005-0000-0000-0000643B0000}"/>
    <cellStyle name="Normal 277" xfId="10835" xr:uid="{00000000-0005-0000-0000-0000653B0000}"/>
    <cellStyle name="Normal 278" xfId="10838" xr:uid="{00000000-0005-0000-0000-0000663B0000}"/>
    <cellStyle name="Normal 279" xfId="10841" xr:uid="{00000000-0005-0000-0000-0000673B0000}"/>
    <cellStyle name="Normal 28" xfId="3897" xr:uid="{00000000-0005-0000-0000-0000683B0000}"/>
    <cellStyle name="Normal 28 10" xfId="13484" xr:uid="{00000000-0005-0000-0000-0000693B0000}"/>
    <cellStyle name="Normal 28 10 2" xfId="30027" xr:uid="{00000000-0005-0000-0000-00006A3B0000}"/>
    <cellStyle name="Normal 28 11" xfId="21984" xr:uid="{00000000-0005-0000-0000-00006B3B0000}"/>
    <cellStyle name="Normal 28 2" xfId="3898" xr:uid="{00000000-0005-0000-0000-00006C3B0000}"/>
    <cellStyle name="Normal 28 2 2" xfId="3899" xr:uid="{00000000-0005-0000-0000-00006D3B0000}"/>
    <cellStyle name="Normal 28 2 3" xfId="13485" xr:uid="{00000000-0005-0000-0000-00006E3B0000}"/>
    <cellStyle name="Normal 28 2 3 2" xfId="30028" xr:uid="{00000000-0005-0000-0000-00006F3B0000}"/>
    <cellStyle name="Normal 28 2 4" xfId="21985" xr:uid="{00000000-0005-0000-0000-0000703B0000}"/>
    <cellStyle name="Normal 28 3" xfId="3900" xr:uid="{00000000-0005-0000-0000-0000713B0000}"/>
    <cellStyle name="Normal 28 3 2" xfId="3901" xr:uid="{00000000-0005-0000-0000-0000723B0000}"/>
    <cellStyle name="Normal 28 3 2 2" xfId="3902" xr:uid="{00000000-0005-0000-0000-0000733B0000}"/>
    <cellStyle name="Normal 28 3 2 2 2" xfId="3903" xr:uid="{00000000-0005-0000-0000-0000743B0000}"/>
    <cellStyle name="Normal 28 3 2 2 2 2" xfId="7989" xr:uid="{00000000-0005-0000-0000-0000753B0000}"/>
    <cellStyle name="Normal 28 3 2 2 2 2 2" xfId="17349" xr:uid="{00000000-0005-0000-0000-0000763B0000}"/>
    <cellStyle name="Normal 28 3 2 2 2 2 2 2" xfId="33923" xr:uid="{00000000-0005-0000-0000-0000773B0000}"/>
    <cellStyle name="Normal 28 3 2 2 2 2 3" xfId="25876" xr:uid="{00000000-0005-0000-0000-0000783B0000}"/>
    <cellStyle name="Normal 28 3 2 2 2 3" xfId="13488" xr:uid="{00000000-0005-0000-0000-0000793B0000}"/>
    <cellStyle name="Normal 28 3 2 2 2 3 2" xfId="30031" xr:uid="{00000000-0005-0000-0000-00007A3B0000}"/>
    <cellStyle name="Normal 28 3 2 2 2 4" xfId="21988" xr:uid="{00000000-0005-0000-0000-00007B3B0000}"/>
    <cellStyle name="Normal 28 3 2 2 3" xfId="7990" xr:uid="{00000000-0005-0000-0000-00007C3B0000}"/>
    <cellStyle name="Normal 28 3 2 2 3 2" xfId="17350" xr:uid="{00000000-0005-0000-0000-00007D3B0000}"/>
    <cellStyle name="Normal 28 3 2 2 3 2 2" xfId="33924" xr:uid="{00000000-0005-0000-0000-00007E3B0000}"/>
    <cellStyle name="Normal 28 3 2 2 3 3" xfId="25877" xr:uid="{00000000-0005-0000-0000-00007F3B0000}"/>
    <cellStyle name="Normal 28 3 2 2 4" xfId="13487" xr:uid="{00000000-0005-0000-0000-0000803B0000}"/>
    <cellStyle name="Normal 28 3 2 2 4 2" xfId="30030" xr:uid="{00000000-0005-0000-0000-0000813B0000}"/>
    <cellStyle name="Normal 28 3 2 2 5" xfId="21987" xr:uid="{00000000-0005-0000-0000-0000823B0000}"/>
    <cellStyle name="Normal 28 3 2 3" xfId="3904" xr:uid="{00000000-0005-0000-0000-0000833B0000}"/>
    <cellStyle name="Normal 28 3 2 3 2" xfId="7991" xr:uid="{00000000-0005-0000-0000-0000843B0000}"/>
    <cellStyle name="Normal 28 3 2 3 2 2" xfId="17351" xr:uid="{00000000-0005-0000-0000-0000853B0000}"/>
    <cellStyle name="Normal 28 3 2 3 2 2 2" xfId="33925" xr:uid="{00000000-0005-0000-0000-0000863B0000}"/>
    <cellStyle name="Normal 28 3 2 3 2 3" xfId="25878" xr:uid="{00000000-0005-0000-0000-0000873B0000}"/>
    <cellStyle name="Normal 28 3 2 3 3" xfId="13489" xr:uid="{00000000-0005-0000-0000-0000883B0000}"/>
    <cellStyle name="Normal 28 3 2 3 3 2" xfId="30032" xr:uid="{00000000-0005-0000-0000-0000893B0000}"/>
    <cellStyle name="Normal 28 3 2 3 4" xfId="21989" xr:uid="{00000000-0005-0000-0000-00008A3B0000}"/>
    <cellStyle name="Normal 28 3 2 4" xfId="7992" xr:uid="{00000000-0005-0000-0000-00008B3B0000}"/>
    <cellStyle name="Normal 28 3 2 4 2" xfId="17352" xr:uid="{00000000-0005-0000-0000-00008C3B0000}"/>
    <cellStyle name="Normal 28 3 2 4 2 2" xfId="33926" xr:uid="{00000000-0005-0000-0000-00008D3B0000}"/>
    <cellStyle name="Normal 28 3 2 4 3" xfId="25879" xr:uid="{00000000-0005-0000-0000-00008E3B0000}"/>
    <cellStyle name="Normal 28 3 2 5" xfId="13486" xr:uid="{00000000-0005-0000-0000-00008F3B0000}"/>
    <cellStyle name="Normal 28 3 2 5 2" xfId="30029" xr:uid="{00000000-0005-0000-0000-0000903B0000}"/>
    <cellStyle name="Normal 28 3 2 6" xfId="21986" xr:uid="{00000000-0005-0000-0000-0000913B0000}"/>
    <cellStyle name="Normal 28 3 3" xfId="3905" xr:uid="{00000000-0005-0000-0000-0000923B0000}"/>
    <cellStyle name="Normal 28 3 3 2" xfId="3906" xr:uid="{00000000-0005-0000-0000-0000933B0000}"/>
    <cellStyle name="Normal 28 3 3 2 2" xfId="7993" xr:uid="{00000000-0005-0000-0000-0000943B0000}"/>
    <cellStyle name="Normal 28 3 3 2 2 2" xfId="17353" xr:uid="{00000000-0005-0000-0000-0000953B0000}"/>
    <cellStyle name="Normal 28 3 3 2 2 2 2" xfId="33927" xr:uid="{00000000-0005-0000-0000-0000963B0000}"/>
    <cellStyle name="Normal 28 3 3 2 2 3" xfId="25880" xr:uid="{00000000-0005-0000-0000-0000973B0000}"/>
    <cellStyle name="Normal 28 3 3 2 3" xfId="13491" xr:uid="{00000000-0005-0000-0000-0000983B0000}"/>
    <cellStyle name="Normal 28 3 3 2 3 2" xfId="30034" xr:uid="{00000000-0005-0000-0000-0000993B0000}"/>
    <cellStyle name="Normal 28 3 3 2 4" xfId="21991" xr:uid="{00000000-0005-0000-0000-00009A3B0000}"/>
    <cellStyle name="Normal 28 3 3 3" xfId="7994" xr:uid="{00000000-0005-0000-0000-00009B3B0000}"/>
    <cellStyle name="Normal 28 3 3 3 2" xfId="17354" xr:uid="{00000000-0005-0000-0000-00009C3B0000}"/>
    <cellStyle name="Normal 28 3 3 3 2 2" xfId="33928" xr:uid="{00000000-0005-0000-0000-00009D3B0000}"/>
    <cellStyle name="Normal 28 3 3 3 3" xfId="25881" xr:uid="{00000000-0005-0000-0000-00009E3B0000}"/>
    <cellStyle name="Normal 28 3 3 4" xfId="13490" xr:uid="{00000000-0005-0000-0000-00009F3B0000}"/>
    <cellStyle name="Normal 28 3 3 4 2" xfId="30033" xr:uid="{00000000-0005-0000-0000-0000A03B0000}"/>
    <cellStyle name="Normal 28 3 3 5" xfId="21990" xr:uid="{00000000-0005-0000-0000-0000A13B0000}"/>
    <cellStyle name="Normal 28 3 4" xfId="3907" xr:uid="{00000000-0005-0000-0000-0000A23B0000}"/>
    <cellStyle name="Normal 28 3 4 2" xfId="7995" xr:uid="{00000000-0005-0000-0000-0000A33B0000}"/>
    <cellStyle name="Normal 28 3 4 2 2" xfId="17355" xr:uid="{00000000-0005-0000-0000-0000A43B0000}"/>
    <cellStyle name="Normal 28 3 4 2 2 2" xfId="33929" xr:uid="{00000000-0005-0000-0000-0000A53B0000}"/>
    <cellStyle name="Normal 28 3 4 2 3" xfId="25882" xr:uid="{00000000-0005-0000-0000-0000A63B0000}"/>
    <cellStyle name="Normal 28 3 4 3" xfId="13492" xr:uid="{00000000-0005-0000-0000-0000A73B0000}"/>
    <cellStyle name="Normal 28 3 4 3 2" xfId="30035" xr:uid="{00000000-0005-0000-0000-0000A83B0000}"/>
    <cellStyle name="Normal 28 3 4 4" xfId="21992" xr:uid="{00000000-0005-0000-0000-0000A93B0000}"/>
    <cellStyle name="Normal 28 3 5" xfId="3908" xr:uid="{00000000-0005-0000-0000-0000AA3B0000}"/>
    <cellStyle name="Normal 28 3 5 2" xfId="13493" xr:uid="{00000000-0005-0000-0000-0000AB3B0000}"/>
    <cellStyle name="Normal 28 3 5 2 2" xfId="30036" xr:uid="{00000000-0005-0000-0000-0000AC3B0000}"/>
    <cellStyle name="Normal 28 3 5 3" xfId="21993" xr:uid="{00000000-0005-0000-0000-0000AD3B0000}"/>
    <cellStyle name="Normal 28 4" xfId="3909" xr:uid="{00000000-0005-0000-0000-0000AE3B0000}"/>
    <cellStyle name="Normal 28 4 2" xfId="3910" xr:uid="{00000000-0005-0000-0000-0000AF3B0000}"/>
    <cellStyle name="Normal 28 4 2 2" xfId="3911" xr:uid="{00000000-0005-0000-0000-0000B03B0000}"/>
    <cellStyle name="Normal 28 4 2 2 2" xfId="3912" xr:uid="{00000000-0005-0000-0000-0000B13B0000}"/>
    <cellStyle name="Normal 28 4 2 2 2 2" xfId="7996" xr:uid="{00000000-0005-0000-0000-0000B23B0000}"/>
    <cellStyle name="Normal 28 4 2 2 2 2 2" xfId="17356" xr:uid="{00000000-0005-0000-0000-0000B33B0000}"/>
    <cellStyle name="Normal 28 4 2 2 2 2 2 2" xfId="33930" xr:uid="{00000000-0005-0000-0000-0000B43B0000}"/>
    <cellStyle name="Normal 28 4 2 2 2 2 3" xfId="25883" xr:uid="{00000000-0005-0000-0000-0000B53B0000}"/>
    <cellStyle name="Normal 28 4 2 2 2 3" xfId="13497" xr:uid="{00000000-0005-0000-0000-0000B63B0000}"/>
    <cellStyle name="Normal 28 4 2 2 2 3 2" xfId="30040" xr:uid="{00000000-0005-0000-0000-0000B73B0000}"/>
    <cellStyle name="Normal 28 4 2 2 2 4" xfId="21997" xr:uid="{00000000-0005-0000-0000-0000B83B0000}"/>
    <cellStyle name="Normal 28 4 2 2 3" xfId="7997" xr:uid="{00000000-0005-0000-0000-0000B93B0000}"/>
    <cellStyle name="Normal 28 4 2 2 3 2" xfId="17357" xr:uid="{00000000-0005-0000-0000-0000BA3B0000}"/>
    <cellStyle name="Normal 28 4 2 2 3 2 2" xfId="33931" xr:uid="{00000000-0005-0000-0000-0000BB3B0000}"/>
    <cellStyle name="Normal 28 4 2 2 3 3" xfId="25884" xr:uid="{00000000-0005-0000-0000-0000BC3B0000}"/>
    <cellStyle name="Normal 28 4 2 2 4" xfId="13496" xr:uid="{00000000-0005-0000-0000-0000BD3B0000}"/>
    <cellStyle name="Normal 28 4 2 2 4 2" xfId="30039" xr:uid="{00000000-0005-0000-0000-0000BE3B0000}"/>
    <cellStyle name="Normal 28 4 2 2 5" xfId="21996" xr:uid="{00000000-0005-0000-0000-0000BF3B0000}"/>
    <cellStyle name="Normal 28 4 2 3" xfId="3913" xr:uid="{00000000-0005-0000-0000-0000C03B0000}"/>
    <cellStyle name="Normal 28 4 2 3 2" xfId="7998" xr:uid="{00000000-0005-0000-0000-0000C13B0000}"/>
    <cellStyle name="Normal 28 4 2 3 2 2" xfId="17358" xr:uid="{00000000-0005-0000-0000-0000C23B0000}"/>
    <cellStyle name="Normal 28 4 2 3 2 2 2" xfId="33932" xr:uid="{00000000-0005-0000-0000-0000C33B0000}"/>
    <cellStyle name="Normal 28 4 2 3 2 3" xfId="25885" xr:uid="{00000000-0005-0000-0000-0000C43B0000}"/>
    <cellStyle name="Normal 28 4 2 3 3" xfId="13498" xr:uid="{00000000-0005-0000-0000-0000C53B0000}"/>
    <cellStyle name="Normal 28 4 2 3 3 2" xfId="30041" xr:uid="{00000000-0005-0000-0000-0000C63B0000}"/>
    <cellStyle name="Normal 28 4 2 3 4" xfId="21998" xr:uid="{00000000-0005-0000-0000-0000C73B0000}"/>
    <cellStyle name="Normal 28 4 2 4" xfId="7999" xr:uid="{00000000-0005-0000-0000-0000C83B0000}"/>
    <cellStyle name="Normal 28 4 2 4 2" xfId="17359" xr:uid="{00000000-0005-0000-0000-0000C93B0000}"/>
    <cellStyle name="Normal 28 4 2 4 2 2" xfId="33933" xr:uid="{00000000-0005-0000-0000-0000CA3B0000}"/>
    <cellStyle name="Normal 28 4 2 4 3" xfId="25886" xr:uid="{00000000-0005-0000-0000-0000CB3B0000}"/>
    <cellStyle name="Normal 28 4 2 5" xfId="13495" xr:uid="{00000000-0005-0000-0000-0000CC3B0000}"/>
    <cellStyle name="Normal 28 4 2 5 2" xfId="30038" xr:uid="{00000000-0005-0000-0000-0000CD3B0000}"/>
    <cellStyle name="Normal 28 4 2 6" xfId="21995" xr:uid="{00000000-0005-0000-0000-0000CE3B0000}"/>
    <cellStyle name="Normal 28 4 3" xfId="3914" xr:uid="{00000000-0005-0000-0000-0000CF3B0000}"/>
    <cellStyle name="Normal 28 4 3 2" xfId="3915" xr:uid="{00000000-0005-0000-0000-0000D03B0000}"/>
    <cellStyle name="Normal 28 4 3 2 2" xfId="8000" xr:uid="{00000000-0005-0000-0000-0000D13B0000}"/>
    <cellStyle name="Normal 28 4 3 2 2 2" xfId="17360" xr:uid="{00000000-0005-0000-0000-0000D23B0000}"/>
    <cellStyle name="Normal 28 4 3 2 2 2 2" xfId="33934" xr:uid="{00000000-0005-0000-0000-0000D33B0000}"/>
    <cellStyle name="Normal 28 4 3 2 2 3" xfId="25887" xr:uid="{00000000-0005-0000-0000-0000D43B0000}"/>
    <cellStyle name="Normal 28 4 3 2 3" xfId="13500" xr:uid="{00000000-0005-0000-0000-0000D53B0000}"/>
    <cellStyle name="Normal 28 4 3 2 3 2" xfId="30043" xr:uid="{00000000-0005-0000-0000-0000D63B0000}"/>
    <cellStyle name="Normal 28 4 3 2 4" xfId="22000" xr:uid="{00000000-0005-0000-0000-0000D73B0000}"/>
    <cellStyle name="Normal 28 4 3 3" xfId="8001" xr:uid="{00000000-0005-0000-0000-0000D83B0000}"/>
    <cellStyle name="Normal 28 4 3 3 2" xfId="17361" xr:uid="{00000000-0005-0000-0000-0000D93B0000}"/>
    <cellStyle name="Normal 28 4 3 3 2 2" xfId="33935" xr:uid="{00000000-0005-0000-0000-0000DA3B0000}"/>
    <cellStyle name="Normal 28 4 3 3 3" xfId="25888" xr:uid="{00000000-0005-0000-0000-0000DB3B0000}"/>
    <cellStyle name="Normal 28 4 3 4" xfId="13499" xr:uid="{00000000-0005-0000-0000-0000DC3B0000}"/>
    <cellStyle name="Normal 28 4 3 4 2" xfId="30042" xr:uid="{00000000-0005-0000-0000-0000DD3B0000}"/>
    <cellStyle name="Normal 28 4 3 5" xfId="21999" xr:uid="{00000000-0005-0000-0000-0000DE3B0000}"/>
    <cellStyle name="Normal 28 4 4" xfId="3916" xr:uid="{00000000-0005-0000-0000-0000DF3B0000}"/>
    <cellStyle name="Normal 28 4 4 2" xfId="8002" xr:uid="{00000000-0005-0000-0000-0000E03B0000}"/>
    <cellStyle name="Normal 28 4 4 2 2" xfId="17362" xr:uid="{00000000-0005-0000-0000-0000E13B0000}"/>
    <cellStyle name="Normal 28 4 4 2 2 2" xfId="33936" xr:uid="{00000000-0005-0000-0000-0000E23B0000}"/>
    <cellStyle name="Normal 28 4 4 2 3" xfId="25889" xr:uid="{00000000-0005-0000-0000-0000E33B0000}"/>
    <cellStyle name="Normal 28 4 4 3" xfId="13501" xr:uid="{00000000-0005-0000-0000-0000E43B0000}"/>
    <cellStyle name="Normal 28 4 4 3 2" xfId="30044" xr:uid="{00000000-0005-0000-0000-0000E53B0000}"/>
    <cellStyle name="Normal 28 4 4 4" xfId="22001" xr:uid="{00000000-0005-0000-0000-0000E63B0000}"/>
    <cellStyle name="Normal 28 4 5" xfId="8003" xr:uid="{00000000-0005-0000-0000-0000E73B0000}"/>
    <cellStyle name="Normal 28 4 5 2" xfId="17363" xr:uid="{00000000-0005-0000-0000-0000E83B0000}"/>
    <cellStyle name="Normal 28 4 5 2 2" xfId="33937" xr:uid="{00000000-0005-0000-0000-0000E93B0000}"/>
    <cellStyle name="Normal 28 4 5 3" xfId="25890" xr:uid="{00000000-0005-0000-0000-0000EA3B0000}"/>
    <cellStyle name="Normal 28 4 6" xfId="13494" xr:uid="{00000000-0005-0000-0000-0000EB3B0000}"/>
    <cellStyle name="Normal 28 4 6 2" xfId="30037" xr:uid="{00000000-0005-0000-0000-0000EC3B0000}"/>
    <cellStyle name="Normal 28 4 7" xfId="21994" xr:uid="{00000000-0005-0000-0000-0000ED3B0000}"/>
    <cellStyle name="Normal 28 5" xfId="3917" xr:uid="{00000000-0005-0000-0000-0000EE3B0000}"/>
    <cellStyle name="Normal 28 5 2" xfId="3918" xr:uid="{00000000-0005-0000-0000-0000EF3B0000}"/>
    <cellStyle name="Normal 28 5 2 2" xfId="3919" xr:uid="{00000000-0005-0000-0000-0000F03B0000}"/>
    <cellStyle name="Normal 28 5 2 2 2" xfId="3920" xr:uid="{00000000-0005-0000-0000-0000F13B0000}"/>
    <cellStyle name="Normal 28 5 2 2 2 2" xfId="8004" xr:uid="{00000000-0005-0000-0000-0000F23B0000}"/>
    <cellStyle name="Normal 28 5 2 2 2 2 2" xfId="17364" xr:uid="{00000000-0005-0000-0000-0000F33B0000}"/>
    <cellStyle name="Normal 28 5 2 2 2 2 2 2" xfId="33938" xr:uid="{00000000-0005-0000-0000-0000F43B0000}"/>
    <cellStyle name="Normal 28 5 2 2 2 2 3" xfId="25891" xr:uid="{00000000-0005-0000-0000-0000F53B0000}"/>
    <cellStyle name="Normal 28 5 2 2 2 3" xfId="13505" xr:uid="{00000000-0005-0000-0000-0000F63B0000}"/>
    <cellStyle name="Normal 28 5 2 2 2 3 2" xfId="30048" xr:uid="{00000000-0005-0000-0000-0000F73B0000}"/>
    <cellStyle name="Normal 28 5 2 2 2 4" xfId="22005" xr:uid="{00000000-0005-0000-0000-0000F83B0000}"/>
    <cellStyle name="Normal 28 5 2 2 3" xfId="8005" xr:uid="{00000000-0005-0000-0000-0000F93B0000}"/>
    <cellStyle name="Normal 28 5 2 2 3 2" xfId="17365" xr:uid="{00000000-0005-0000-0000-0000FA3B0000}"/>
    <cellStyle name="Normal 28 5 2 2 3 2 2" xfId="33939" xr:uid="{00000000-0005-0000-0000-0000FB3B0000}"/>
    <cellStyle name="Normal 28 5 2 2 3 3" xfId="25892" xr:uid="{00000000-0005-0000-0000-0000FC3B0000}"/>
    <cellStyle name="Normal 28 5 2 2 4" xfId="13504" xr:uid="{00000000-0005-0000-0000-0000FD3B0000}"/>
    <cellStyle name="Normal 28 5 2 2 4 2" xfId="30047" xr:uid="{00000000-0005-0000-0000-0000FE3B0000}"/>
    <cellStyle name="Normal 28 5 2 2 5" xfId="22004" xr:uid="{00000000-0005-0000-0000-0000FF3B0000}"/>
    <cellStyle name="Normal 28 5 2 3" xfId="3921" xr:uid="{00000000-0005-0000-0000-0000003C0000}"/>
    <cellStyle name="Normal 28 5 2 3 2" xfId="8006" xr:uid="{00000000-0005-0000-0000-0000013C0000}"/>
    <cellStyle name="Normal 28 5 2 3 2 2" xfId="17366" xr:uid="{00000000-0005-0000-0000-0000023C0000}"/>
    <cellStyle name="Normal 28 5 2 3 2 2 2" xfId="33940" xr:uid="{00000000-0005-0000-0000-0000033C0000}"/>
    <cellStyle name="Normal 28 5 2 3 2 3" xfId="25893" xr:uid="{00000000-0005-0000-0000-0000043C0000}"/>
    <cellStyle name="Normal 28 5 2 3 3" xfId="13506" xr:uid="{00000000-0005-0000-0000-0000053C0000}"/>
    <cellStyle name="Normal 28 5 2 3 3 2" xfId="30049" xr:uid="{00000000-0005-0000-0000-0000063C0000}"/>
    <cellStyle name="Normal 28 5 2 3 4" xfId="22006" xr:uid="{00000000-0005-0000-0000-0000073C0000}"/>
    <cellStyle name="Normal 28 5 2 4" xfId="8007" xr:uid="{00000000-0005-0000-0000-0000083C0000}"/>
    <cellStyle name="Normal 28 5 2 4 2" xfId="17367" xr:uid="{00000000-0005-0000-0000-0000093C0000}"/>
    <cellStyle name="Normal 28 5 2 4 2 2" xfId="33941" xr:uid="{00000000-0005-0000-0000-00000A3C0000}"/>
    <cellStyle name="Normal 28 5 2 4 3" xfId="25894" xr:uid="{00000000-0005-0000-0000-00000B3C0000}"/>
    <cellStyle name="Normal 28 5 2 5" xfId="13503" xr:uid="{00000000-0005-0000-0000-00000C3C0000}"/>
    <cellStyle name="Normal 28 5 2 5 2" xfId="30046" xr:uid="{00000000-0005-0000-0000-00000D3C0000}"/>
    <cellStyle name="Normal 28 5 2 6" xfId="22003" xr:uid="{00000000-0005-0000-0000-00000E3C0000}"/>
    <cellStyle name="Normal 28 5 3" xfId="3922" xr:uid="{00000000-0005-0000-0000-00000F3C0000}"/>
    <cellStyle name="Normal 28 5 3 2" xfId="3923" xr:uid="{00000000-0005-0000-0000-0000103C0000}"/>
    <cellStyle name="Normal 28 5 3 2 2" xfId="8008" xr:uid="{00000000-0005-0000-0000-0000113C0000}"/>
    <cellStyle name="Normal 28 5 3 2 2 2" xfId="17368" xr:uid="{00000000-0005-0000-0000-0000123C0000}"/>
    <cellStyle name="Normal 28 5 3 2 2 2 2" xfId="33942" xr:uid="{00000000-0005-0000-0000-0000133C0000}"/>
    <cellStyle name="Normal 28 5 3 2 2 3" xfId="25895" xr:uid="{00000000-0005-0000-0000-0000143C0000}"/>
    <cellStyle name="Normal 28 5 3 2 3" xfId="13508" xr:uid="{00000000-0005-0000-0000-0000153C0000}"/>
    <cellStyle name="Normal 28 5 3 2 3 2" xfId="30051" xr:uid="{00000000-0005-0000-0000-0000163C0000}"/>
    <cellStyle name="Normal 28 5 3 2 4" xfId="22008" xr:uid="{00000000-0005-0000-0000-0000173C0000}"/>
    <cellStyle name="Normal 28 5 3 3" xfId="8009" xr:uid="{00000000-0005-0000-0000-0000183C0000}"/>
    <cellStyle name="Normal 28 5 3 3 2" xfId="17369" xr:uid="{00000000-0005-0000-0000-0000193C0000}"/>
    <cellStyle name="Normal 28 5 3 3 2 2" xfId="33943" xr:uid="{00000000-0005-0000-0000-00001A3C0000}"/>
    <cellStyle name="Normal 28 5 3 3 3" xfId="25896" xr:uid="{00000000-0005-0000-0000-00001B3C0000}"/>
    <cellStyle name="Normal 28 5 3 4" xfId="13507" xr:uid="{00000000-0005-0000-0000-00001C3C0000}"/>
    <cellStyle name="Normal 28 5 3 4 2" xfId="30050" xr:uid="{00000000-0005-0000-0000-00001D3C0000}"/>
    <cellStyle name="Normal 28 5 3 5" xfId="22007" xr:uid="{00000000-0005-0000-0000-00001E3C0000}"/>
    <cellStyle name="Normal 28 5 4" xfId="3924" xr:uid="{00000000-0005-0000-0000-00001F3C0000}"/>
    <cellStyle name="Normal 28 5 4 2" xfId="8010" xr:uid="{00000000-0005-0000-0000-0000203C0000}"/>
    <cellStyle name="Normal 28 5 4 2 2" xfId="17370" xr:uid="{00000000-0005-0000-0000-0000213C0000}"/>
    <cellStyle name="Normal 28 5 4 2 2 2" xfId="33944" xr:uid="{00000000-0005-0000-0000-0000223C0000}"/>
    <cellStyle name="Normal 28 5 4 2 3" xfId="25897" xr:uid="{00000000-0005-0000-0000-0000233C0000}"/>
    <cellStyle name="Normal 28 5 4 3" xfId="13509" xr:uid="{00000000-0005-0000-0000-0000243C0000}"/>
    <cellStyle name="Normal 28 5 4 3 2" xfId="30052" xr:uid="{00000000-0005-0000-0000-0000253C0000}"/>
    <cellStyle name="Normal 28 5 4 4" xfId="22009" xr:uid="{00000000-0005-0000-0000-0000263C0000}"/>
    <cellStyle name="Normal 28 5 5" xfId="8011" xr:uid="{00000000-0005-0000-0000-0000273C0000}"/>
    <cellStyle name="Normal 28 5 5 2" xfId="17371" xr:uid="{00000000-0005-0000-0000-0000283C0000}"/>
    <cellStyle name="Normal 28 5 5 2 2" xfId="33945" xr:uid="{00000000-0005-0000-0000-0000293C0000}"/>
    <cellStyle name="Normal 28 5 5 3" xfId="25898" xr:uid="{00000000-0005-0000-0000-00002A3C0000}"/>
    <cellStyle name="Normal 28 5 6" xfId="13502" xr:uid="{00000000-0005-0000-0000-00002B3C0000}"/>
    <cellStyle name="Normal 28 5 6 2" xfId="30045" xr:uid="{00000000-0005-0000-0000-00002C3C0000}"/>
    <cellStyle name="Normal 28 5 7" xfId="22002" xr:uid="{00000000-0005-0000-0000-00002D3C0000}"/>
    <cellStyle name="Normal 28 6" xfId="3925" xr:uid="{00000000-0005-0000-0000-00002E3C0000}"/>
    <cellStyle name="Normal 28 6 2" xfId="3926" xr:uid="{00000000-0005-0000-0000-00002F3C0000}"/>
    <cellStyle name="Normal 28 6 2 2" xfId="3927" xr:uid="{00000000-0005-0000-0000-0000303C0000}"/>
    <cellStyle name="Normal 28 6 2 2 2" xfId="8012" xr:uid="{00000000-0005-0000-0000-0000313C0000}"/>
    <cellStyle name="Normal 28 6 2 2 2 2" xfId="17372" xr:uid="{00000000-0005-0000-0000-0000323C0000}"/>
    <cellStyle name="Normal 28 6 2 2 2 2 2" xfId="33946" xr:uid="{00000000-0005-0000-0000-0000333C0000}"/>
    <cellStyle name="Normal 28 6 2 2 2 3" xfId="25899" xr:uid="{00000000-0005-0000-0000-0000343C0000}"/>
    <cellStyle name="Normal 28 6 2 2 3" xfId="13512" xr:uid="{00000000-0005-0000-0000-0000353C0000}"/>
    <cellStyle name="Normal 28 6 2 2 3 2" xfId="30055" xr:uid="{00000000-0005-0000-0000-0000363C0000}"/>
    <cellStyle name="Normal 28 6 2 2 4" xfId="22012" xr:uid="{00000000-0005-0000-0000-0000373C0000}"/>
    <cellStyle name="Normal 28 6 2 3" xfId="8013" xr:uid="{00000000-0005-0000-0000-0000383C0000}"/>
    <cellStyle name="Normal 28 6 2 3 2" xfId="17373" xr:uid="{00000000-0005-0000-0000-0000393C0000}"/>
    <cellStyle name="Normal 28 6 2 3 2 2" xfId="33947" xr:uid="{00000000-0005-0000-0000-00003A3C0000}"/>
    <cellStyle name="Normal 28 6 2 3 3" xfId="25900" xr:uid="{00000000-0005-0000-0000-00003B3C0000}"/>
    <cellStyle name="Normal 28 6 2 4" xfId="13511" xr:uid="{00000000-0005-0000-0000-00003C3C0000}"/>
    <cellStyle name="Normal 28 6 2 4 2" xfId="30054" xr:uid="{00000000-0005-0000-0000-00003D3C0000}"/>
    <cellStyle name="Normal 28 6 2 5" xfId="22011" xr:uid="{00000000-0005-0000-0000-00003E3C0000}"/>
    <cellStyle name="Normal 28 6 3" xfId="3928" xr:uid="{00000000-0005-0000-0000-00003F3C0000}"/>
    <cellStyle name="Normal 28 6 3 2" xfId="8014" xr:uid="{00000000-0005-0000-0000-0000403C0000}"/>
    <cellStyle name="Normal 28 6 3 2 2" xfId="17374" xr:uid="{00000000-0005-0000-0000-0000413C0000}"/>
    <cellStyle name="Normal 28 6 3 2 2 2" xfId="33948" xr:uid="{00000000-0005-0000-0000-0000423C0000}"/>
    <cellStyle name="Normal 28 6 3 2 3" xfId="25901" xr:uid="{00000000-0005-0000-0000-0000433C0000}"/>
    <cellStyle name="Normal 28 6 3 3" xfId="13513" xr:uid="{00000000-0005-0000-0000-0000443C0000}"/>
    <cellStyle name="Normal 28 6 3 3 2" xfId="30056" xr:uid="{00000000-0005-0000-0000-0000453C0000}"/>
    <cellStyle name="Normal 28 6 3 4" xfId="22013" xr:uid="{00000000-0005-0000-0000-0000463C0000}"/>
    <cellStyle name="Normal 28 6 4" xfId="8015" xr:uid="{00000000-0005-0000-0000-0000473C0000}"/>
    <cellStyle name="Normal 28 6 4 2" xfId="17375" xr:uid="{00000000-0005-0000-0000-0000483C0000}"/>
    <cellStyle name="Normal 28 6 4 2 2" xfId="33949" xr:uid="{00000000-0005-0000-0000-0000493C0000}"/>
    <cellStyle name="Normal 28 6 4 3" xfId="25902" xr:uid="{00000000-0005-0000-0000-00004A3C0000}"/>
    <cellStyle name="Normal 28 6 5" xfId="13510" xr:uid="{00000000-0005-0000-0000-00004B3C0000}"/>
    <cellStyle name="Normal 28 6 5 2" xfId="30053" xr:uid="{00000000-0005-0000-0000-00004C3C0000}"/>
    <cellStyle name="Normal 28 6 6" xfId="22010" xr:uid="{00000000-0005-0000-0000-00004D3C0000}"/>
    <cellStyle name="Normal 28 7" xfId="3929" xr:uid="{00000000-0005-0000-0000-00004E3C0000}"/>
    <cellStyle name="Normal 28 7 2" xfId="3930" xr:uid="{00000000-0005-0000-0000-00004F3C0000}"/>
    <cellStyle name="Normal 28 7 2 2" xfId="8016" xr:uid="{00000000-0005-0000-0000-0000503C0000}"/>
    <cellStyle name="Normal 28 7 2 2 2" xfId="17376" xr:uid="{00000000-0005-0000-0000-0000513C0000}"/>
    <cellStyle name="Normal 28 7 2 2 2 2" xfId="33950" xr:uid="{00000000-0005-0000-0000-0000523C0000}"/>
    <cellStyle name="Normal 28 7 2 2 3" xfId="25903" xr:uid="{00000000-0005-0000-0000-0000533C0000}"/>
    <cellStyle name="Normal 28 7 2 3" xfId="13515" xr:uid="{00000000-0005-0000-0000-0000543C0000}"/>
    <cellStyle name="Normal 28 7 2 3 2" xfId="30058" xr:uid="{00000000-0005-0000-0000-0000553C0000}"/>
    <cellStyle name="Normal 28 7 2 4" xfId="22015" xr:uid="{00000000-0005-0000-0000-0000563C0000}"/>
    <cellStyle name="Normal 28 7 3" xfId="8017" xr:uid="{00000000-0005-0000-0000-0000573C0000}"/>
    <cellStyle name="Normal 28 7 3 2" xfId="17377" xr:uid="{00000000-0005-0000-0000-0000583C0000}"/>
    <cellStyle name="Normal 28 7 3 2 2" xfId="33951" xr:uid="{00000000-0005-0000-0000-0000593C0000}"/>
    <cellStyle name="Normal 28 7 3 3" xfId="25904" xr:uid="{00000000-0005-0000-0000-00005A3C0000}"/>
    <cellStyle name="Normal 28 7 4" xfId="13514" xr:uid="{00000000-0005-0000-0000-00005B3C0000}"/>
    <cellStyle name="Normal 28 7 4 2" xfId="30057" xr:uid="{00000000-0005-0000-0000-00005C3C0000}"/>
    <cellStyle name="Normal 28 7 5" xfId="22014" xr:uid="{00000000-0005-0000-0000-00005D3C0000}"/>
    <cellStyle name="Normal 28 8" xfId="3931" xr:uid="{00000000-0005-0000-0000-00005E3C0000}"/>
    <cellStyle name="Normal 28 8 2" xfId="8018" xr:uid="{00000000-0005-0000-0000-00005F3C0000}"/>
    <cellStyle name="Normal 28 8 2 2" xfId="17378" xr:uid="{00000000-0005-0000-0000-0000603C0000}"/>
    <cellStyle name="Normal 28 8 2 2 2" xfId="33952" xr:uid="{00000000-0005-0000-0000-0000613C0000}"/>
    <cellStyle name="Normal 28 8 2 3" xfId="25905" xr:uid="{00000000-0005-0000-0000-0000623C0000}"/>
    <cellStyle name="Normal 28 8 3" xfId="13516" xr:uid="{00000000-0005-0000-0000-0000633C0000}"/>
    <cellStyle name="Normal 28 8 3 2" xfId="30059" xr:uid="{00000000-0005-0000-0000-0000643C0000}"/>
    <cellStyle name="Normal 28 8 4" xfId="22016" xr:uid="{00000000-0005-0000-0000-0000653C0000}"/>
    <cellStyle name="Normal 28 9" xfId="8019" xr:uid="{00000000-0005-0000-0000-0000663C0000}"/>
    <cellStyle name="Normal 28 9 2" xfId="17379" xr:uid="{00000000-0005-0000-0000-0000673C0000}"/>
    <cellStyle name="Normal 28 9 2 2" xfId="33953" xr:uid="{00000000-0005-0000-0000-0000683C0000}"/>
    <cellStyle name="Normal 28 9 3" xfId="25906" xr:uid="{00000000-0005-0000-0000-0000693C0000}"/>
    <cellStyle name="Normal 280" xfId="10844" xr:uid="{00000000-0005-0000-0000-00006A3C0000}"/>
    <cellStyle name="Normal 281" xfId="10847" xr:uid="{00000000-0005-0000-0000-00006B3C0000}"/>
    <cellStyle name="Normal 282" xfId="10850" xr:uid="{00000000-0005-0000-0000-00006C3C0000}"/>
    <cellStyle name="Normal 283" xfId="10853" xr:uid="{00000000-0005-0000-0000-00006D3C0000}"/>
    <cellStyle name="Normal 284" xfId="10856" xr:uid="{00000000-0005-0000-0000-00006E3C0000}"/>
    <cellStyle name="Normal 285" xfId="10859" xr:uid="{00000000-0005-0000-0000-00006F3C0000}"/>
    <cellStyle name="Normal 286" xfId="10862" xr:uid="{00000000-0005-0000-0000-0000703C0000}"/>
    <cellStyle name="Normal 287" xfId="10865" xr:uid="{00000000-0005-0000-0000-0000713C0000}"/>
    <cellStyle name="Normal 288" xfId="10868" xr:uid="{00000000-0005-0000-0000-0000723C0000}"/>
    <cellStyle name="Normal 289" xfId="10871" xr:uid="{00000000-0005-0000-0000-0000733C0000}"/>
    <cellStyle name="Normal 29" xfId="3932" xr:uid="{00000000-0005-0000-0000-0000743C0000}"/>
    <cellStyle name="Normal 29 10" xfId="13517" xr:uid="{00000000-0005-0000-0000-0000753C0000}"/>
    <cellStyle name="Normal 29 10 2" xfId="30060" xr:uid="{00000000-0005-0000-0000-0000763C0000}"/>
    <cellStyle name="Normal 29 11" xfId="22017" xr:uid="{00000000-0005-0000-0000-0000773C0000}"/>
    <cellStyle name="Normal 29 2" xfId="3933" xr:uid="{00000000-0005-0000-0000-0000783C0000}"/>
    <cellStyle name="Normal 29 2 2" xfId="3934" xr:uid="{00000000-0005-0000-0000-0000793C0000}"/>
    <cellStyle name="Normal 29 2 3" xfId="13518" xr:uid="{00000000-0005-0000-0000-00007A3C0000}"/>
    <cellStyle name="Normal 29 2 3 2" xfId="30061" xr:uid="{00000000-0005-0000-0000-00007B3C0000}"/>
    <cellStyle name="Normal 29 2 4" xfId="22018" xr:uid="{00000000-0005-0000-0000-00007C3C0000}"/>
    <cellStyle name="Normal 29 3" xfId="3935" xr:uid="{00000000-0005-0000-0000-00007D3C0000}"/>
    <cellStyle name="Normal 29 3 2" xfId="3936" xr:uid="{00000000-0005-0000-0000-00007E3C0000}"/>
    <cellStyle name="Normal 29 3 2 2" xfId="3937" xr:uid="{00000000-0005-0000-0000-00007F3C0000}"/>
    <cellStyle name="Normal 29 3 2 2 2" xfId="3938" xr:uid="{00000000-0005-0000-0000-0000803C0000}"/>
    <cellStyle name="Normal 29 3 2 2 2 2" xfId="8020" xr:uid="{00000000-0005-0000-0000-0000813C0000}"/>
    <cellStyle name="Normal 29 3 2 2 2 2 2" xfId="17380" xr:uid="{00000000-0005-0000-0000-0000823C0000}"/>
    <cellStyle name="Normal 29 3 2 2 2 2 2 2" xfId="33954" xr:uid="{00000000-0005-0000-0000-0000833C0000}"/>
    <cellStyle name="Normal 29 3 2 2 2 2 3" xfId="25907" xr:uid="{00000000-0005-0000-0000-0000843C0000}"/>
    <cellStyle name="Normal 29 3 2 2 2 3" xfId="13521" xr:uid="{00000000-0005-0000-0000-0000853C0000}"/>
    <cellStyle name="Normal 29 3 2 2 2 3 2" xfId="30064" xr:uid="{00000000-0005-0000-0000-0000863C0000}"/>
    <cellStyle name="Normal 29 3 2 2 2 4" xfId="22021" xr:uid="{00000000-0005-0000-0000-0000873C0000}"/>
    <cellStyle name="Normal 29 3 2 2 3" xfId="8021" xr:uid="{00000000-0005-0000-0000-0000883C0000}"/>
    <cellStyle name="Normal 29 3 2 2 3 2" xfId="17381" xr:uid="{00000000-0005-0000-0000-0000893C0000}"/>
    <cellStyle name="Normal 29 3 2 2 3 2 2" xfId="33955" xr:uid="{00000000-0005-0000-0000-00008A3C0000}"/>
    <cellStyle name="Normal 29 3 2 2 3 3" xfId="25908" xr:uid="{00000000-0005-0000-0000-00008B3C0000}"/>
    <cellStyle name="Normal 29 3 2 2 4" xfId="13520" xr:uid="{00000000-0005-0000-0000-00008C3C0000}"/>
    <cellStyle name="Normal 29 3 2 2 4 2" xfId="30063" xr:uid="{00000000-0005-0000-0000-00008D3C0000}"/>
    <cellStyle name="Normal 29 3 2 2 5" xfId="22020" xr:uid="{00000000-0005-0000-0000-00008E3C0000}"/>
    <cellStyle name="Normal 29 3 2 3" xfId="3939" xr:uid="{00000000-0005-0000-0000-00008F3C0000}"/>
    <cellStyle name="Normal 29 3 2 3 2" xfId="8022" xr:uid="{00000000-0005-0000-0000-0000903C0000}"/>
    <cellStyle name="Normal 29 3 2 3 2 2" xfId="17382" xr:uid="{00000000-0005-0000-0000-0000913C0000}"/>
    <cellStyle name="Normal 29 3 2 3 2 2 2" xfId="33956" xr:uid="{00000000-0005-0000-0000-0000923C0000}"/>
    <cellStyle name="Normal 29 3 2 3 2 3" xfId="25909" xr:uid="{00000000-0005-0000-0000-0000933C0000}"/>
    <cellStyle name="Normal 29 3 2 3 3" xfId="13522" xr:uid="{00000000-0005-0000-0000-0000943C0000}"/>
    <cellStyle name="Normal 29 3 2 3 3 2" xfId="30065" xr:uid="{00000000-0005-0000-0000-0000953C0000}"/>
    <cellStyle name="Normal 29 3 2 3 4" xfId="22022" xr:uid="{00000000-0005-0000-0000-0000963C0000}"/>
    <cellStyle name="Normal 29 3 2 4" xfId="8023" xr:uid="{00000000-0005-0000-0000-0000973C0000}"/>
    <cellStyle name="Normal 29 3 2 4 2" xfId="17383" xr:uid="{00000000-0005-0000-0000-0000983C0000}"/>
    <cellStyle name="Normal 29 3 2 4 2 2" xfId="33957" xr:uid="{00000000-0005-0000-0000-0000993C0000}"/>
    <cellStyle name="Normal 29 3 2 4 3" xfId="25910" xr:uid="{00000000-0005-0000-0000-00009A3C0000}"/>
    <cellStyle name="Normal 29 3 2 5" xfId="13519" xr:uid="{00000000-0005-0000-0000-00009B3C0000}"/>
    <cellStyle name="Normal 29 3 2 5 2" xfId="30062" xr:uid="{00000000-0005-0000-0000-00009C3C0000}"/>
    <cellStyle name="Normal 29 3 2 6" xfId="22019" xr:uid="{00000000-0005-0000-0000-00009D3C0000}"/>
    <cellStyle name="Normal 29 3 3" xfId="3940" xr:uid="{00000000-0005-0000-0000-00009E3C0000}"/>
    <cellStyle name="Normal 29 3 3 2" xfId="3941" xr:uid="{00000000-0005-0000-0000-00009F3C0000}"/>
    <cellStyle name="Normal 29 3 3 2 2" xfId="8024" xr:uid="{00000000-0005-0000-0000-0000A03C0000}"/>
    <cellStyle name="Normal 29 3 3 2 2 2" xfId="17384" xr:uid="{00000000-0005-0000-0000-0000A13C0000}"/>
    <cellStyle name="Normal 29 3 3 2 2 2 2" xfId="33958" xr:uid="{00000000-0005-0000-0000-0000A23C0000}"/>
    <cellStyle name="Normal 29 3 3 2 2 3" xfId="25911" xr:uid="{00000000-0005-0000-0000-0000A33C0000}"/>
    <cellStyle name="Normal 29 3 3 2 3" xfId="13524" xr:uid="{00000000-0005-0000-0000-0000A43C0000}"/>
    <cellStyle name="Normal 29 3 3 2 3 2" xfId="30067" xr:uid="{00000000-0005-0000-0000-0000A53C0000}"/>
    <cellStyle name="Normal 29 3 3 2 4" xfId="22024" xr:uid="{00000000-0005-0000-0000-0000A63C0000}"/>
    <cellStyle name="Normal 29 3 3 3" xfId="8025" xr:uid="{00000000-0005-0000-0000-0000A73C0000}"/>
    <cellStyle name="Normal 29 3 3 3 2" xfId="17385" xr:uid="{00000000-0005-0000-0000-0000A83C0000}"/>
    <cellStyle name="Normal 29 3 3 3 2 2" xfId="33959" xr:uid="{00000000-0005-0000-0000-0000A93C0000}"/>
    <cellStyle name="Normal 29 3 3 3 3" xfId="25912" xr:uid="{00000000-0005-0000-0000-0000AA3C0000}"/>
    <cellStyle name="Normal 29 3 3 4" xfId="13523" xr:uid="{00000000-0005-0000-0000-0000AB3C0000}"/>
    <cellStyle name="Normal 29 3 3 4 2" xfId="30066" xr:uid="{00000000-0005-0000-0000-0000AC3C0000}"/>
    <cellStyle name="Normal 29 3 3 5" xfId="22023" xr:uid="{00000000-0005-0000-0000-0000AD3C0000}"/>
    <cellStyle name="Normal 29 3 4" xfId="3942" xr:uid="{00000000-0005-0000-0000-0000AE3C0000}"/>
    <cellStyle name="Normal 29 3 4 2" xfId="8026" xr:uid="{00000000-0005-0000-0000-0000AF3C0000}"/>
    <cellStyle name="Normal 29 3 4 2 2" xfId="17386" xr:uid="{00000000-0005-0000-0000-0000B03C0000}"/>
    <cellStyle name="Normal 29 3 4 2 2 2" xfId="33960" xr:uid="{00000000-0005-0000-0000-0000B13C0000}"/>
    <cellStyle name="Normal 29 3 4 2 3" xfId="25913" xr:uid="{00000000-0005-0000-0000-0000B23C0000}"/>
    <cellStyle name="Normal 29 3 4 3" xfId="13525" xr:uid="{00000000-0005-0000-0000-0000B33C0000}"/>
    <cellStyle name="Normal 29 3 4 3 2" xfId="30068" xr:uid="{00000000-0005-0000-0000-0000B43C0000}"/>
    <cellStyle name="Normal 29 3 4 4" xfId="22025" xr:uid="{00000000-0005-0000-0000-0000B53C0000}"/>
    <cellStyle name="Normal 29 3 5" xfId="3943" xr:uid="{00000000-0005-0000-0000-0000B63C0000}"/>
    <cellStyle name="Normal 29 3 5 2" xfId="13526" xr:uid="{00000000-0005-0000-0000-0000B73C0000}"/>
    <cellStyle name="Normal 29 3 5 2 2" xfId="30069" xr:uid="{00000000-0005-0000-0000-0000B83C0000}"/>
    <cellStyle name="Normal 29 3 5 3" xfId="22026" xr:uid="{00000000-0005-0000-0000-0000B93C0000}"/>
    <cellStyle name="Normal 29 4" xfId="3944" xr:uid="{00000000-0005-0000-0000-0000BA3C0000}"/>
    <cellStyle name="Normal 29 4 2" xfId="3945" xr:uid="{00000000-0005-0000-0000-0000BB3C0000}"/>
    <cellStyle name="Normal 29 4 2 2" xfId="3946" xr:uid="{00000000-0005-0000-0000-0000BC3C0000}"/>
    <cellStyle name="Normal 29 4 2 2 2" xfId="3947" xr:uid="{00000000-0005-0000-0000-0000BD3C0000}"/>
    <cellStyle name="Normal 29 4 2 2 2 2" xfId="8027" xr:uid="{00000000-0005-0000-0000-0000BE3C0000}"/>
    <cellStyle name="Normal 29 4 2 2 2 2 2" xfId="17387" xr:uid="{00000000-0005-0000-0000-0000BF3C0000}"/>
    <cellStyle name="Normal 29 4 2 2 2 2 2 2" xfId="33961" xr:uid="{00000000-0005-0000-0000-0000C03C0000}"/>
    <cellStyle name="Normal 29 4 2 2 2 2 3" xfId="25914" xr:uid="{00000000-0005-0000-0000-0000C13C0000}"/>
    <cellStyle name="Normal 29 4 2 2 2 3" xfId="13530" xr:uid="{00000000-0005-0000-0000-0000C23C0000}"/>
    <cellStyle name="Normal 29 4 2 2 2 3 2" xfId="30073" xr:uid="{00000000-0005-0000-0000-0000C33C0000}"/>
    <cellStyle name="Normal 29 4 2 2 2 4" xfId="22030" xr:uid="{00000000-0005-0000-0000-0000C43C0000}"/>
    <cellStyle name="Normal 29 4 2 2 3" xfId="8028" xr:uid="{00000000-0005-0000-0000-0000C53C0000}"/>
    <cellStyle name="Normal 29 4 2 2 3 2" xfId="17388" xr:uid="{00000000-0005-0000-0000-0000C63C0000}"/>
    <cellStyle name="Normal 29 4 2 2 3 2 2" xfId="33962" xr:uid="{00000000-0005-0000-0000-0000C73C0000}"/>
    <cellStyle name="Normal 29 4 2 2 3 3" xfId="25915" xr:uid="{00000000-0005-0000-0000-0000C83C0000}"/>
    <cellStyle name="Normal 29 4 2 2 4" xfId="13529" xr:uid="{00000000-0005-0000-0000-0000C93C0000}"/>
    <cellStyle name="Normal 29 4 2 2 4 2" xfId="30072" xr:uid="{00000000-0005-0000-0000-0000CA3C0000}"/>
    <cellStyle name="Normal 29 4 2 2 5" xfId="22029" xr:uid="{00000000-0005-0000-0000-0000CB3C0000}"/>
    <cellStyle name="Normal 29 4 2 3" xfId="3948" xr:uid="{00000000-0005-0000-0000-0000CC3C0000}"/>
    <cellStyle name="Normal 29 4 2 3 2" xfId="8029" xr:uid="{00000000-0005-0000-0000-0000CD3C0000}"/>
    <cellStyle name="Normal 29 4 2 3 2 2" xfId="17389" xr:uid="{00000000-0005-0000-0000-0000CE3C0000}"/>
    <cellStyle name="Normal 29 4 2 3 2 2 2" xfId="33963" xr:uid="{00000000-0005-0000-0000-0000CF3C0000}"/>
    <cellStyle name="Normal 29 4 2 3 2 3" xfId="25916" xr:uid="{00000000-0005-0000-0000-0000D03C0000}"/>
    <cellStyle name="Normal 29 4 2 3 3" xfId="13531" xr:uid="{00000000-0005-0000-0000-0000D13C0000}"/>
    <cellStyle name="Normal 29 4 2 3 3 2" xfId="30074" xr:uid="{00000000-0005-0000-0000-0000D23C0000}"/>
    <cellStyle name="Normal 29 4 2 3 4" xfId="22031" xr:uid="{00000000-0005-0000-0000-0000D33C0000}"/>
    <cellStyle name="Normal 29 4 2 4" xfId="8030" xr:uid="{00000000-0005-0000-0000-0000D43C0000}"/>
    <cellStyle name="Normal 29 4 2 4 2" xfId="17390" xr:uid="{00000000-0005-0000-0000-0000D53C0000}"/>
    <cellStyle name="Normal 29 4 2 4 2 2" xfId="33964" xr:uid="{00000000-0005-0000-0000-0000D63C0000}"/>
    <cellStyle name="Normal 29 4 2 4 3" xfId="25917" xr:uid="{00000000-0005-0000-0000-0000D73C0000}"/>
    <cellStyle name="Normal 29 4 2 5" xfId="13528" xr:uid="{00000000-0005-0000-0000-0000D83C0000}"/>
    <cellStyle name="Normal 29 4 2 5 2" xfId="30071" xr:uid="{00000000-0005-0000-0000-0000D93C0000}"/>
    <cellStyle name="Normal 29 4 2 6" xfId="22028" xr:uid="{00000000-0005-0000-0000-0000DA3C0000}"/>
    <cellStyle name="Normal 29 4 3" xfId="3949" xr:uid="{00000000-0005-0000-0000-0000DB3C0000}"/>
    <cellStyle name="Normal 29 4 3 2" xfId="3950" xr:uid="{00000000-0005-0000-0000-0000DC3C0000}"/>
    <cellStyle name="Normal 29 4 3 2 2" xfId="8031" xr:uid="{00000000-0005-0000-0000-0000DD3C0000}"/>
    <cellStyle name="Normal 29 4 3 2 2 2" xfId="17391" xr:uid="{00000000-0005-0000-0000-0000DE3C0000}"/>
    <cellStyle name="Normal 29 4 3 2 2 2 2" xfId="33965" xr:uid="{00000000-0005-0000-0000-0000DF3C0000}"/>
    <cellStyle name="Normal 29 4 3 2 2 3" xfId="25918" xr:uid="{00000000-0005-0000-0000-0000E03C0000}"/>
    <cellStyle name="Normal 29 4 3 2 3" xfId="13533" xr:uid="{00000000-0005-0000-0000-0000E13C0000}"/>
    <cellStyle name="Normal 29 4 3 2 3 2" xfId="30076" xr:uid="{00000000-0005-0000-0000-0000E23C0000}"/>
    <cellStyle name="Normal 29 4 3 2 4" xfId="22033" xr:uid="{00000000-0005-0000-0000-0000E33C0000}"/>
    <cellStyle name="Normal 29 4 3 3" xfId="8032" xr:uid="{00000000-0005-0000-0000-0000E43C0000}"/>
    <cellStyle name="Normal 29 4 3 3 2" xfId="17392" xr:uid="{00000000-0005-0000-0000-0000E53C0000}"/>
    <cellStyle name="Normal 29 4 3 3 2 2" xfId="33966" xr:uid="{00000000-0005-0000-0000-0000E63C0000}"/>
    <cellStyle name="Normal 29 4 3 3 3" xfId="25919" xr:uid="{00000000-0005-0000-0000-0000E73C0000}"/>
    <cellStyle name="Normal 29 4 3 4" xfId="13532" xr:uid="{00000000-0005-0000-0000-0000E83C0000}"/>
    <cellStyle name="Normal 29 4 3 4 2" xfId="30075" xr:uid="{00000000-0005-0000-0000-0000E93C0000}"/>
    <cellStyle name="Normal 29 4 3 5" xfId="22032" xr:uid="{00000000-0005-0000-0000-0000EA3C0000}"/>
    <cellStyle name="Normal 29 4 4" xfId="3951" xr:uid="{00000000-0005-0000-0000-0000EB3C0000}"/>
    <cellStyle name="Normal 29 4 4 2" xfId="8033" xr:uid="{00000000-0005-0000-0000-0000EC3C0000}"/>
    <cellStyle name="Normal 29 4 4 2 2" xfId="17393" xr:uid="{00000000-0005-0000-0000-0000ED3C0000}"/>
    <cellStyle name="Normal 29 4 4 2 2 2" xfId="33967" xr:uid="{00000000-0005-0000-0000-0000EE3C0000}"/>
    <cellStyle name="Normal 29 4 4 2 3" xfId="25920" xr:uid="{00000000-0005-0000-0000-0000EF3C0000}"/>
    <cellStyle name="Normal 29 4 4 3" xfId="13534" xr:uid="{00000000-0005-0000-0000-0000F03C0000}"/>
    <cellStyle name="Normal 29 4 4 3 2" xfId="30077" xr:uid="{00000000-0005-0000-0000-0000F13C0000}"/>
    <cellStyle name="Normal 29 4 4 4" xfId="22034" xr:uid="{00000000-0005-0000-0000-0000F23C0000}"/>
    <cellStyle name="Normal 29 4 5" xfId="8034" xr:uid="{00000000-0005-0000-0000-0000F33C0000}"/>
    <cellStyle name="Normal 29 4 5 2" xfId="17394" xr:uid="{00000000-0005-0000-0000-0000F43C0000}"/>
    <cellStyle name="Normal 29 4 5 2 2" xfId="33968" xr:uid="{00000000-0005-0000-0000-0000F53C0000}"/>
    <cellStyle name="Normal 29 4 5 3" xfId="25921" xr:uid="{00000000-0005-0000-0000-0000F63C0000}"/>
    <cellStyle name="Normal 29 4 6" xfId="13527" xr:uid="{00000000-0005-0000-0000-0000F73C0000}"/>
    <cellStyle name="Normal 29 4 6 2" xfId="30070" xr:uid="{00000000-0005-0000-0000-0000F83C0000}"/>
    <cellStyle name="Normal 29 4 7" xfId="22027" xr:uid="{00000000-0005-0000-0000-0000F93C0000}"/>
    <cellStyle name="Normal 29 5" xfId="3952" xr:uid="{00000000-0005-0000-0000-0000FA3C0000}"/>
    <cellStyle name="Normal 29 5 2" xfId="3953" xr:uid="{00000000-0005-0000-0000-0000FB3C0000}"/>
    <cellStyle name="Normal 29 5 2 2" xfId="3954" xr:uid="{00000000-0005-0000-0000-0000FC3C0000}"/>
    <cellStyle name="Normal 29 5 2 2 2" xfId="3955" xr:uid="{00000000-0005-0000-0000-0000FD3C0000}"/>
    <cellStyle name="Normal 29 5 2 2 2 2" xfId="8035" xr:uid="{00000000-0005-0000-0000-0000FE3C0000}"/>
    <cellStyle name="Normal 29 5 2 2 2 2 2" xfId="17395" xr:uid="{00000000-0005-0000-0000-0000FF3C0000}"/>
    <cellStyle name="Normal 29 5 2 2 2 2 2 2" xfId="33969" xr:uid="{00000000-0005-0000-0000-0000003D0000}"/>
    <cellStyle name="Normal 29 5 2 2 2 2 3" xfId="25922" xr:uid="{00000000-0005-0000-0000-0000013D0000}"/>
    <cellStyle name="Normal 29 5 2 2 2 3" xfId="13538" xr:uid="{00000000-0005-0000-0000-0000023D0000}"/>
    <cellStyle name="Normal 29 5 2 2 2 3 2" xfId="30081" xr:uid="{00000000-0005-0000-0000-0000033D0000}"/>
    <cellStyle name="Normal 29 5 2 2 2 4" xfId="22038" xr:uid="{00000000-0005-0000-0000-0000043D0000}"/>
    <cellStyle name="Normal 29 5 2 2 3" xfId="8036" xr:uid="{00000000-0005-0000-0000-0000053D0000}"/>
    <cellStyle name="Normal 29 5 2 2 3 2" xfId="17396" xr:uid="{00000000-0005-0000-0000-0000063D0000}"/>
    <cellStyle name="Normal 29 5 2 2 3 2 2" xfId="33970" xr:uid="{00000000-0005-0000-0000-0000073D0000}"/>
    <cellStyle name="Normal 29 5 2 2 3 3" xfId="25923" xr:uid="{00000000-0005-0000-0000-0000083D0000}"/>
    <cellStyle name="Normal 29 5 2 2 4" xfId="13537" xr:uid="{00000000-0005-0000-0000-0000093D0000}"/>
    <cellStyle name="Normal 29 5 2 2 4 2" xfId="30080" xr:uid="{00000000-0005-0000-0000-00000A3D0000}"/>
    <cellStyle name="Normal 29 5 2 2 5" xfId="22037" xr:uid="{00000000-0005-0000-0000-00000B3D0000}"/>
    <cellStyle name="Normal 29 5 2 3" xfId="3956" xr:uid="{00000000-0005-0000-0000-00000C3D0000}"/>
    <cellStyle name="Normal 29 5 2 3 2" xfId="8037" xr:uid="{00000000-0005-0000-0000-00000D3D0000}"/>
    <cellStyle name="Normal 29 5 2 3 2 2" xfId="17397" xr:uid="{00000000-0005-0000-0000-00000E3D0000}"/>
    <cellStyle name="Normal 29 5 2 3 2 2 2" xfId="33971" xr:uid="{00000000-0005-0000-0000-00000F3D0000}"/>
    <cellStyle name="Normal 29 5 2 3 2 3" xfId="25924" xr:uid="{00000000-0005-0000-0000-0000103D0000}"/>
    <cellStyle name="Normal 29 5 2 3 3" xfId="13539" xr:uid="{00000000-0005-0000-0000-0000113D0000}"/>
    <cellStyle name="Normal 29 5 2 3 3 2" xfId="30082" xr:uid="{00000000-0005-0000-0000-0000123D0000}"/>
    <cellStyle name="Normal 29 5 2 3 4" xfId="22039" xr:uid="{00000000-0005-0000-0000-0000133D0000}"/>
    <cellStyle name="Normal 29 5 2 4" xfId="8038" xr:uid="{00000000-0005-0000-0000-0000143D0000}"/>
    <cellStyle name="Normal 29 5 2 4 2" xfId="17398" xr:uid="{00000000-0005-0000-0000-0000153D0000}"/>
    <cellStyle name="Normal 29 5 2 4 2 2" xfId="33972" xr:uid="{00000000-0005-0000-0000-0000163D0000}"/>
    <cellStyle name="Normal 29 5 2 4 3" xfId="25925" xr:uid="{00000000-0005-0000-0000-0000173D0000}"/>
    <cellStyle name="Normal 29 5 2 5" xfId="13536" xr:uid="{00000000-0005-0000-0000-0000183D0000}"/>
    <cellStyle name="Normal 29 5 2 5 2" xfId="30079" xr:uid="{00000000-0005-0000-0000-0000193D0000}"/>
    <cellStyle name="Normal 29 5 2 6" xfId="22036" xr:uid="{00000000-0005-0000-0000-00001A3D0000}"/>
    <cellStyle name="Normal 29 5 3" xfId="3957" xr:uid="{00000000-0005-0000-0000-00001B3D0000}"/>
    <cellStyle name="Normal 29 5 3 2" xfId="3958" xr:uid="{00000000-0005-0000-0000-00001C3D0000}"/>
    <cellStyle name="Normal 29 5 3 2 2" xfId="8039" xr:uid="{00000000-0005-0000-0000-00001D3D0000}"/>
    <cellStyle name="Normal 29 5 3 2 2 2" xfId="17399" xr:uid="{00000000-0005-0000-0000-00001E3D0000}"/>
    <cellStyle name="Normal 29 5 3 2 2 2 2" xfId="33973" xr:uid="{00000000-0005-0000-0000-00001F3D0000}"/>
    <cellStyle name="Normal 29 5 3 2 2 3" xfId="25926" xr:uid="{00000000-0005-0000-0000-0000203D0000}"/>
    <cellStyle name="Normal 29 5 3 2 3" xfId="13541" xr:uid="{00000000-0005-0000-0000-0000213D0000}"/>
    <cellStyle name="Normal 29 5 3 2 3 2" xfId="30084" xr:uid="{00000000-0005-0000-0000-0000223D0000}"/>
    <cellStyle name="Normal 29 5 3 2 4" xfId="22041" xr:uid="{00000000-0005-0000-0000-0000233D0000}"/>
    <cellStyle name="Normal 29 5 3 3" xfId="8040" xr:uid="{00000000-0005-0000-0000-0000243D0000}"/>
    <cellStyle name="Normal 29 5 3 3 2" xfId="17400" xr:uid="{00000000-0005-0000-0000-0000253D0000}"/>
    <cellStyle name="Normal 29 5 3 3 2 2" xfId="33974" xr:uid="{00000000-0005-0000-0000-0000263D0000}"/>
    <cellStyle name="Normal 29 5 3 3 3" xfId="25927" xr:uid="{00000000-0005-0000-0000-0000273D0000}"/>
    <cellStyle name="Normal 29 5 3 4" xfId="13540" xr:uid="{00000000-0005-0000-0000-0000283D0000}"/>
    <cellStyle name="Normal 29 5 3 4 2" xfId="30083" xr:uid="{00000000-0005-0000-0000-0000293D0000}"/>
    <cellStyle name="Normal 29 5 3 5" xfId="22040" xr:uid="{00000000-0005-0000-0000-00002A3D0000}"/>
    <cellStyle name="Normal 29 5 4" xfId="3959" xr:uid="{00000000-0005-0000-0000-00002B3D0000}"/>
    <cellStyle name="Normal 29 5 4 2" xfId="8041" xr:uid="{00000000-0005-0000-0000-00002C3D0000}"/>
    <cellStyle name="Normal 29 5 4 2 2" xfId="17401" xr:uid="{00000000-0005-0000-0000-00002D3D0000}"/>
    <cellStyle name="Normal 29 5 4 2 2 2" xfId="33975" xr:uid="{00000000-0005-0000-0000-00002E3D0000}"/>
    <cellStyle name="Normal 29 5 4 2 3" xfId="25928" xr:uid="{00000000-0005-0000-0000-00002F3D0000}"/>
    <cellStyle name="Normal 29 5 4 3" xfId="13542" xr:uid="{00000000-0005-0000-0000-0000303D0000}"/>
    <cellStyle name="Normal 29 5 4 3 2" xfId="30085" xr:uid="{00000000-0005-0000-0000-0000313D0000}"/>
    <cellStyle name="Normal 29 5 4 4" xfId="22042" xr:uid="{00000000-0005-0000-0000-0000323D0000}"/>
    <cellStyle name="Normal 29 5 5" xfId="8042" xr:uid="{00000000-0005-0000-0000-0000333D0000}"/>
    <cellStyle name="Normal 29 5 5 2" xfId="17402" xr:uid="{00000000-0005-0000-0000-0000343D0000}"/>
    <cellStyle name="Normal 29 5 5 2 2" xfId="33976" xr:uid="{00000000-0005-0000-0000-0000353D0000}"/>
    <cellStyle name="Normal 29 5 5 3" xfId="25929" xr:uid="{00000000-0005-0000-0000-0000363D0000}"/>
    <cellStyle name="Normal 29 5 6" xfId="13535" xr:uid="{00000000-0005-0000-0000-0000373D0000}"/>
    <cellStyle name="Normal 29 5 6 2" xfId="30078" xr:uid="{00000000-0005-0000-0000-0000383D0000}"/>
    <cellStyle name="Normal 29 5 7" xfId="22035" xr:uid="{00000000-0005-0000-0000-0000393D0000}"/>
    <cellStyle name="Normal 29 6" xfId="3960" xr:uid="{00000000-0005-0000-0000-00003A3D0000}"/>
    <cellStyle name="Normal 29 6 2" xfId="3961" xr:uid="{00000000-0005-0000-0000-00003B3D0000}"/>
    <cellStyle name="Normal 29 6 2 2" xfId="3962" xr:uid="{00000000-0005-0000-0000-00003C3D0000}"/>
    <cellStyle name="Normal 29 6 2 2 2" xfId="8043" xr:uid="{00000000-0005-0000-0000-00003D3D0000}"/>
    <cellStyle name="Normal 29 6 2 2 2 2" xfId="17403" xr:uid="{00000000-0005-0000-0000-00003E3D0000}"/>
    <cellStyle name="Normal 29 6 2 2 2 2 2" xfId="33977" xr:uid="{00000000-0005-0000-0000-00003F3D0000}"/>
    <cellStyle name="Normal 29 6 2 2 2 3" xfId="25930" xr:uid="{00000000-0005-0000-0000-0000403D0000}"/>
    <cellStyle name="Normal 29 6 2 2 3" xfId="13545" xr:uid="{00000000-0005-0000-0000-0000413D0000}"/>
    <cellStyle name="Normal 29 6 2 2 3 2" xfId="30088" xr:uid="{00000000-0005-0000-0000-0000423D0000}"/>
    <cellStyle name="Normal 29 6 2 2 4" xfId="22045" xr:uid="{00000000-0005-0000-0000-0000433D0000}"/>
    <cellStyle name="Normal 29 6 2 3" xfId="8044" xr:uid="{00000000-0005-0000-0000-0000443D0000}"/>
    <cellStyle name="Normal 29 6 2 3 2" xfId="17404" xr:uid="{00000000-0005-0000-0000-0000453D0000}"/>
    <cellStyle name="Normal 29 6 2 3 2 2" xfId="33978" xr:uid="{00000000-0005-0000-0000-0000463D0000}"/>
    <cellStyle name="Normal 29 6 2 3 3" xfId="25931" xr:uid="{00000000-0005-0000-0000-0000473D0000}"/>
    <cellStyle name="Normal 29 6 2 4" xfId="13544" xr:uid="{00000000-0005-0000-0000-0000483D0000}"/>
    <cellStyle name="Normal 29 6 2 4 2" xfId="30087" xr:uid="{00000000-0005-0000-0000-0000493D0000}"/>
    <cellStyle name="Normal 29 6 2 5" xfId="22044" xr:uid="{00000000-0005-0000-0000-00004A3D0000}"/>
    <cellStyle name="Normal 29 6 3" xfId="3963" xr:uid="{00000000-0005-0000-0000-00004B3D0000}"/>
    <cellStyle name="Normal 29 6 3 2" xfId="8045" xr:uid="{00000000-0005-0000-0000-00004C3D0000}"/>
    <cellStyle name="Normal 29 6 3 2 2" xfId="17405" xr:uid="{00000000-0005-0000-0000-00004D3D0000}"/>
    <cellStyle name="Normal 29 6 3 2 2 2" xfId="33979" xr:uid="{00000000-0005-0000-0000-00004E3D0000}"/>
    <cellStyle name="Normal 29 6 3 2 3" xfId="25932" xr:uid="{00000000-0005-0000-0000-00004F3D0000}"/>
    <cellStyle name="Normal 29 6 3 3" xfId="13546" xr:uid="{00000000-0005-0000-0000-0000503D0000}"/>
    <cellStyle name="Normal 29 6 3 3 2" xfId="30089" xr:uid="{00000000-0005-0000-0000-0000513D0000}"/>
    <cellStyle name="Normal 29 6 3 4" xfId="22046" xr:uid="{00000000-0005-0000-0000-0000523D0000}"/>
    <cellStyle name="Normal 29 6 4" xfId="8046" xr:uid="{00000000-0005-0000-0000-0000533D0000}"/>
    <cellStyle name="Normal 29 6 4 2" xfId="17406" xr:uid="{00000000-0005-0000-0000-0000543D0000}"/>
    <cellStyle name="Normal 29 6 4 2 2" xfId="33980" xr:uid="{00000000-0005-0000-0000-0000553D0000}"/>
    <cellStyle name="Normal 29 6 4 3" xfId="25933" xr:uid="{00000000-0005-0000-0000-0000563D0000}"/>
    <cellStyle name="Normal 29 6 5" xfId="13543" xr:uid="{00000000-0005-0000-0000-0000573D0000}"/>
    <cellStyle name="Normal 29 6 5 2" xfId="30086" xr:uid="{00000000-0005-0000-0000-0000583D0000}"/>
    <cellStyle name="Normal 29 6 6" xfId="22043" xr:uid="{00000000-0005-0000-0000-0000593D0000}"/>
    <cellStyle name="Normal 29 7" xfId="3964" xr:uid="{00000000-0005-0000-0000-00005A3D0000}"/>
    <cellStyle name="Normal 29 7 2" xfId="3965" xr:uid="{00000000-0005-0000-0000-00005B3D0000}"/>
    <cellStyle name="Normal 29 7 2 2" xfId="8047" xr:uid="{00000000-0005-0000-0000-00005C3D0000}"/>
    <cellStyle name="Normal 29 7 2 2 2" xfId="17407" xr:uid="{00000000-0005-0000-0000-00005D3D0000}"/>
    <cellStyle name="Normal 29 7 2 2 2 2" xfId="33981" xr:uid="{00000000-0005-0000-0000-00005E3D0000}"/>
    <cellStyle name="Normal 29 7 2 2 3" xfId="25934" xr:uid="{00000000-0005-0000-0000-00005F3D0000}"/>
    <cellStyle name="Normal 29 7 2 3" xfId="13548" xr:uid="{00000000-0005-0000-0000-0000603D0000}"/>
    <cellStyle name="Normal 29 7 2 3 2" xfId="30091" xr:uid="{00000000-0005-0000-0000-0000613D0000}"/>
    <cellStyle name="Normal 29 7 2 4" xfId="22048" xr:uid="{00000000-0005-0000-0000-0000623D0000}"/>
    <cellStyle name="Normal 29 7 3" xfId="8048" xr:uid="{00000000-0005-0000-0000-0000633D0000}"/>
    <cellStyle name="Normal 29 7 3 2" xfId="17408" xr:uid="{00000000-0005-0000-0000-0000643D0000}"/>
    <cellStyle name="Normal 29 7 3 2 2" xfId="33982" xr:uid="{00000000-0005-0000-0000-0000653D0000}"/>
    <cellStyle name="Normal 29 7 3 3" xfId="25935" xr:uid="{00000000-0005-0000-0000-0000663D0000}"/>
    <cellStyle name="Normal 29 7 4" xfId="13547" xr:uid="{00000000-0005-0000-0000-0000673D0000}"/>
    <cellStyle name="Normal 29 7 4 2" xfId="30090" xr:uid="{00000000-0005-0000-0000-0000683D0000}"/>
    <cellStyle name="Normal 29 7 5" xfId="22047" xr:uid="{00000000-0005-0000-0000-0000693D0000}"/>
    <cellStyle name="Normal 29 8" xfId="3966" xr:uid="{00000000-0005-0000-0000-00006A3D0000}"/>
    <cellStyle name="Normal 29 8 2" xfId="8049" xr:uid="{00000000-0005-0000-0000-00006B3D0000}"/>
    <cellStyle name="Normal 29 8 2 2" xfId="17409" xr:uid="{00000000-0005-0000-0000-00006C3D0000}"/>
    <cellStyle name="Normal 29 8 2 2 2" xfId="33983" xr:uid="{00000000-0005-0000-0000-00006D3D0000}"/>
    <cellStyle name="Normal 29 8 2 3" xfId="25936" xr:uid="{00000000-0005-0000-0000-00006E3D0000}"/>
    <cellStyle name="Normal 29 8 3" xfId="13549" xr:uid="{00000000-0005-0000-0000-00006F3D0000}"/>
    <cellStyle name="Normal 29 8 3 2" xfId="30092" xr:uid="{00000000-0005-0000-0000-0000703D0000}"/>
    <cellStyle name="Normal 29 8 4" xfId="22049" xr:uid="{00000000-0005-0000-0000-0000713D0000}"/>
    <cellStyle name="Normal 29 9" xfId="8050" xr:uid="{00000000-0005-0000-0000-0000723D0000}"/>
    <cellStyle name="Normal 29 9 2" xfId="17410" xr:uid="{00000000-0005-0000-0000-0000733D0000}"/>
    <cellStyle name="Normal 29 9 2 2" xfId="33984" xr:uid="{00000000-0005-0000-0000-0000743D0000}"/>
    <cellStyle name="Normal 29 9 3" xfId="25937" xr:uid="{00000000-0005-0000-0000-0000753D0000}"/>
    <cellStyle name="Normal 290" xfId="10874" xr:uid="{00000000-0005-0000-0000-0000763D0000}"/>
    <cellStyle name="Normal 291" xfId="10877" xr:uid="{00000000-0005-0000-0000-0000773D0000}"/>
    <cellStyle name="Normal 292" xfId="10900" xr:uid="{00000000-0005-0000-0000-0000783D0000}"/>
    <cellStyle name="Normal 293" xfId="10919" xr:uid="{00000000-0005-0000-0000-0000793D0000}"/>
    <cellStyle name="Normal 294" xfId="10893" xr:uid="{00000000-0005-0000-0000-00007A3D0000}"/>
    <cellStyle name="Normal 295" xfId="10918" xr:uid="{00000000-0005-0000-0000-00007B3D0000}"/>
    <cellStyle name="Normal 296" xfId="10911" xr:uid="{00000000-0005-0000-0000-00007C3D0000}"/>
    <cellStyle name="Normal 297" xfId="10917" xr:uid="{00000000-0005-0000-0000-00007D3D0000}"/>
    <cellStyle name="Normal 298" xfId="10913" xr:uid="{00000000-0005-0000-0000-00007E3D0000}"/>
    <cellStyle name="Normal 299" xfId="10916" xr:uid="{00000000-0005-0000-0000-00007F3D0000}"/>
    <cellStyle name="Normal 3" xfId="23" xr:uid="{00000000-0005-0000-0000-0000803D0000}"/>
    <cellStyle name="Normal 3 2" xfId="5" xr:uid="{00000000-0005-0000-0000-0000813D0000}"/>
    <cellStyle name="Normal 3 2 2" xfId="218" xr:uid="{00000000-0005-0000-0000-0000823D0000}"/>
    <cellStyle name="Normal 3 2 2 2" xfId="8051" xr:uid="{00000000-0005-0000-0000-0000833D0000}"/>
    <cellStyle name="Normal 3 2 2 3" xfId="3968" xr:uid="{00000000-0005-0000-0000-0000843D0000}"/>
    <cellStyle name="Normal 3 2 2 3 2" xfId="30093" xr:uid="{00000000-0005-0000-0000-0000853D0000}"/>
    <cellStyle name="Normal 3 2 2 4" xfId="22050" xr:uid="{00000000-0005-0000-0000-0000863D0000}"/>
    <cellStyle name="Normal 3 2 3" xfId="77" xr:uid="{00000000-0005-0000-0000-0000873D0000}"/>
    <cellStyle name="Normal 3 2 3 2" xfId="10901" xr:uid="{00000000-0005-0000-0000-0000883D0000}"/>
    <cellStyle name="Normal 3 3" xfId="219" xr:uid="{00000000-0005-0000-0000-0000893D0000}"/>
    <cellStyle name="Normal 3 3 2" xfId="220" xr:uid="{00000000-0005-0000-0000-00008A3D0000}"/>
    <cellStyle name="Normal 3 3 2 2" xfId="3970" xr:uid="{00000000-0005-0000-0000-00008B3D0000}"/>
    <cellStyle name="Normal 3 3 3" xfId="6631" xr:uid="{00000000-0005-0000-0000-00008C3D0000}"/>
    <cellStyle name="Normal 3 3 3 2" xfId="16026" xr:uid="{00000000-0005-0000-0000-00008D3D0000}"/>
    <cellStyle name="Normal 3 3 3 2 2" xfId="32598" xr:uid="{00000000-0005-0000-0000-00008E3D0000}"/>
    <cellStyle name="Normal 3 3 3 3" xfId="24551" xr:uid="{00000000-0005-0000-0000-00008F3D0000}"/>
    <cellStyle name="Normal 3 3 4" xfId="3969" xr:uid="{00000000-0005-0000-0000-0000903D0000}"/>
    <cellStyle name="Normal 3 4" xfId="221" xr:uid="{00000000-0005-0000-0000-0000913D0000}"/>
    <cellStyle name="Normal 3 4 2" xfId="222" xr:uid="{00000000-0005-0000-0000-0000923D0000}"/>
    <cellStyle name="Normal 3 4 2 2" xfId="19749" xr:uid="{00000000-0005-0000-0000-0000933D0000}"/>
    <cellStyle name="Normal 3 4 2 2 2" xfId="36325" xr:uid="{00000000-0005-0000-0000-0000943D0000}"/>
    <cellStyle name="Normal 3 4 2 3" xfId="28279" xr:uid="{00000000-0005-0000-0000-0000953D0000}"/>
    <cellStyle name="Normal 3 4 3" xfId="3967" xr:uid="{00000000-0005-0000-0000-0000963D0000}"/>
    <cellStyle name="Normal 3 5" xfId="223" xr:uid="{00000000-0005-0000-0000-0000973D0000}"/>
    <cellStyle name="Normal 3 6" xfId="380" xr:uid="{00000000-0005-0000-0000-0000983D0000}"/>
    <cellStyle name="Normal 3 6 2" xfId="2141" xr:uid="{00000000-0005-0000-0000-0000993D0000}"/>
    <cellStyle name="Normal 3 7" xfId="1675" xr:uid="{00000000-0005-0000-0000-00009A3D0000}"/>
    <cellStyle name="Normal 3 8" xfId="1933" xr:uid="{00000000-0005-0000-0000-00009B3D0000}"/>
    <cellStyle name="Normal 30" xfId="3971" xr:uid="{00000000-0005-0000-0000-00009C3D0000}"/>
    <cellStyle name="Normal 30 10" xfId="13550" xr:uid="{00000000-0005-0000-0000-00009D3D0000}"/>
    <cellStyle name="Normal 30 10 2" xfId="30094" xr:uid="{00000000-0005-0000-0000-00009E3D0000}"/>
    <cellStyle name="Normal 30 11" xfId="22051" xr:uid="{00000000-0005-0000-0000-00009F3D0000}"/>
    <cellStyle name="Normal 30 2" xfId="3972" xr:uid="{00000000-0005-0000-0000-0000A03D0000}"/>
    <cellStyle name="Normal 30 2 2" xfId="3973" xr:uid="{00000000-0005-0000-0000-0000A13D0000}"/>
    <cellStyle name="Normal 30 2 3" xfId="13551" xr:uid="{00000000-0005-0000-0000-0000A23D0000}"/>
    <cellStyle name="Normal 30 2 3 2" xfId="30095" xr:uid="{00000000-0005-0000-0000-0000A33D0000}"/>
    <cellStyle name="Normal 30 2 4" xfId="22052" xr:uid="{00000000-0005-0000-0000-0000A43D0000}"/>
    <cellStyle name="Normal 30 3" xfId="3974" xr:uid="{00000000-0005-0000-0000-0000A53D0000}"/>
    <cellStyle name="Normal 30 3 2" xfId="3975" xr:uid="{00000000-0005-0000-0000-0000A63D0000}"/>
    <cellStyle name="Normal 30 3 2 2" xfId="3976" xr:uid="{00000000-0005-0000-0000-0000A73D0000}"/>
    <cellStyle name="Normal 30 3 2 2 2" xfId="3977" xr:uid="{00000000-0005-0000-0000-0000A83D0000}"/>
    <cellStyle name="Normal 30 3 2 2 2 2" xfId="8052" xr:uid="{00000000-0005-0000-0000-0000A93D0000}"/>
    <cellStyle name="Normal 30 3 2 2 2 2 2" xfId="17411" xr:uid="{00000000-0005-0000-0000-0000AA3D0000}"/>
    <cellStyle name="Normal 30 3 2 2 2 2 2 2" xfId="33985" xr:uid="{00000000-0005-0000-0000-0000AB3D0000}"/>
    <cellStyle name="Normal 30 3 2 2 2 2 3" xfId="25938" xr:uid="{00000000-0005-0000-0000-0000AC3D0000}"/>
    <cellStyle name="Normal 30 3 2 2 2 3" xfId="13554" xr:uid="{00000000-0005-0000-0000-0000AD3D0000}"/>
    <cellStyle name="Normal 30 3 2 2 2 3 2" xfId="30098" xr:uid="{00000000-0005-0000-0000-0000AE3D0000}"/>
    <cellStyle name="Normal 30 3 2 2 2 4" xfId="22055" xr:uid="{00000000-0005-0000-0000-0000AF3D0000}"/>
    <cellStyle name="Normal 30 3 2 2 3" xfId="8053" xr:uid="{00000000-0005-0000-0000-0000B03D0000}"/>
    <cellStyle name="Normal 30 3 2 2 3 2" xfId="17412" xr:uid="{00000000-0005-0000-0000-0000B13D0000}"/>
    <cellStyle name="Normal 30 3 2 2 3 2 2" xfId="33986" xr:uid="{00000000-0005-0000-0000-0000B23D0000}"/>
    <cellStyle name="Normal 30 3 2 2 3 3" xfId="25939" xr:uid="{00000000-0005-0000-0000-0000B33D0000}"/>
    <cellStyle name="Normal 30 3 2 2 4" xfId="13553" xr:uid="{00000000-0005-0000-0000-0000B43D0000}"/>
    <cellStyle name="Normal 30 3 2 2 4 2" xfId="30097" xr:uid="{00000000-0005-0000-0000-0000B53D0000}"/>
    <cellStyle name="Normal 30 3 2 2 5" xfId="22054" xr:uid="{00000000-0005-0000-0000-0000B63D0000}"/>
    <cellStyle name="Normal 30 3 2 3" xfId="3978" xr:uid="{00000000-0005-0000-0000-0000B73D0000}"/>
    <cellStyle name="Normal 30 3 2 3 2" xfId="8054" xr:uid="{00000000-0005-0000-0000-0000B83D0000}"/>
    <cellStyle name="Normal 30 3 2 3 2 2" xfId="17413" xr:uid="{00000000-0005-0000-0000-0000B93D0000}"/>
    <cellStyle name="Normal 30 3 2 3 2 2 2" xfId="33987" xr:uid="{00000000-0005-0000-0000-0000BA3D0000}"/>
    <cellStyle name="Normal 30 3 2 3 2 3" xfId="25940" xr:uid="{00000000-0005-0000-0000-0000BB3D0000}"/>
    <cellStyle name="Normal 30 3 2 3 3" xfId="13555" xr:uid="{00000000-0005-0000-0000-0000BC3D0000}"/>
    <cellStyle name="Normal 30 3 2 3 3 2" xfId="30099" xr:uid="{00000000-0005-0000-0000-0000BD3D0000}"/>
    <cellStyle name="Normal 30 3 2 3 4" xfId="22056" xr:uid="{00000000-0005-0000-0000-0000BE3D0000}"/>
    <cellStyle name="Normal 30 3 2 4" xfId="8055" xr:uid="{00000000-0005-0000-0000-0000BF3D0000}"/>
    <cellStyle name="Normal 30 3 2 4 2" xfId="17414" xr:uid="{00000000-0005-0000-0000-0000C03D0000}"/>
    <cellStyle name="Normal 30 3 2 4 2 2" xfId="33988" xr:uid="{00000000-0005-0000-0000-0000C13D0000}"/>
    <cellStyle name="Normal 30 3 2 4 3" xfId="25941" xr:uid="{00000000-0005-0000-0000-0000C23D0000}"/>
    <cellStyle name="Normal 30 3 2 5" xfId="13552" xr:uid="{00000000-0005-0000-0000-0000C33D0000}"/>
    <cellStyle name="Normal 30 3 2 5 2" xfId="30096" xr:uid="{00000000-0005-0000-0000-0000C43D0000}"/>
    <cellStyle name="Normal 30 3 2 6" xfId="22053" xr:uid="{00000000-0005-0000-0000-0000C53D0000}"/>
    <cellStyle name="Normal 30 3 3" xfId="3979" xr:uid="{00000000-0005-0000-0000-0000C63D0000}"/>
    <cellStyle name="Normal 30 3 3 2" xfId="3980" xr:uid="{00000000-0005-0000-0000-0000C73D0000}"/>
    <cellStyle name="Normal 30 3 3 2 2" xfId="8056" xr:uid="{00000000-0005-0000-0000-0000C83D0000}"/>
    <cellStyle name="Normal 30 3 3 2 2 2" xfId="17415" xr:uid="{00000000-0005-0000-0000-0000C93D0000}"/>
    <cellStyle name="Normal 30 3 3 2 2 2 2" xfId="33989" xr:uid="{00000000-0005-0000-0000-0000CA3D0000}"/>
    <cellStyle name="Normal 30 3 3 2 2 3" xfId="25942" xr:uid="{00000000-0005-0000-0000-0000CB3D0000}"/>
    <cellStyle name="Normal 30 3 3 2 3" xfId="13557" xr:uid="{00000000-0005-0000-0000-0000CC3D0000}"/>
    <cellStyle name="Normal 30 3 3 2 3 2" xfId="30101" xr:uid="{00000000-0005-0000-0000-0000CD3D0000}"/>
    <cellStyle name="Normal 30 3 3 2 4" xfId="22058" xr:uid="{00000000-0005-0000-0000-0000CE3D0000}"/>
    <cellStyle name="Normal 30 3 3 3" xfId="8057" xr:uid="{00000000-0005-0000-0000-0000CF3D0000}"/>
    <cellStyle name="Normal 30 3 3 3 2" xfId="17416" xr:uid="{00000000-0005-0000-0000-0000D03D0000}"/>
    <cellStyle name="Normal 30 3 3 3 2 2" xfId="33990" xr:uid="{00000000-0005-0000-0000-0000D13D0000}"/>
    <cellStyle name="Normal 30 3 3 3 3" xfId="25943" xr:uid="{00000000-0005-0000-0000-0000D23D0000}"/>
    <cellStyle name="Normal 30 3 3 4" xfId="13556" xr:uid="{00000000-0005-0000-0000-0000D33D0000}"/>
    <cellStyle name="Normal 30 3 3 4 2" xfId="30100" xr:uid="{00000000-0005-0000-0000-0000D43D0000}"/>
    <cellStyle name="Normal 30 3 3 5" xfId="22057" xr:uid="{00000000-0005-0000-0000-0000D53D0000}"/>
    <cellStyle name="Normal 30 3 4" xfId="3981" xr:uid="{00000000-0005-0000-0000-0000D63D0000}"/>
    <cellStyle name="Normal 30 3 4 2" xfId="8058" xr:uid="{00000000-0005-0000-0000-0000D73D0000}"/>
    <cellStyle name="Normal 30 3 4 2 2" xfId="17417" xr:uid="{00000000-0005-0000-0000-0000D83D0000}"/>
    <cellStyle name="Normal 30 3 4 2 2 2" xfId="33991" xr:uid="{00000000-0005-0000-0000-0000D93D0000}"/>
    <cellStyle name="Normal 30 3 4 2 3" xfId="25944" xr:uid="{00000000-0005-0000-0000-0000DA3D0000}"/>
    <cellStyle name="Normal 30 3 4 3" xfId="13558" xr:uid="{00000000-0005-0000-0000-0000DB3D0000}"/>
    <cellStyle name="Normal 30 3 4 3 2" xfId="30102" xr:uid="{00000000-0005-0000-0000-0000DC3D0000}"/>
    <cellStyle name="Normal 30 3 4 4" xfId="22059" xr:uid="{00000000-0005-0000-0000-0000DD3D0000}"/>
    <cellStyle name="Normal 30 3 5" xfId="3982" xr:uid="{00000000-0005-0000-0000-0000DE3D0000}"/>
    <cellStyle name="Normal 30 3 5 2" xfId="13559" xr:uid="{00000000-0005-0000-0000-0000DF3D0000}"/>
    <cellStyle name="Normal 30 3 5 2 2" xfId="30103" xr:uid="{00000000-0005-0000-0000-0000E03D0000}"/>
    <cellStyle name="Normal 30 3 5 3" xfId="22060" xr:uid="{00000000-0005-0000-0000-0000E13D0000}"/>
    <cellStyle name="Normal 30 4" xfId="3983" xr:uid="{00000000-0005-0000-0000-0000E23D0000}"/>
    <cellStyle name="Normal 30 4 2" xfId="3984" xr:uid="{00000000-0005-0000-0000-0000E33D0000}"/>
    <cellStyle name="Normal 30 4 2 2" xfId="3985" xr:uid="{00000000-0005-0000-0000-0000E43D0000}"/>
    <cellStyle name="Normal 30 4 2 2 2" xfId="3986" xr:uid="{00000000-0005-0000-0000-0000E53D0000}"/>
    <cellStyle name="Normal 30 4 2 2 2 2" xfId="8059" xr:uid="{00000000-0005-0000-0000-0000E63D0000}"/>
    <cellStyle name="Normal 30 4 2 2 2 2 2" xfId="17418" xr:uid="{00000000-0005-0000-0000-0000E73D0000}"/>
    <cellStyle name="Normal 30 4 2 2 2 2 2 2" xfId="33992" xr:uid="{00000000-0005-0000-0000-0000E83D0000}"/>
    <cellStyle name="Normal 30 4 2 2 2 2 3" xfId="25945" xr:uid="{00000000-0005-0000-0000-0000E93D0000}"/>
    <cellStyle name="Normal 30 4 2 2 2 3" xfId="13563" xr:uid="{00000000-0005-0000-0000-0000EA3D0000}"/>
    <cellStyle name="Normal 30 4 2 2 2 3 2" xfId="30107" xr:uid="{00000000-0005-0000-0000-0000EB3D0000}"/>
    <cellStyle name="Normal 30 4 2 2 2 4" xfId="22064" xr:uid="{00000000-0005-0000-0000-0000EC3D0000}"/>
    <cellStyle name="Normal 30 4 2 2 3" xfId="8060" xr:uid="{00000000-0005-0000-0000-0000ED3D0000}"/>
    <cellStyle name="Normal 30 4 2 2 3 2" xfId="17419" xr:uid="{00000000-0005-0000-0000-0000EE3D0000}"/>
    <cellStyle name="Normal 30 4 2 2 3 2 2" xfId="33993" xr:uid="{00000000-0005-0000-0000-0000EF3D0000}"/>
    <cellStyle name="Normal 30 4 2 2 3 3" xfId="25946" xr:uid="{00000000-0005-0000-0000-0000F03D0000}"/>
    <cellStyle name="Normal 30 4 2 2 4" xfId="13562" xr:uid="{00000000-0005-0000-0000-0000F13D0000}"/>
    <cellStyle name="Normal 30 4 2 2 4 2" xfId="30106" xr:uid="{00000000-0005-0000-0000-0000F23D0000}"/>
    <cellStyle name="Normal 30 4 2 2 5" xfId="22063" xr:uid="{00000000-0005-0000-0000-0000F33D0000}"/>
    <cellStyle name="Normal 30 4 2 3" xfId="3987" xr:uid="{00000000-0005-0000-0000-0000F43D0000}"/>
    <cellStyle name="Normal 30 4 2 3 2" xfId="8061" xr:uid="{00000000-0005-0000-0000-0000F53D0000}"/>
    <cellStyle name="Normal 30 4 2 3 2 2" xfId="17420" xr:uid="{00000000-0005-0000-0000-0000F63D0000}"/>
    <cellStyle name="Normal 30 4 2 3 2 2 2" xfId="33994" xr:uid="{00000000-0005-0000-0000-0000F73D0000}"/>
    <cellStyle name="Normal 30 4 2 3 2 3" xfId="25947" xr:uid="{00000000-0005-0000-0000-0000F83D0000}"/>
    <cellStyle name="Normal 30 4 2 3 3" xfId="13564" xr:uid="{00000000-0005-0000-0000-0000F93D0000}"/>
    <cellStyle name="Normal 30 4 2 3 3 2" xfId="30108" xr:uid="{00000000-0005-0000-0000-0000FA3D0000}"/>
    <cellStyle name="Normal 30 4 2 3 4" xfId="22065" xr:uid="{00000000-0005-0000-0000-0000FB3D0000}"/>
    <cellStyle name="Normal 30 4 2 4" xfId="8062" xr:uid="{00000000-0005-0000-0000-0000FC3D0000}"/>
    <cellStyle name="Normal 30 4 2 4 2" xfId="17421" xr:uid="{00000000-0005-0000-0000-0000FD3D0000}"/>
    <cellStyle name="Normal 30 4 2 4 2 2" xfId="33995" xr:uid="{00000000-0005-0000-0000-0000FE3D0000}"/>
    <cellStyle name="Normal 30 4 2 4 3" xfId="25948" xr:uid="{00000000-0005-0000-0000-0000FF3D0000}"/>
    <cellStyle name="Normal 30 4 2 5" xfId="13561" xr:uid="{00000000-0005-0000-0000-0000003E0000}"/>
    <cellStyle name="Normal 30 4 2 5 2" xfId="30105" xr:uid="{00000000-0005-0000-0000-0000013E0000}"/>
    <cellStyle name="Normal 30 4 2 6" xfId="22062" xr:uid="{00000000-0005-0000-0000-0000023E0000}"/>
    <cellStyle name="Normal 30 4 3" xfId="3988" xr:uid="{00000000-0005-0000-0000-0000033E0000}"/>
    <cellStyle name="Normal 30 4 3 2" xfId="3989" xr:uid="{00000000-0005-0000-0000-0000043E0000}"/>
    <cellStyle name="Normal 30 4 3 2 2" xfId="8063" xr:uid="{00000000-0005-0000-0000-0000053E0000}"/>
    <cellStyle name="Normal 30 4 3 2 2 2" xfId="17422" xr:uid="{00000000-0005-0000-0000-0000063E0000}"/>
    <cellStyle name="Normal 30 4 3 2 2 2 2" xfId="33996" xr:uid="{00000000-0005-0000-0000-0000073E0000}"/>
    <cellStyle name="Normal 30 4 3 2 2 3" xfId="25949" xr:uid="{00000000-0005-0000-0000-0000083E0000}"/>
    <cellStyle name="Normal 30 4 3 2 3" xfId="13566" xr:uid="{00000000-0005-0000-0000-0000093E0000}"/>
    <cellStyle name="Normal 30 4 3 2 3 2" xfId="30110" xr:uid="{00000000-0005-0000-0000-00000A3E0000}"/>
    <cellStyle name="Normal 30 4 3 2 4" xfId="22067" xr:uid="{00000000-0005-0000-0000-00000B3E0000}"/>
    <cellStyle name="Normal 30 4 3 3" xfId="8064" xr:uid="{00000000-0005-0000-0000-00000C3E0000}"/>
    <cellStyle name="Normal 30 4 3 3 2" xfId="17423" xr:uid="{00000000-0005-0000-0000-00000D3E0000}"/>
    <cellStyle name="Normal 30 4 3 3 2 2" xfId="33997" xr:uid="{00000000-0005-0000-0000-00000E3E0000}"/>
    <cellStyle name="Normal 30 4 3 3 3" xfId="25950" xr:uid="{00000000-0005-0000-0000-00000F3E0000}"/>
    <cellStyle name="Normal 30 4 3 4" xfId="13565" xr:uid="{00000000-0005-0000-0000-0000103E0000}"/>
    <cellStyle name="Normal 30 4 3 4 2" xfId="30109" xr:uid="{00000000-0005-0000-0000-0000113E0000}"/>
    <cellStyle name="Normal 30 4 3 5" xfId="22066" xr:uid="{00000000-0005-0000-0000-0000123E0000}"/>
    <cellStyle name="Normal 30 4 4" xfId="3990" xr:uid="{00000000-0005-0000-0000-0000133E0000}"/>
    <cellStyle name="Normal 30 4 4 2" xfId="8065" xr:uid="{00000000-0005-0000-0000-0000143E0000}"/>
    <cellStyle name="Normal 30 4 4 2 2" xfId="17424" xr:uid="{00000000-0005-0000-0000-0000153E0000}"/>
    <cellStyle name="Normal 30 4 4 2 2 2" xfId="33998" xr:uid="{00000000-0005-0000-0000-0000163E0000}"/>
    <cellStyle name="Normal 30 4 4 2 3" xfId="25951" xr:uid="{00000000-0005-0000-0000-0000173E0000}"/>
    <cellStyle name="Normal 30 4 4 3" xfId="13567" xr:uid="{00000000-0005-0000-0000-0000183E0000}"/>
    <cellStyle name="Normal 30 4 4 3 2" xfId="30111" xr:uid="{00000000-0005-0000-0000-0000193E0000}"/>
    <cellStyle name="Normal 30 4 4 4" xfId="22068" xr:uid="{00000000-0005-0000-0000-00001A3E0000}"/>
    <cellStyle name="Normal 30 4 5" xfId="8066" xr:uid="{00000000-0005-0000-0000-00001B3E0000}"/>
    <cellStyle name="Normal 30 4 5 2" xfId="17425" xr:uid="{00000000-0005-0000-0000-00001C3E0000}"/>
    <cellStyle name="Normal 30 4 5 2 2" xfId="33999" xr:uid="{00000000-0005-0000-0000-00001D3E0000}"/>
    <cellStyle name="Normal 30 4 5 3" xfId="25952" xr:uid="{00000000-0005-0000-0000-00001E3E0000}"/>
    <cellStyle name="Normal 30 4 6" xfId="13560" xr:uid="{00000000-0005-0000-0000-00001F3E0000}"/>
    <cellStyle name="Normal 30 4 6 2" xfId="30104" xr:uid="{00000000-0005-0000-0000-0000203E0000}"/>
    <cellStyle name="Normal 30 4 7" xfId="22061" xr:uid="{00000000-0005-0000-0000-0000213E0000}"/>
    <cellStyle name="Normal 30 5" xfId="3991" xr:uid="{00000000-0005-0000-0000-0000223E0000}"/>
    <cellStyle name="Normal 30 5 2" xfId="3992" xr:uid="{00000000-0005-0000-0000-0000233E0000}"/>
    <cellStyle name="Normal 30 5 2 2" xfId="3993" xr:uid="{00000000-0005-0000-0000-0000243E0000}"/>
    <cellStyle name="Normal 30 5 2 2 2" xfId="3994" xr:uid="{00000000-0005-0000-0000-0000253E0000}"/>
    <cellStyle name="Normal 30 5 2 2 2 2" xfId="8067" xr:uid="{00000000-0005-0000-0000-0000263E0000}"/>
    <cellStyle name="Normal 30 5 2 2 2 2 2" xfId="17426" xr:uid="{00000000-0005-0000-0000-0000273E0000}"/>
    <cellStyle name="Normal 30 5 2 2 2 2 2 2" xfId="34000" xr:uid="{00000000-0005-0000-0000-0000283E0000}"/>
    <cellStyle name="Normal 30 5 2 2 2 2 3" xfId="25953" xr:uid="{00000000-0005-0000-0000-0000293E0000}"/>
    <cellStyle name="Normal 30 5 2 2 2 3" xfId="13571" xr:uid="{00000000-0005-0000-0000-00002A3E0000}"/>
    <cellStyle name="Normal 30 5 2 2 2 3 2" xfId="30115" xr:uid="{00000000-0005-0000-0000-00002B3E0000}"/>
    <cellStyle name="Normal 30 5 2 2 2 4" xfId="22072" xr:uid="{00000000-0005-0000-0000-00002C3E0000}"/>
    <cellStyle name="Normal 30 5 2 2 3" xfId="8068" xr:uid="{00000000-0005-0000-0000-00002D3E0000}"/>
    <cellStyle name="Normal 30 5 2 2 3 2" xfId="17427" xr:uid="{00000000-0005-0000-0000-00002E3E0000}"/>
    <cellStyle name="Normal 30 5 2 2 3 2 2" xfId="34001" xr:uid="{00000000-0005-0000-0000-00002F3E0000}"/>
    <cellStyle name="Normal 30 5 2 2 3 3" xfId="25954" xr:uid="{00000000-0005-0000-0000-0000303E0000}"/>
    <cellStyle name="Normal 30 5 2 2 4" xfId="13570" xr:uid="{00000000-0005-0000-0000-0000313E0000}"/>
    <cellStyle name="Normal 30 5 2 2 4 2" xfId="30114" xr:uid="{00000000-0005-0000-0000-0000323E0000}"/>
    <cellStyle name="Normal 30 5 2 2 5" xfId="22071" xr:uid="{00000000-0005-0000-0000-0000333E0000}"/>
    <cellStyle name="Normal 30 5 2 3" xfId="3995" xr:uid="{00000000-0005-0000-0000-0000343E0000}"/>
    <cellStyle name="Normal 30 5 2 3 2" xfId="8069" xr:uid="{00000000-0005-0000-0000-0000353E0000}"/>
    <cellStyle name="Normal 30 5 2 3 2 2" xfId="17428" xr:uid="{00000000-0005-0000-0000-0000363E0000}"/>
    <cellStyle name="Normal 30 5 2 3 2 2 2" xfId="34002" xr:uid="{00000000-0005-0000-0000-0000373E0000}"/>
    <cellStyle name="Normal 30 5 2 3 2 3" xfId="25955" xr:uid="{00000000-0005-0000-0000-0000383E0000}"/>
    <cellStyle name="Normal 30 5 2 3 3" xfId="13572" xr:uid="{00000000-0005-0000-0000-0000393E0000}"/>
    <cellStyle name="Normal 30 5 2 3 3 2" xfId="30116" xr:uid="{00000000-0005-0000-0000-00003A3E0000}"/>
    <cellStyle name="Normal 30 5 2 3 4" xfId="22073" xr:uid="{00000000-0005-0000-0000-00003B3E0000}"/>
    <cellStyle name="Normal 30 5 2 4" xfId="8070" xr:uid="{00000000-0005-0000-0000-00003C3E0000}"/>
    <cellStyle name="Normal 30 5 2 4 2" xfId="17429" xr:uid="{00000000-0005-0000-0000-00003D3E0000}"/>
    <cellStyle name="Normal 30 5 2 4 2 2" xfId="34003" xr:uid="{00000000-0005-0000-0000-00003E3E0000}"/>
    <cellStyle name="Normal 30 5 2 4 3" xfId="25956" xr:uid="{00000000-0005-0000-0000-00003F3E0000}"/>
    <cellStyle name="Normal 30 5 2 5" xfId="13569" xr:uid="{00000000-0005-0000-0000-0000403E0000}"/>
    <cellStyle name="Normal 30 5 2 5 2" xfId="30113" xr:uid="{00000000-0005-0000-0000-0000413E0000}"/>
    <cellStyle name="Normal 30 5 2 6" xfId="22070" xr:uid="{00000000-0005-0000-0000-0000423E0000}"/>
    <cellStyle name="Normal 30 5 3" xfId="3996" xr:uid="{00000000-0005-0000-0000-0000433E0000}"/>
    <cellStyle name="Normal 30 5 3 2" xfId="3997" xr:uid="{00000000-0005-0000-0000-0000443E0000}"/>
    <cellStyle name="Normal 30 5 3 2 2" xfId="8071" xr:uid="{00000000-0005-0000-0000-0000453E0000}"/>
    <cellStyle name="Normal 30 5 3 2 2 2" xfId="17430" xr:uid="{00000000-0005-0000-0000-0000463E0000}"/>
    <cellStyle name="Normal 30 5 3 2 2 2 2" xfId="34004" xr:uid="{00000000-0005-0000-0000-0000473E0000}"/>
    <cellStyle name="Normal 30 5 3 2 2 3" xfId="25957" xr:uid="{00000000-0005-0000-0000-0000483E0000}"/>
    <cellStyle name="Normal 30 5 3 2 3" xfId="13574" xr:uid="{00000000-0005-0000-0000-0000493E0000}"/>
    <cellStyle name="Normal 30 5 3 2 3 2" xfId="30118" xr:uid="{00000000-0005-0000-0000-00004A3E0000}"/>
    <cellStyle name="Normal 30 5 3 2 4" xfId="22075" xr:uid="{00000000-0005-0000-0000-00004B3E0000}"/>
    <cellStyle name="Normal 30 5 3 3" xfId="8072" xr:uid="{00000000-0005-0000-0000-00004C3E0000}"/>
    <cellStyle name="Normal 30 5 3 3 2" xfId="17431" xr:uid="{00000000-0005-0000-0000-00004D3E0000}"/>
    <cellStyle name="Normal 30 5 3 3 2 2" xfId="34005" xr:uid="{00000000-0005-0000-0000-00004E3E0000}"/>
    <cellStyle name="Normal 30 5 3 3 3" xfId="25958" xr:uid="{00000000-0005-0000-0000-00004F3E0000}"/>
    <cellStyle name="Normal 30 5 3 4" xfId="13573" xr:uid="{00000000-0005-0000-0000-0000503E0000}"/>
    <cellStyle name="Normal 30 5 3 4 2" xfId="30117" xr:uid="{00000000-0005-0000-0000-0000513E0000}"/>
    <cellStyle name="Normal 30 5 3 5" xfId="22074" xr:uid="{00000000-0005-0000-0000-0000523E0000}"/>
    <cellStyle name="Normal 30 5 4" xfId="3998" xr:uid="{00000000-0005-0000-0000-0000533E0000}"/>
    <cellStyle name="Normal 30 5 4 2" xfId="8073" xr:uid="{00000000-0005-0000-0000-0000543E0000}"/>
    <cellStyle name="Normal 30 5 4 2 2" xfId="17432" xr:uid="{00000000-0005-0000-0000-0000553E0000}"/>
    <cellStyle name="Normal 30 5 4 2 2 2" xfId="34006" xr:uid="{00000000-0005-0000-0000-0000563E0000}"/>
    <cellStyle name="Normal 30 5 4 2 3" xfId="25959" xr:uid="{00000000-0005-0000-0000-0000573E0000}"/>
    <cellStyle name="Normal 30 5 4 3" xfId="13575" xr:uid="{00000000-0005-0000-0000-0000583E0000}"/>
    <cellStyle name="Normal 30 5 4 3 2" xfId="30119" xr:uid="{00000000-0005-0000-0000-0000593E0000}"/>
    <cellStyle name="Normal 30 5 4 4" xfId="22076" xr:uid="{00000000-0005-0000-0000-00005A3E0000}"/>
    <cellStyle name="Normal 30 5 5" xfId="8074" xr:uid="{00000000-0005-0000-0000-00005B3E0000}"/>
    <cellStyle name="Normal 30 5 5 2" xfId="17433" xr:uid="{00000000-0005-0000-0000-00005C3E0000}"/>
    <cellStyle name="Normal 30 5 5 2 2" xfId="34007" xr:uid="{00000000-0005-0000-0000-00005D3E0000}"/>
    <cellStyle name="Normal 30 5 5 3" xfId="25960" xr:uid="{00000000-0005-0000-0000-00005E3E0000}"/>
    <cellStyle name="Normal 30 5 6" xfId="13568" xr:uid="{00000000-0005-0000-0000-00005F3E0000}"/>
    <cellStyle name="Normal 30 5 6 2" xfId="30112" xr:uid="{00000000-0005-0000-0000-0000603E0000}"/>
    <cellStyle name="Normal 30 5 7" xfId="22069" xr:uid="{00000000-0005-0000-0000-0000613E0000}"/>
    <cellStyle name="Normal 30 6" xfId="3999" xr:uid="{00000000-0005-0000-0000-0000623E0000}"/>
    <cellStyle name="Normal 30 6 2" xfId="4000" xr:uid="{00000000-0005-0000-0000-0000633E0000}"/>
    <cellStyle name="Normal 30 6 2 2" xfId="4001" xr:uid="{00000000-0005-0000-0000-0000643E0000}"/>
    <cellStyle name="Normal 30 6 2 2 2" xfId="8075" xr:uid="{00000000-0005-0000-0000-0000653E0000}"/>
    <cellStyle name="Normal 30 6 2 2 2 2" xfId="17434" xr:uid="{00000000-0005-0000-0000-0000663E0000}"/>
    <cellStyle name="Normal 30 6 2 2 2 2 2" xfId="34008" xr:uid="{00000000-0005-0000-0000-0000673E0000}"/>
    <cellStyle name="Normal 30 6 2 2 2 3" xfId="25961" xr:uid="{00000000-0005-0000-0000-0000683E0000}"/>
    <cellStyle name="Normal 30 6 2 2 3" xfId="13578" xr:uid="{00000000-0005-0000-0000-0000693E0000}"/>
    <cellStyle name="Normal 30 6 2 2 3 2" xfId="30122" xr:uid="{00000000-0005-0000-0000-00006A3E0000}"/>
    <cellStyle name="Normal 30 6 2 2 4" xfId="22079" xr:uid="{00000000-0005-0000-0000-00006B3E0000}"/>
    <cellStyle name="Normal 30 6 2 3" xfId="8076" xr:uid="{00000000-0005-0000-0000-00006C3E0000}"/>
    <cellStyle name="Normal 30 6 2 3 2" xfId="17435" xr:uid="{00000000-0005-0000-0000-00006D3E0000}"/>
    <cellStyle name="Normal 30 6 2 3 2 2" xfId="34009" xr:uid="{00000000-0005-0000-0000-00006E3E0000}"/>
    <cellStyle name="Normal 30 6 2 3 3" xfId="25962" xr:uid="{00000000-0005-0000-0000-00006F3E0000}"/>
    <cellStyle name="Normal 30 6 2 4" xfId="13577" xr:uid="{00000000-0005-0000-0000-0000703E0000}"/>
    <cellStyle name="Normal 30 6 2 4 2" xfId="30121" xr:uid="{00000000-0005-0000-0000-0000713E0000}"/>
    <cellStyle name="Normal 30 6 2 5" xfId="22078" xr:uid="{00000000-0005-0000-0000-0000723E0000}"/>
    <cellStyle name="Normal 30 6 3" xfId="4002" xr:uid="{00000000-0005-0000-0000-0000733E0000}"/>
    <cellStyle name="Normal 30 6 3 2" xfId="8077" xr:uid="{00000000-0005-0000-0000-0000743E0000}"/>
    <cellStyle name="Normal 30 6 3 2 2" xfId="17436" xr:uid="{00000000-0005-0000-0000-0000753E0000}"/>
    <cellStyle name="Normal 30 6 3 2 2 2" xfId="34010" xr:uid="{00000000-0005-0000-0000-0000763E0000}"/>
    <cellStyle name="Normal 30 6 3 2 3" xfId="25963" xr:uid="{00000000-0005-0000-0000-0000773E0000}"/>
    <cellStyle name="Normal 30 6 3 3" xfId="13579" xr:uid="{00000000-0005-0000-0000-0000783E0000}"/>
    <cellStyle name="Normal 30 6 3 3 2" xfId="30123" xr:uid="{00000000-0005-0000-0000-0000793E0000}"/>
    <cellStyle name="Normal 30 6 3 4" xfId="22080" xr:uid="{00000000-0005-0000-0000-00007A3E0000}"/>
    <cellStyle name="Normal 30 6 4" xfId="8078" xr:uid="{00000000-0005-0000-0000-00007B3E0000}"/>
    <cellStyle name="Normal 30 6 4 2" xfId="17437" xr:uid="{00000000-0005-0000-0000-00007C3E0000}"/>
    <cellStyle name="Normal 30 6 4 2 2" xfId="34011" xr:uid="{00000000-0005-0000-0000-00007D3E0000}"/>
    <cellStyle name="Normal 30 6 4 3" xfId="25964" xr:uid="{00000000-0005-0000-0000-00007E3E0000}"/>
    <cellStyle name="Normal 30 6 5" xfId="13576" xr:uid="{00000000-0005-0000-0000-00007F3E0000}"/>
    <cellStyle name="Normal 30 6 5 2" xfId="30120" xr:uid="{00000000-0005-0000-0000-0000803E0000}"/>
    <cellStyle name="Normal 30 6 6" xfId="22077" xr:uid="{00000000-0005-0000-0000-0000813E0000}"/>
    <cellStyle name="Normal 30 7" xfId="4003" xr:uid="{00000000-0005-0000-0000-0000823E0000}"/>
    <cellStyle name="Normal 30 7 2" xfId="4004" xr:uid="{00000000-0005-0000-0000-0000833E0000}"/>
    <cellStyle name="Normal 30 7 2 2" xfId="8079" xr:uid="{00000000-0005-0000-0000-0000843E0000}"/>
    <cellStyle name="Normal 30 7 2 2 2" xfId="17438" xr:uid="{00000000-0005-0000-0000-0000853E0000}"/>
    <cellStyle name="Normal 30 7 2 2 2 2" xfId="34012" xr:uid="{00000000-0005-0000-0000-0000863E0000}"/>
    <cellStyle name="Normal 30 7 2 2 3" xfId="25965" xr:uid="{00000000-0005-0000-0000-0000873E0000}"/>
    <cellStyle name="Normal 30 7 2 3" xfId="13581" xr:uid="{00000000-0005-0000-0000-0000883E0000}"/>
    <cellStyle name="Normal 30 7 2 3 2" xfId="30125" xr:uid="{00000000-0005-0000-0000-0000893E0000}"/>
    <cellStyle name="Normal 30 7 2 4" xfId="22082" xr:uid="{00000000-0005-0000-0000-00008A3E0000}"/>
    <cellStyle name="Normal 30 7 3" xfId="8080" xr:uid="{00000000-0005-0000-0000-00008B3E0000}"/>
    <cellStyle name="Normal 30 7 3 2" xfId="17439" xr:uid="{00000000-0005-0000-0000-00008C3E0000}"/>
    <cellStyle name="Normal 30 7 3 2 2" xfId="34013" xr:uid="{00000000-0005-0000-0000-00008D3E0000}"/>
    <cellStyle name="Normal 30 7 3 3" xfId="25966" xr:uid="{00000000-0005-0000-0000-00008E3E0000}"/>
    <cellStyle name="Normal 30 7 4" xfId="13580" xr:uid="{00000000-0005-0000-0000-00008F3E0000}"/>
    <cellStyle name="Normal 30 7 4 2" xfId="30124" xr:uid="{00000000-0005-0000-0000-0000903E0000}"/>
    <cellStyle name="Normal 30 7 5" xfId="22081" xr:uid="{00000000-0005-0000-0000-0000913E0000}"/>
    <cellStyle name="Normal 30 8" xfId="4005" xr:uid="{00000000-0005-0000-0000-0000923E0000}"/>
    <cellStyle name="Normal 30 8 2" xfId="8081" xr:uid="{00000000-0005-0000-0000-0000933E0000}"/>
    <cellStyle name="Normal 30 8 2 2" xfId="17440" xr:uid="{00000000-0005-0000-0000-0000943E0000}"/>
    <cellStyle name="Normal 30 8 2 2 2" xfId="34014" xr:uid="{00000000-0005-0000-0000-0000953E0000}"/>
    <cellStyle name="Normal 30 8 2 3" xfId="25967" xr:uid="{00000000-0005-0000-0000-0000963E0000}"/>
    <cellStyle name="Normal 30 8 3" xfId="13582" xr:uid="{00000000-0005-0000-0000-0000973E0000}"/>
    <cellStyle name="Normal 30 8 3 2" xfId="30126" xr:uid="{00000000-0005-0000-0000-0000983E0000}"/>
    <cellStyle name="Normal 30 8 4" xfId="22083" xr:uid="{00000000-0005-0000-0000-0000993E0000}"/>
    <cellStyle name="Normal 30 9" xfId="8082" xr:uid="{00000000-0005-0000-0000-00009A3E0000}"/>
    <cellStyle name="Normal 30 9 2" xfId="17441" xr:uid="{00000000-0005-0000-0000-00009B3E0000}"/>
    <cellStyle name="Normal 30 9 2 2" xfId="34015" xr:uid="{00000000-0005-0000-0000-00009C3E0000}"/>
    <cellStyle name="Normal 30 9 3" xfId="25968" xr:uid="{00000000-0005-0000-0000-00009D3E0000}"/>
    <cellStyle name="Normal 300" xfId="10915" xr:uid="{00000000-0005-0000-0000-00009E3E0000}"/>
    <cellStyle name="Normal 301" xfId="10943" xr:uid="{00000000-0005-0000-0000-00009F3E0000}"/>
    <cellStyle name="Normal 302" xfId="10946" xr:uid="{00000000-0005-0000-0000-0000A03E0000}"/>
    <cellStyle name="Normal 303" xfId="10949" xr:uid="{00000000-0005-0000-0000-0000A13E0000}"/>
    <cellStyle name="Normal 304" xfId="10952" xr:uid="{00000000-0005-0000-0000-0000A23E0000}"/>
    <cellStyle name="Normal 305" xfId="10955" xr:uid="{00000000-0005-0000-0000-0000A33E0000}"/>
    <cellStyle name="Normal 306" xfId="10958" xr:uid="{00000000-0005-0000-0000-0000A43E0000}"/>
    <cellStyle name="Normal 307" xfId="10961" xr:uid="{00000000-0005-0000-0000-0000A53E0000}"/>
    <cellStyle name="Normal 308" xfId="10964" xr:uid="{00000000-0005-0000-0000-0000A63E0000}"/>
    <cellStyle name="Normal 309" xfId="10967" xr:uid="{00000000-0005-0000-0000-0000A73E0000}"/>
    <cellStyle name="Normal 31" xfId="4006" xr:uid="{00000000-0005-0000-0000-0000A83E0000}"/>
    <cellStyle name="Normal 31 10" xfId="13583" xr:uid="{00000000-0005-0000-0000-0000A93E0000}"/>
    <cellStyle name="Normal 31 10 2" xfId="30127" xr:uid="{00000000-0005-0000-0000-0000AA3E0000}"/>
    <cellStyle name="Normal 31 11" xfId="22084" xr:uid="{00000000-0005-0000-0000-0000AB3E0000}"/>
    <cellStyle name="Normal 31 2" xfId="4007" xr:uid="{00000000-0005-0000-0000-0000AC3E0000}"/>
    <cellStyle name="Normal 31 2 2" xfId="4008" xr:uid="{00000000-0005-0000-0000-0000AD3E0000}"/>
    <cellStyle name="Normal 31 2 3" xfId="13584" xr:uid="{00000000-0005-0000-0000-0000AE3E0000}"/>
    <cellStyle name="Normal 31 2 3 2" xfId="30128" xr:uid="{00000000-0005-0000-0000-0000AF3E0000}"/>
    <cellStyle name="Normal 31 2 4" xfId="22085" xr:uid="{00000000-0005-0000-0000-0000B03E0000}"/>
    <cellStyle name="Normal 31 3" xfId="4009" xr:uid="{00000000-0005-0000-0000-0000B13E0000}"/>
    <cellStyle name="Normal 31 3 2" xfId="4010" xr:uid="{00000000-0005-0000-0000-0000B23E0000}"/>
    <cellStyle name="Normal 31 3 2 2" xfId="4011" xr:uid="{00000000-0005-0000-0000-0000B33E0000}"/>
    <cellStyle name="Normal 31 3 2 2 2" xfId="4012" xr:uid="{00000000-0005-0000-0000-0000B43E0000}"/>
    <cellStyle name="Normal 31 3 2 2 2 2" xfId="8083" xr:uid="{00000000-0005-0000-0000-0000B53E0000}"/>
    <cellStyle name="Normal 31 3 2 2 2 2 2" xfId="17442" xr:uid="{00000000-0005-0000-0000-0000B63E0000}"/>
    <cellStyle name="Normal 31 3 2 2 2 2 2 2" xfId="34016" xr:uid="{00000000-0005-0000-0000-0000B73E0000}"/>
    <cellStyle name="Normal 31 3 2 2 2 2 3" xfId="25969" xr:uid="{00000000-0005-0000-0000-0000B83E0000}"/>
    <cellStyle name="Normal 31 3 2 2 2 3" xfId="13587" xr:uid="{00000000-0005-0000-0000-0000B93E0000}"/>
    <cellStyle name="Normal 31 3 2 2 2 3 2" xfId="30131" xr:uid="{00000000-0005-0000-0000-0000BA3E0000}"/>
    <cellStyle name="Normal 31 3 2 2 2 4" xfId="22088" xr:uid="{00000000-0005-0000-0000-0000BB3E0000}"/>
    <cellStyle name="Normal 31 3 2 2 3" xfId="8084" xr:uid="{00000000-0005-0000-0000-0000BC3E0000}"/>
    <cellStyle name="Normal 31 3 2 2 3 2" xfId="17443" xr:uid="{00000000-0005-0000-0000-0000BD3E0000}"/>
    <cellStyle name="Normal 31 3 2 2 3 2 2" xfId="34017" xr:uid="{00000000-0005-0000-0000-0000BE3E0000}"/>
    <cellStyle name="Normal 31 3 2 2 3 3" xfId="25970" xr:uid="{00000000-0005-0000-0000-0000BF3E0000}"/>
    <cellStyle name="Normal 31 3 2 2 4" xfId="13586" xr:uid="{00000000-0005-0000-0000-0000C03E0000}"/>
    <cellStyle name="Normal 31 3 2 2 4 2" xfId="30130" xr:uid="{00000000-0005-0000-0000-0000C13E0000}"/>
    <cellStyle name="Normal 31 3 2 2 5" xfId="22087" xr:uid="{00000000-0005-0000-0000-0000C23E0000}"/>
    <cellStyle name="Normal 31 3 2 3" xfId="4013" xr:uid="{00000000-0005-0000-0000-0000C33E0000}"/>
    <cellStyle name="Normal 31 3 2 3 2" xfId="8085" xr:uid="{00000000-0005-0000-0000-0000C43E0000}"/>
    <cellStyle name="Normal 31 3 2 3 2 2" xfId="17444" xr:uid="{00000000-0005-0000-0000-0000C53E0000}"/>
    <cellStyle name="Normal 31 3 2 3 2 2 2" xfId="34018" xr:uid="{00000000-0005-0000-0000-0000C63E0000}"/>
    <cellStyle name="Normal 31 3 2 3 2 3" xfId="25971" xr:uid="{00000000-0005-0000-0000-0000C73E0000}"/>
    <cellStyle name="Normal 31 3 2 3 3" xfId="13588" xr:uid="{00000000-0005-0000-0000-0000C83E0000}"/>
    <cellStyle name="Normal 31 3 2 3 3 2" xfId="30132" xr:uid="{00000000-0005-0000-0000-0000C93E0000}"/>
    <cellStyle name="Normal 31 3 2 3 4" xfId="22089" xr:uid="{00000000-0005-0000-0000-0000CA3E0000}"/>
    <cellStyle name="Normal 31 3 2 4" xfId="8086" xr:uid="{00000000-0005-0000-0000-0000CB3E0000}"/>
    <cellStyle name="Normal 31 3 2 4 2" xfId="17445" xr:uid="{00000000-0005-0000-0000-0000CC3E0000}"/>
    <cellStyle name="Normal 31 3 2 4 2 2" xfId="34019" xr:uid="{00000000-0005-0000-0000-0000CD3E0000}"/>
    <cellStyle name="Normal 31 3 2 4 3" xfId="25972" xr:uid="{00000000-0005-0000-0000-0000CE3E0000}"/>
    <cellStyle name="Normal 31 3 2 5" xfId="13585" xr:uid="{00000000-0005-0000-0000-0000CF3E0000}"/>
    <cellStyle name="Normal 31 3 2 5 2" xfId="30129" xr:uid="{00000000-0005-0000-0000-0000D03E0000}"/>
    <cellStyle name="Normal 31 3 2 6" xfId="22086" xr:uid="{00000000-0005-0000-0000-0000D13E0000}"/>
    <cellStyle name="Normal 31 3 3" xfId="4014" xr:uid="{00000000-0005-0000-0000-0000D23E0000}"/>
    <cellStyle name="Normal 31 3 3 2" xfId="4015" xr:uid="{00000000-0005-0000-0000-0000D33E0000}"/>
    <cellStyle name="Normal 31 3 3 2 2" xfId="8087" xr:uid="{00000000-0005-0000-0000-0000D43E0000}"/>
    <cellStyle name="Normal 31 3 3 2 2 2" xfId="17446" xr:uid="{00000000-0005-0000-0000-0000D53E0000}"/>
    <cellStyle name="Normal 31 3 3 2 2 2 2" xfId="34020" xr:uid="{00000000-0005-0000-0000-0000D63E0000}"/>
    <cellStyle name="Normal 31 3 3 2 2 3" xfId="25973" xr:uid="{00000000-0005-0000-0000-0000D73E0000}"/>
    <cellStyle name="Normal 31 3 3 2 3" xfId="13590" xr:uid="{00000000-0005-0000-0000-0000D83E0000}"/>
    <cellStyle name="Normal 31 3 3 2 3 2" xfId="30134" xr:uid="{00000000-0005-0000-0000-0000D93E0000}"/>
    <cellStyle name="Normal 31 3 3 2 4" xfId="22091" xr:uid="{00000000-0005-0000-0000-0000DA3E0000}"/>
    <cellStyle name="Normal 31 3 3 3" xfId="8088" xr:uid="{00000000-0005-0000-0000-0000DB3E0000}"/>
    <cellStyle name="Normal 31 3 3 3 2" xfId="17447" xr:uid="{00000000-0005-0000-0000-0000DC3E0000}"/>
    <cellStyle name="Normal 31 3 3 3 2 2" xfId="34021" xr:uid="{00000000-0005-0000-0000-0000DD3E0000}"/>
    <cellStyle name="Normal 31 3 3 3 3" xfId="25974" xr:uid="{00000000-0005-0000-0000-0000DE3E0000}"/>
    <cellStyle name="Normal 31 3 3 4" xfId="13589" xr:uid="{00000000-0005-0000-0000-0000DF3E0000}"/>
    <cellStyle name="Normal 31 3 3 4 2" xfId="30133" xr:uid="{00000000-0005-0000-0000-0000E03E0000}"/>
    <cellStyle name="Normal 31 3 3 5" xfId="22090" xr:uid="{00000000-0005-0000-0000-0000E13E0000}"/>
    <cellStyle name="Normal 31 3 4" xfId="4016" xr:uid="{00000000-0005-0000-0000-0000E23E0000}"/>
    <cellStyle name="Normal 31 3 4 2" xfId="8089" xr:uid="{00000000-0005-0000-0000-0000E33E0000}"/>
    <cellStyle name="Normal 31 3 4 2 2" xfId="17448" xr:uid="{00000000-0005-0000-0000-0000E43E0000}"/>
    <cellStyle name="Normal 31 3 4 2 2 2" xfId="34022" xr:uid="{00000000-0005-0000-0000-0000E53E0000}"/>
    <cellStyle name="Normal 31 3 4 2 3" xfId="25975" xr:uid="{00000000-0005-0000-0000-0000E63E0000}"/>
    <cellStyle name="Normal 31 3 4 3" xfId="13591" xr:uid="{00000000-0005-0000-0000-0000E73E0000}"/>
    <cellStyle name="Normal 31 3 4 3 2" xfId="30135" xr:uid="{00000000-0005-0000-0000-0000E83E0000}"/>
    <cellStyle name="Normal 31 3 4 4" xfId="22092" xr:uid="{00000000-0005-0000-0000-0000E93E0000}"/>
    <cellStyle name="Normal 31 3 5" xfId="4017" xr:uid="{00000000-0005-0000-0000-0000EA3E0000}"/>
    <cellStyle name="Normal 31 3 5 2" xfId="13592" xr:uid="{00000000-0005-0000-0000-0000EB3E0000}"/>
    <cellStyle name="Normal 31 3 5 2 2" xfId="30136" xr:uid="{00000000-0005-0000-0000-0000EC3E0000}"/>
    <cellStyle name="Normal 31 3 5 3" xfId="22093" xr:uid="{00000000-0005-0000-0000-0000ED3E0000}"/>
    <cellStyle name="Normal 31 4" xfId="4018" xr:uid="{00000000-0005-0000-0000-0000EE3E0000}"/>
    <cellStyle name="Normal 31 4 2" xfId="4019" xr:uid="{00000000-0005-0000-0000-0000EF3E0000}"/>
    <cellStyle name="Normal 31 4 2 2" xfId="4020" xr:uid="{00000000-0005-0000-0000-0000F03E0000}"/>
    <cellStyle name="Normal 31 4 2 2 2" xfId="4021" xr:uid="{00000000-0005-0000-0000-0000F13E0000}"/>
    <cellStyle name="Normal 31 4 2 2 2 2" xfId="8090" xr:uid="{00000000-0005-0000-0000-0000F23E0000}"/>
    <cellStyle name="Normal 31 4 2 2 2 2 2" xfId="17449" xr:uid="{00000000-0005-0000-0000-0000F33E0000}"/>
    <cellStyle name="Normal 31 4 2 2 2 2 2 2" xfId="34023" xr:uid="{00000000-0005-0000-0000-0000F43E0000}"/>
    <cellStyle name="Normal 31 4 2 2 2 2 3" xfId="25976" xr:uid="{00000000-0005-0000-0000-0000F53E0000}"/>
    <cellStyle name="Normal 31 4 2 2 2 3" xfId="13596" xr:uid="{00000000-0005-0000-0000-0000F63E0000}"/>
    <cellStyle name="Normal 31 4 2 2 2 3 2" xfId="30140" xr:uid="{00000000-0005-0000-0000-0000F73E0000}"/>
    <cellStyle name="Normal 31 4 2 2 2 4" xfId="22097" xr:uid="{00000000-0005-0000-0000-0000F83E0000}"/>
    <cellStyle name="Normal 31 4 2 2 3" xfId="8091" xr:uid="{00000000-0005-0000-0000-0000F93E0000}"/>
    <cellStyle name="Normal 31 4 2 2 3 2" xfId="17450" xr:uid="{00000000-0005-0000-0000-0000FA3E0000}"/>
    <cellStyle name="Normal 31 4 2 2 3 2 2" xfId="34024" xr:uid="{00000000-0005-0000-0000-0000FB3E0000}"/>
    <cellStyle name="Normal 31 4 2 2 3 3" xfId="25977" xr:uid="{00000000-0005-0000-0000-0000FC3E0000}"/>
    <cellStyle name="Normal 31 4 2 2 4" xfId="13595" xr:uid="{00000000-0005-0000-0000-0000FD3E0000}"/>
    <cellStyle name="Normal 31 4 2 2 4 2" xfId="30139" xr:uid="{00000000-0005-0000-0000-0000FE3E0000}"/>
    <cellStyle name="Normal 31 4 2 2 5" xfId="22096" xr:uid="{00000000-0005-0000-0000-0000FF3E0000}"/>
    <cellStyle name="Normal 31 4 2 3" xfId="4022" xr:uid="{00000000-0005-0000-0000-0000003F0000}"/>
    <cellStyle name="Normal 31 4 2 3 2" xfId="8092" xr:uid="{00000000-0005-0000-0000-0000013F0000}"/>
    <cellStyle name="Normal 31 4 2 3 2 2" xfId="17451" xr:uid="{00000000-0005-0000-0000-0000023F0000}"/>
    <cellStyle name="Normal 31 4 2 3 2 2 2" xfId="34025" xr:uid="{00000000-0005-0000-0000-0000033F0000}"/>
    <cellStyle name="Normal 31 4 2 3 2 3" xfId="25978" xr:uid="{00000000-0005-0000-0000-0000043F0000}"/>
    <cellStyle name="Normal 31 4 2 3 3" xfId="13597" xr:uid="{00000000-0005-0000-0000-0000053F0000}"/>
    <cellStyle name="Normal 31 4 2 3 3 2" xfId="30141" xr:uid="{00000000-0005-0000-0000-0000063F0000}"/>
    <cellStyle name="Normal 31 4 2 3 4" xfId="22098" xr:uid="{00000000-0005-0000-0000-0000073F0000}"/>
    <cellStyle name="Normal 31 4 2 4" xfId="8093" xr:uid="{00000000-0005-0000-0000-0000083F0000}"/>
    <cellStyle name="Normal 31 4 2 4 2" xfId="17452" xr:uid="{00000000-0005-0000-0000-0000093F0000}"/>
    <cellStyle name="Normal 31 4 2 4 2 2" xfId="34026" xr:uid="{00000000-0005-0000-0000-00000A3F0000}"/>
    <cellStyle name="Normal 31 4 2 4 3" xfId="25979" xr:uid="{00000000-0005-0000-0000-00000B3F0000}"/>
    <cellStyle name="Normal 31 4 2 5" xfId="13594" xr:uid="{00000000-0005-0000-0000-00000C3F0000}"/>
    <cellStyle name="Normal 31 4 2 5 2" xfId="30138" xr:uid="{00000000-0005-0000-0000-00000D3F0000}"/>
    <cellStyle name="Normal 31 4 2 6" xfId="22095" xr:uid="{00000000-0005-0000-0000-00000E3F0000}"/>
    <cellStyle name="Normal 31 4 3" xfId="4023" xr:uid="{00000000-0005-0000-0000-00000F3F0000}"/>
    <cellStyle name="Normal 31 4 3 2" xfId="4024" xr:uid="{00000000-0005-0000-0000-0000103F0000}"/>
    <cellStyle name="Normal 31 4 3 2 2" xfId="8094" xr:uid="{00000000-0005-0000-0000-0000113F0000}"/>
    <cellStyle name="Normal 31 4 3 2 2 2" xfId="17453" xr:uid="{00000000-0005-0000-0000-0000123F0000}"/>
    <cellStyle name="Normal 31 4 3 2 2 2 2" xfId="34027" xr:uid="{00000000-0005-0000-0000-0000133F0000}"/>
    <cellStyle name="Normal 31 4 3 2 2 3" xfId="25980" xr:uid="{00000000-0005-0000-0000-0000143F0000}"/>
    <cellStyle name="Normal 31 4 3 2 3" xfId="13599" xr:uid="{00000000-0005-0000-0000-0000153F0000}"/>
    <cellStyle name="Normal 31 4 3 2 3 2" xfId="30143" xr:uid="{00000000-0005-0000-0000-0000163F0000}"/>
    <cellStyle name="Normal 31 4 3 2 4" xfId="22100" xr:uid="{00000000-0005-0000-0000-0000173F0000}"/>
    <cellStyle name="Normal 31 4 3 3" xfId="8095" xr:uid="{00000000-0005-0000-0000-0000183F0000}"/>
    <cellStyle name="Normal 31 4 3 3 2" xfId="17454" xr:uid="{00000000-0005-0000-0000-0000193F0000}"/>
    <cellStyle name="Normal 31 4 3 3 2 2" xfId="34028" xr:uid="{00000000-0005-0000-0000-00001A3F0000}"/>
    <cellStyle name="Normal 31 4 3 3 3" xfId="25981" xr:uid="{00000000-0005-0000-0000-00001B3F0000}"/>
    <cellStyle name="Normal 31 4 3 4" xfId="13598" xr:uid="{00000000-0005-0000-0000-00001C3F0000}"/>
    <cellStyle name="Normal 31 4 3 4 2" xfId="30142" xr:uid="{00000000-0005-0000-0000-00001D3F0000}"/>
    <cellStyle name="Normal 31 4 3 5" xfId="22099" xr:uid="{00000000-0005-0000-0000-00001E3F0000}"/>
    <cellStyle name="Normal 31 4 4" xfId="4025" xr:uid="{00000000-0005-0000-0000-00001F3F0000}"/>
    <cellStyle name="Normal 31 4 4 2" xfId="8096" xr:uid="{00000000-0005-0000-0000-0000203F0000}"/>
    <cellStyle name="Normal 31 4 4 2 2" xfId="17455" xr:uid="{00000000-0005-0000-0000-0000213F0000}"/>
    <cellStyle name="Normal 31 4 4 2 2 2" xfId="34029" xr:uid="{00000000-0005-0000-0000-0000223F0000}"/>
    <cellStyle name="Normal 31 4 4 2 3" xfId="25982" xr:uid="{00000000-0005-0000-0000-0000233F0000}"/>
    <cellStyle name="Normal 31 4 4 3" xfId="13600" xr:uid="{00000000-0005-0000-0000-0000243F0000}"/>
    <cellStyle name="Normal 31 4 4 3 2" xfId="30144" xr:uid="{00000000-0005-0000-0000-0000253F0000}"/>
    <cellStyle name="Normal 31 4 4 4" xfId="22101" xr:uid="{00000000-0005-0000-0000-0000263F0000}"/>
    <cellStyle name="Normal 31 4 5" xfId="8097" xr:uid="{00000000-0005-0000-0000-0000273F0000}"/>
    <cellStyle name="Normal 31 4 5 2" xfId="17456" xr:uid="{00000000-0005-0000-0000-0000283F0000}"/>
    <cellStyle name="Normal 31 4 5 2 2" xfId="34030" xr:uid="{00000000-0005-0000-0000-0000293F0000}"/>
    <cellStyle name="Normal 31 4 5 3" xfId="25983" xr:uid="{00000000-0005-0000-0000-00002A3F0000}"/>
    <cellStyle name="Normal 31 4 6" xfId="13593" xr:uid="{00000000-0005-0000-0000-00002B3F0000}"/>
    <cellStyle name="Normal 31 4 6 2" xfId="30137" xr:uid="{00000000-0005-0000-0000-00002C3F0000}"/>
    <cellStyle name="Normal 31 4 7" xfId="22094" xr:uid="{00000000-0005-0000-0000-00002D3F0000}"/>
    <cellStyle name="Normal 31 5" xfId="4026" xr:uid="{00000000-0005-0000-0000-00002E3F0000}"/>
    <cellStyle name="Normal 31 5 2" xfId="4027" xr:uid="{00000000-0005-0000-0000-00002F3F0000}"/>
    <cellStyle name="Normal 31 5 2 2" xfId="4028" xr:uid="{00000000-0005-0000-0000-0000303F0000}"/>
    <cellStyle name="Normal 31 5 2 2 2" xfId="4029" xr:uid="{00000000-0005-0000-0000-0000313F0000}"/>
    <cellStyle name="Normal 31 5 2 2 2 2" xfId="8098" xr:uid="{00000000-0005-0000-0000-0000323F0000}"/>
    <cellStyle name="Normal 31 5 2 2 2 2 2" xfId="17457" xr:uid="{00000000-0005-0000-0000-0000333F0000}"/>
    <cellStyle name="Normal 31 5 2 2 2 2 2 2" xfId="34031" xr:uid="{00000000-0005-0000-0000-0000343F0000}"/>
    <cellStyle name="Normal 31 5 2 2 2 2 3" xfId="25984" xr:uid="{00000000-0005-0000-0000-0000353F0000}"/>
    <cellStyle name="Normal 31 5 2 2 2 3" xfId="13604" xr:uid="{00000000-0005-0000-0000-0000363F0000}"/>
    <cellStyle name="Normal 31 5 2 2 2 3 2" xfId="30148" xr:uid="{00000000-0005-0000-0000-0000373F0000}"/>
    <cellStyle name="Normal 31 5 2 2 2 4" xfId="22105" xr:uid="{00000000-0005-0000-0000-0000383F0000}"/>
    <cellStyle name="Normal 31 5 2 2 3" xfId="8099" xr:uid="{00000000-0005-0000-0000-0000393F0000}"/>
    <cellStyle name="Normal 31 5 2 2 3 2" xfId="17458" xr:uid="{00000000-0005-0000-0000-00003A3F0000}"/>
    <cellStyle name="Normal 31 5 2 2 3 2 2" xfId="34032" xr:uid="{00000000-0005-0000-0000-00003B3F0000}"/>
    <cellStyle name="Normal 31 5 2 2 3 3" xfId="25985" xr:uid="{00000000-0005-0000-0000-00003C3F0000}"/>
    <cellStyle name="Normal 31 5 2 2 4" xfId="13603" xr:uid="{00000000-0005-0000-0000-00003D3F0000}"/>
    <cellStyle name="Normal 31 5 2 2 4 2" xfId="30147" xr:uid="{00000000-0005-0000-0000-00003E3F0000}"/>
    <cellStyle name="Normal 31 5 2 2 5" xfId="22104" xr:uid="{00000000-0005-0000-0000-00003F3F0000}"/>
    <cellStyle name="Normal 31 5 2 3" xfId="4030" xr:uid="{00000000-0005-0000-0000-0000403F0000}"/>
    <cellStyle name="Normal 31 5 2 3 2" xfId="8100" xr:uid="{00000000-0005-0000-0000-0000413F0000}"/>
    <cellStyle name="Normal 31 5 2 3 2 2" xfId="17459" xr:uid="{00000000-0005-0000-0000-0000423F0000}"/>
    <cellStyle name="Normal 31 5 2 3 2 2 2" xfId="34033" xr:uid="{00000000-0005-0000-0000-0000433F0000}"/>
    <cellStyle name="Normal 31 5 2 3 2 3" xfId="25986" xr:uid="{00000000-0005-0000-0000-0000443F0000}"/>
    <cellStyle name="Normal 31 5 2 3 3" xfId="13605" xr:uid="{00000000-0005-0000-0000-0000453F0000}"/>
    <cellStyle name="Normal 31 5 2 3 3 2" xfId="30149" xr:uid="{00000000-0005-0000-0000-0000463F0000}"/>
    <cellStyle name="Normal 31 5 2 3 4" xfId="22106" xr:uid="{00000000-0005-0000-0000-0000473F0000}"/>
    <cellStyle name="Normal 31 5 2 4" xfId="8101" xr:uid="{00000000-0005-0000-0000-0000483F0000}"/>
    <cellStyle name="Normal 31 5 2 4 2" xfId="17460" xr:uid="{00000000-0005-0000-0000-0000493F0000}"/>
    <cellStyle name="Normal 31 5 2 4 2 2" xfId="34034" xr:uid="{00000000-0005-0000-0000-00004A3F0000}"/>
    <cellStyle name="Normal 31 5 2 4 3" xfId="25987" xr:uid="{00000000-0005-0000-0000-00004B3F0000}"/>
    <cellStyle name="Normal 31 5 2 5" xfId="13602" xr:uid="{00000000-0005-0000-0000-00004C3F0000}"/>
    <cellStyle name="Normal 31 5 2 5 2" xfId="30146" xr:uid="{00000000-0005-0000-0000-00004D3F0000}"/>
    <cellStyle name="Normal 31 5 2 6" xfId="22103" xr:uid="{00000000-0005-0000-0000-00004E3F0000}"/>
    <cellStyle name="Normal 31 5 3" xfId="4031" xr:uid="{00000000-0005-0000-0000-00004F3F0000}"/>
    <cellStyle name="Normal 31 5 3 2" xfId="4032" xr:uid="{00000000-0005-0000-0000-0000503F0000}"/>
    <cellStyle name="Normal 31 5 3 2 2" xfId="8102" xr:uid="{00000000-0005-0000-0000-0000513F0000}"/>
    <cellStyle name="Normal 31 5 3 2 2 2" xfId="17461" xr:uid="{00000000-0005-0000-0000-0000523F0000}"/>
    <cellStyle name="Normal 31 5 3 2 2 2 2" xfId="34035" xr:uid="{00000000-0005-0000-0000-0000533F0000}"/>
    <cellStyle name="Normal 31 5 3 2 2 3" xfId="25988" xr:uid="{00000000-0005-0000-0000-0000543F0000}"/>
    <cellStyle name="Normal 31 5 3 2 3" xfId="13607" xr:uid="{00000000-0005-0000-0000-0000553F0000}"/>
    <cellStyle name="Normal 31 5 3 2 3 2" xfId="30151" xr:uid="{00000000-0005-0000-0000-0000563F0000}"/>
    <cellStyle name="Normal 31 5 3 2 4" xfId="22108" xr:uid="{00000000-0005-0000-0000-0000573F0000}"/>
    <cellStyle name="Normal 31 5 3 3" xfId="8103" xr:uid="{00000000-0005-0000-0000-0000583F0000}"/>
    <cellStyle name="Normal 31 5 3 3 2" xfId="17462" xr:uid="{00000000-0005-0000-0000-0000593F0000}"/>
    <cellStyle name="Normal 31 5 3 3 2 2" xfId="34036" xr:uid="{00000000-0005-0000-0000-00005A3F0000}"/>
    <cellStyle name="Normal 31 5 3 3 3" xfId="25989" xr:uid="{00000000-0005-0000-0000-00005B3F0000}"/>
    <cellStyle name="Normal 31 5 3 4" xfId="13606" xr:uid="{00000000-0005-0000-0000-00005C3F0000}"/>
    <cellStyle name="Normal 31 5 3 4 2" xfId="30150" xr:uid="{00000000-0005-0000-0000-00005D3F0000}"/>
    <cellStyle name="Normal 31 5 3 5" xfId="22107" xr:uid="{00000000-0005-0000-0000-00005E3F0000}"/>
    <cellStyle name="Normal 31 5 4" xfId="4033" xr:uid="{00000000-0005-0000-0000-00005F3F0000}"/>
    <cellStyle name="Normal 31 5 4 2" xfId="8104" xr:uid="{00000000-0005-0000-0000-0000603F0000}"/>
    <cellStyle name="Normal 31 5 4 2 2" xfId="17463" xr:uid="{00000000-0005-0000-0000-0000613F0000}"/>
    <cellStyle name="Normal 31 5 4 2 2 2" xfId="34037" xr:uid="{00000000-0005-0000-0000-0000623F0000}"/>
    <cellStyle name="Normal 31 5 4 2 3" xfId="25990" xr:uid="{00000000-0005-0000-0000-0000633F0000}"/>
    <cellStyle name="Normal 31 5 4 3" xfId="13608" xr:uid="{00000000-0005-0000-0000-0000643F0000}"/>
    <cellStyle name="Normal 31 5 4 3 2" xfId="30152" xr:uid="{00000000-0005-0000-0000-0000653F0000}"/>
    <cellStyle name="Normal 31 5 4 4" xfId="22109" xr:uid="{00000000-0005-0000-0000-0000663F0000}"/>
    <cellStyle name="Normal 31 5 5" xfId="8105" xr:uid="{00000000-0005-0000-0000-0000673F0000}"/>
    <cellStyle name="Normal 31 5 5 2" xfId="17464" xr:uid="{00000000-0005-0000-0000-0000683F0000}"/>
    <cellStyle name="Normal 31 5 5 2 2" xfId="34038" xr:uid="{00000000-0005-0000-0000-0000693F0000}"/>
    <cellStyle name="Normal 31 5 5 3" xfId="25991" xr:uid="{00000000-0005-0000-0000-00006A3F0000}"/>
    <cellStyle name="Normal 31 5 6" xfId="13601" xr:uid="{00000000-0005-0000-0000-00006B3F0000}"/>
    <cellStyle name="Normal 31 5 6 2" xfId="30145" xr:uid="{00000000-0005-0000-0000-00006C3F0000}"/>
    <cellStyle name="Normal 31 5 7" xfId="22102" xr:uid="{00000000-0005-0000-0000-00006D3F0000}"/>
    <cellStyle name="Normal 31 6" xfId="4034" xr:uid="{00000000-0005-0000-0000-00006E3F0000}"/>
    <cellStyle name="Normal 31 6 2" xfId="4035" xr:uid="{00000000-0005-0000-0000-00006F3F0000}"/>
    <cellStyle name="Normal 31 6 2 2" xfId="4036" xr:uid="{00000000-0005-0000-0000-0000703F0000}"/>
    <cellStyle name="Normal 31 6 2 2 2" xfId="8106" xr:uid="{00000000-0005-0000-0000-0000713F0000}"/>
    <cellStyle name="Normal 31 6 2 2 2 2" xfId="17465" xr:uid="{00000000-0005-0000-0000-0000723F0000}"/>
    <cellStyle name="Normal 31 6 2 2 2 2 2" xfId="34039" xr:uid="{00000000-0005-0000-0000-0000733F0000}"/>
    <cellStyle name="Normal 31 6 2 2 2 3" xfId="25992" xr:uid="{00000000-0005-0000-0000-0000743F0000}"/>
    <cellStyle name="Normal 31 6 2 2 3" xfId="13611" xr:uid="{00000000-0005-0000-0000-0000753F0000}"/>
    <cellStyle name="Normal 31 6 2 2 3 2" xfId="30155" xr:uid="{00000000-0005-0000-0000-0000763F0000}"/>
    <cellStyle name="Normal 31 6 2 2 4" xfId="22112" xr:uid="{00000000-0005-0000-0000-0000773F0000}"/>
    <cellStyle name="Normal 31 6 2 3" xfId="8107" xr:uid="{00000000-0005-0000-0000-0000783F0000}"/>
    <cellStyle name="Normal 31 6 2 3 2" xfId="17466" xr:uid="{00000000-0005-0000-0000-0000793F0000}"/>
    <cellStyle name="Normal 31 6 2 3 2 2" xfId="34040" xr:uid="{00000000-0005-0000-0000-00007A3F0000}"/>
    <cellStyle name="Normal 31 6 2 3 3" xfId="25993" xr:uid="{00000000-0005-0000-0000-00007B3F0000}"/>
    <cellStyle name="Normal 31 6 2 4" xfId="13610" xr:uid="{00000000-0005-0000-0000-00007C3F0000}"/>
    <cellStyle name="Normal 31 6 2 4 2" xfId="30154" xr:uid="{00000000-0005-0000-0000-00007D3F0000}"/>
    <cellStyle name="Normal 31 6 2 5" xfId="22111" xr:uid="{00000000-0005-0000-0000-00007E3F0000}"/>
    <cellStyle name="Normal 31 6 3" xfId="4037" xr:uid="{00000000-0005-0000-0000-00007F3F0000}"/>
    <cellStyle name="Normal 31 6 3 2" xfId="8108" xr:uid="{00000000-0005-0000-0000-0000803F0000}"/>
    <cellStyle name="Normal 31 6 3 2 2" xfId="17467" xr:uid="{00000000-0005-0000-0000-0000813F0000}"/>
    <cellStyle name="Normal 31 6 3 2 2 2" xfId="34041" xr:uid="{00000000-0005-0000-0000-0000823F0000}"/>
    <cellStyle name="Normal 31 6 3 2 3" xfId="25994" xr:uid="{00000000-0005-0000-0000-0000833F0000}"/>
    <cellStyle name="Normal 31 6 3 3" xfId="13612" xr:uid="{00000000-0005-0000-0000-0000843F0000}"/>
    <cellStyle name="Normal 31 6 3 3 2" xfId="30156" xr:uid="{00000000-0005-0000-0000-0000853F0000}"/>
    <cellStyle name="Normal 31 6 3 4" xfId="22113" xr:uid="{00000000-0005-0000-0000-0000863F0000}"/>
    <cellStyle name="Normal 31 6 4" xfId="8109" xr:uid="{00000000-0005-0000-0000-0000873F0000}"/>
    <cellStyle name="Normal 31 6 4 2" xfId="17468" xr:uid="{00000000-0005-0000-0000-0000883F0000}"/>
    <cellStyle name="Normal 31 6 4 2 2" xfId="34042" xr:uid="{00000000-0005-0000-0000-0000893F0000}"/>
    <cellStyle name="Normal 31 6 4 3" xfId="25995" xr:uid="{00000000-0005-0000-0000-00008A3F0000}"/>
    <cellStyle name="Normal 31 6 5" xfId="13609" xr:uid="{00000000-0005-0000-0000-00008B3F0000}"/>
    <cellStyle name="Normal 31 6 5 2" xfId="30153" xr:uid="{00000000-0005-0000-0000-00008C3F0000}"/>
    <cellStyle name="Normal 31 6 6" xfId="22110" xr:uid="{00000000-0005-0000-0000-00008D3F0000}"/>
    <cellStyle name="Normal 31 7" xfId="4038" xr:uid="{00000000-0005-0000-0000-00008E3F0000}"/>
    <cellStyle name="Normal 31 7 2" xfId="4039" xr:uid="{00000000-0005-0000-0000-00008F3F0000}"/>
    <cellStyle name="Normal 31 7 2 2" xfId="8110" xr:uid="{00000000-0005-0000-0000-0000903F0000}"/>
    <cellStyle name="Normal 31 7 2 2 2" xfId="17469" xr:uid="{00000000-0005-0000-0000-0000913F0000}"/>
    <cellStyle name="Normal 31 7 2 2 2 2" xfId="34043" xr:uid="{00000000-0005-0000-0000-0000923F0000}"/>
    <cellStyle name="Normal 31 7 2 2 3" xfId="25996" xr:uid="{00000000-0005-0000-0000-0000933F0000}"/>
    <cellStyle name="Normal 31 7 2 3" xfId="13614" xr:uid="{00000000-0005-0000-0000-0000943F0000}"/>
    <cellStyle name="Normal 31 7 2 3 2" xfId="30158" xr:uid="{00000000-0005-0000-0000-0000953F0000}"/>
    <cellStyle name="Normal 31 7 2 4" xfId="22115" xr:uid="{00000000-0005-0000-0000-0000963F0000}"/>
    <cellStyle name="Normal 31 7 3" xfId="8111" xr:uid="{00000000-0005-0000-0000-0000973F0000}"/>
    <cellStyle name="Normal 31 7 3 2" xfId="17470" xr:uid="{00000000-0005-0000-0000-0000983F0000}"/>
    <cellStyle name="Normal 31 7 3 2 2" xfId="34044" xr:uid="{00000000-0005-0000-0000-0000993F0000}"/>
    <cellStyle name="Normal 31 7 3 3" xfId="25997" xr:uid="{00000000-0005-0000-0000-00009A3F0000}"/>
    <cellStyle name="Normal 31 7 4" xfId="13613" xr:uid="{00000000-0005-0000-0000-00009B3F0000}"/>
    <cellStyle name="Normal 31 7 4 2" xfId="30157" xr:uid="{00000000-0005-0000-0000-00009C3F0000}"/>
    <cellStyle name="Normal 31 7 5" xfId="22114" xr:uid="{00000000-0005-0000-0000-00009D3F0000}"/>
    <cellStyle name="Normal 31 8" xfId="4040" xr:uid="{00000000-0005-0000-0000-00009E3F0000}"/>
    <cellStyle name="Normal 31 8 2" xfId="8112" xr:uid="{00000000-0005-0000-0000-00009F3F0000}"/>
    <cellStyle name="Normal 31 8 2 2" xfId="17471" xr:uid="{00000000-0005-0000-0000-0000A03F0000}"/>
    <cellStyle name="Normal 31 8 2 2 2" xfId="34045" xr:uid="{00000000-0005-0000-0000-0000A13F0000}"/>
    <cellStyle name="Normal 31 8 2 3" xfId="25998" xr:uid="{00000000-0005-0000-0000-0000A23F0000}"/>
    <cellStyle name="Normal 31 8 3" xfId="13615" xr:uid="{00000000-0005-0000-0000-0000A33F0000}"/>
    <cellStyle name="Normal 31 8 3 2" xfId="30159" xr:uid="{00000000-0005-0000-0000-0000A43F0000}"/>
    <cellStyle name="Normal 31 8 4" xfId="22116" xr:uid="{00000000-0005-0000-0000-0000A53F0000}"/>
    <cellStyle name="Normal 31 9" xfId="8113" xr:uid="{00000000-0005-0000-0000-0000A63F0000}"/>
    <cellStyle name="Normal 31 9 2" xfId="17472" xr:uid="{00000000-0005-0000-0000-0000A73F0000}"/>
    <cellStyle name="Normal 31 9 2 2" xfId="34046" xr:uid="{00000000-0005-0000-0000-0000A83F0000}"/>
    <cellStyle name="Normal 31 9 3" xfId="25999" xr:uid="{00000000-0005-0000-0000-0000A93F0000}"/>
    <cellStyle name="Normal 310" xfId="10970" xr:uid="{00000000-0005-0000-0000-0000AA3F0000}"/>
    <cellStyle name="Normal 311" xfId="10973" xr:uid="{00000000-0005-0000-0000-0000AB3F0000}"/>
    <cellStyle name="Normal 312" xfId="10976" xr:uid="{00000000-0005-0000-0000-0000AC3F0000}"/>
    <cellStyle name="Normal 313" xfId="10979" xr:uid="{00000000-0005-0000-0000-0000AD3F0000}"/>
    <cellStyle name="Normal 314" xfId="10982" xr:uid="{00000000-0005-0000-0000-0000AE3F0000}"/>
    <cellStyle name="Normal 315" xfId="10985" xr:uid="{00000000-0005-0000-0000-0000AF3F0000}"/>
    <cellStyle name="Normal 316" xfId="10988" xr:uid="{00000000-0005-0000-0000-0000B03F0000}"/>
    <cellStyle name="Normal 317" xfId="10991" xr:uid="{00000000-0005-0000-0000-0000B13F0000}"/>
    <cellStyle name="Normal 318" xfId="10994" xr:uid="{00000000-0005-0000-0000-0000B23F0000}"/>
    <cellStyle name="Normal 319" xfId="10997" xr:uid="{00000000-0005-0000-0000-0000B33F0000}"/>
    <cellStyle name="Normal 32" xfId="4041" xr:uid="{00000000-0005-0000-0000-0000B43F0000}"/>
    <cellStyle name="Normal 32 10" xfId="13616" xr:uid="{00000000-0005-0000-0000-0000B53F0000}"/>
    <cellStyle name="Normal 32 10 2" xfId="30160" xr:uid="{00000000-0005-0000-0000-0000B63F0000}"/>
    <cellStyle name="Normal 32 11" xfId="22117" xr:uid="{00000000-0005-0000-0000-0000B73F0000}"/>
    <cellStyle name="Normal 32 2" xfId="4042" xr:uid="{00000000-0005-0000-0000-0000B83F0000}"/>
    <cellStyle name="Normal 32 2 2" xfId="4043" xr:uid="{00000000-0005-0000-0000-0000B93F0000}"/>
    <cellStyle name="Normal 32 2 3" xfId="13617" xr:uid="{00000000-0005-0000-0000-0000BA3F0000}"/>
    <cellStyle name="Normal 32 2 3 2" xfId="30161" xr:uid="{00000000-0005-0000-0000-0000BB3F0000}"/>
    <cellStyle name="Normal 32 2 4" xfId="22118" xr:uid="{00000000-0005-0000-0000-0000BC3F0000}"/>
    <cellStyle name="Normal 32 3" xfId="4044" xr:uid="{00000000-0005-0000-0000-0000BD3F0000}"/>
    <cellStyle name="Normal 32 3 2" xfId="4045" xr:uid="{00000000-0005-0000-0000-0000BE3F0000}"/>
    <cellStyle name="Normal 32 3 2 2" xfId="4046" xr:uid="{00000000-0005-0000-0000-0000BF3F0000}"/>
    <cellStyle name="Normal 32 3 2 2 2" xfId="4047" xr:uid="{00000000-0005-0000-0000-0000C03F0000}"/>
    <cellStyle name="Normal 32 3 2 2 2 2" xfId="8114" xr:uid="{00000000-0005-0000-0000-0000C13F0000}"/>
    <cellStyle name="Normal 32 3 2 2 2 2 2" xfId="17473" xr:uid="{00000000-0005-0000-0000-0000C23F0000}"/>
    <cellStyle name="Normal 32 3 2 2 2 2 2 2" xfId="34047" xr:uid="{00000000-0005-0000-0000-0000C33F0000}"/>
    <cellStyle name="Normal 32 3 2 2 2 2 3" xfId="26000" xr:uid="{00000000-0005-0000-0000-0000C43F0000}"/>
    <cellStyle name="Normal 32 3 2 2 2 3" xfId="13620" xr:uid="{00000000-0005-0000-0000-0000C53F0000}"/>
    <cellStyle name="Normal 32 3 2 2 2 3 2" xfId="30164" xr:uid="{00000000-0005-0000-0000-0000C63F0000}"/>
    <cellStyle name="Normal 32 3 2 2 2 4" xfId="22121" xr:uid="{00000000-0005-0000-0000-0000C73F0000}"/>
    <cellStyle name="Normal 32 3 2 2 3" xfId="8115" xr:uid="{00000000-0005-0000-0000-0000C83F0000}"/>
    <cellStyle name="Normal 32 3 2 2 3 2" xfId="17474" xr:uid="{00000000-0005-0000-0000-0000C93F0000}"/>
    <cellStyle name="Normal 32 3 2 2 3 2 2" xfId="34048" xr:uid="{00000000-0005-0000-0000-0000CA3F0000}"/>
    <cellStyle name="Normal 32 3 2 2 3 3" xfId="26001" xr:uid="{00000000-0005-0000-0000-0000CB3F0000}"/>
    <cellStyle name="Normal 32 3 2 2 4" xfId="13619" xr:uid="{00000000-0005-0000-0000-0000CC3F0000}"/>
    <cellStyle name="Normal 32 3 2 2 4 2" xfId="30163" xr:uid="{00000000-0005-0000-0000-0000CD3F0000}"/>
    <cellStyle name="Normal 32 3 2 2 5" xfId="22120" xr:uid="{00000000-0005-0000-0000-0000CE3F0000}"/>
    <cellStyle name="Normal 32 3 2 3" xfId="4048" xr:uid="{00000000-0005-0000-0000-0000CF3F0000}"/>
    <cellStyle name="Normal 32 3 2 3 2" xfId="8116" xr:uid="{00000000-0005-0000-0000-0000D03F0000}"/>
    <cellStyle name="Normal 32 3 2 3 2 2" xfId="17475" xr:uid="{00000000-0005-0000-0000-0000D13F0000}"/>
    <cellStyle name="Normal 32 3 2 3 2 2 2" xfId="34049" xr:uid="{00000000-0005-0000-0000-0000D23F0000}"/>
    <cellStyle name="Normal 32 3 2 3 2 3" xfId="26002" xr:uid="{00000000-0005-0000-0000-0000D33F0000}"/>
    <cellStyle name="Normal 32 3 2 3 3" xfId="13621" xr:uid="{00000000-0005-0000-0000-0000D43F0000}"/>
    <cellStyle name="Normal 32 3 2 3 3 2" xfId="30165" xr:uid="{00000000-0005-0000-0000-0000D53F0000}"/>
    <cellStyle name="Normal 32 3 2 3 4" xfId="22122" xr:uid="{00000000-0005-0000-0000-0000D63F0000}"/>
    <cellStyle name="Normal 32 3 2 4" xfId="8117" xr:uid="{00000000-0005-0000-0000-0000D73F0000}"/>
    <cellStyle name="Normal 32 3 2 4 2" xfId="17476" xr:uid="{00000000-0005-0000-0000-0000D83F0000}"/>
    <cellStyle name="Normal 32 3 2 4 2 2" xfId="34050" xr:uid="{00000000-0005-0000-0000-0000D93F0000}"/>
    <cellStyle name="Normal 32 3 2 4 3" xfId="26003" xr:uid="{00000000-0005-0000-0000-0000DA3F0000}"/>
    <cellStyle name="Normal 32 3 2 5" xfId="13618" xr:uid="{00000000-0005-0000-0000-0000DB3F0000}"/>
    <cellStyle name="Normal 32 3 2 5 2" xfId="30162" xr:uid="{00000000-0005-0000-0000-0000DC3F0000}"/>
    <cellStyle name="Normal 32 3 2 6" xfId="22119" xr:uid="{00000000-0005-0000-0000-0000DD3F0000}"/>
    <cellStyle name="Normal 32 3 3" xfId="4049" xr:uid="{00000000-0005-0000-0000-0000DE3F0000}"/>
    <cellStyle name="Normal 32 3 3 2" xfId="4050" xr:uid="{00000000-0005-0000-0000-0000DF3F0000}"/>
    <cellStyle name="Normal 32 3 3 2 2" xfId="8118" xr:uid="{00000000-0005-0000-0000-0000E03F0000}"/>
    <cellStyle name="Normal 32 3 3 2 2 2" xfId="17477" xr:uid="{00000000-0005-0000-0000-0000E13F0000}"/>
    <cellStyle name="Normal 32 3 3 2 2 2 2" xfId="34051" xr:uid="{00000000-0005-0000-0000-0000E23F0000}"/>
    <cellStyle name="Normal 32 3 3 2 2 3" xfId="26004" xr:uid="{00000000-0005-0000-0000-0000E33F0000}"/>
    <cellStyle name="Normal 32 3 3 2 3" xfId="13623" xr:uid="{00000000-0005-0000-0000-0000E43F0000}"/>
    <cellStyle name="Normal 32 3 3 2 3 2" xfId="30167" xr:uid="{00000000-0005-0000-0000-0000E53F0000}"/>
    <cellStyle name="Normal 32 3 3 2 4" xfId="22124" xr:uid="{00000000-0005-0000-0000-0000E63F0000}"/>
    <cellStyle name="Normal 32 3 3 3" xfId="8119" xr:uid="{00000000-0005-0000-0000-0000E73F0000}"/>
    <cellStyle name="Normal 32 3 3 3 2" xfId="17478" xr:uid="{00000000-0005-0000-0000-0000E83F0000}"/>
    <cellStyle name="Normal 32 3 3 3 2 2" xfId="34052" xr:uid="{00000000-0005-0000-0000-0000E93F0000}"/>
    <cellStyle name="Normal 32 3 3 3 3" xfId="26005" xr:uid="{00000000-0005-0000-0000-0000EA3F0000}"/>
    <cellStyle name="Normal 32 3 3 4" xfId="13622" xr:uid="{00000000-0005-0000-0000-0000EB3F0000}"/>
    <cellStyle name="Normal 32 3 3 4 2" xfId="30166" xr:uid="{00000000-0005-0000-0000-0000EC3F0000}"/>
    <cellStyle name="Normal 32 3 3 5" xfId="22123" xr:uid="{00000000-0005-0000-0000-0000ED3F0000}"/>
    <cellStyle name="Normal 32 3 4" xfId="4051" xr:uid="{00000000-0005-0000-0000-0000EE3F0000}"/>
    <cellStyle name="Normal 32 3 4 2" xfId="8120" xr:uid="{00000000-0005-0000-0000-0000EF3F0000}"/>
    <cellStyle name="Normal 32 3 4 2 2" xfId="17479" xr:uid="{00000000-0005-0000-0000-0000F03F0000}"/>
    <cellStyle name="Normal 32 3 4 2 2 2" xfId="34053" xr:uid="{00000000-0005-0000-0000-0000F13F0000}"/>
    <cellStyle name="Normal 32 3 4 2 3" xfId="26006" xr:uid="{00000000-0005-0000-0000-0000F23F0000}"/>
    <cellStyle name="Normal 32 3 4 3" xfId="13624" xr:uid="{00000000-0005-0000-0000-0000F33F0000}"/>
    <cellStyle name="Normal 32 3 4 3 2" xfId="30168" xr:uid="{00000000-0005-0000-0000-0000F43F0000}"/>
    <cellStyle name="Normal 32 3 4 4" xfId="22125" xr:uid="{00000000-0005-0000-0000-0000F53F0000}"/>
    <cellStyle name="Normal 32 3 5" xfId="4052" xr:uid="{00000000-0005-0000-0000-0000F63F0000}"/>
    <cellStyle name="Normal 32 3 5 2" xfId="13625" xr:uid="{00000000-0005-0000-0000-0000F73F0000}"/>
    <cellStyle name="Normal 32 3 5 2 2" xfId="30169" xr:uid="{00000000-0005-0000-0000-0000F83F0000}"/>
    <cellStyle name="Normal 32 3 5 3" xfId="22126" xr:uid="{00000000-0005-0000-0000-0000F93F0000}"/>
    <cellStyle name="Normal 32 4" xfId="4053" xr:uid="{00000000-0005-0000-0000-0000FA3F0000}"/>
    <cellStyle name="Normal 32 4 2" xfId="4054" xr:uid="{00000000-0005-0000-0000-0000FB3F0000}"/>
    <cellStyle name="Normal 32 4 2 2" xfId="4055" xr:uid="{00000000-0005-0000-0000-0000FC3F0000}"/>
    <cellStyle name="Normal 32 4 2 2 2" xfId="4056" xr:uid="{00000000-0005-0000-0000-0000FD3F0000}"/>
    <cellStyle name="Normal 32 4 2 2 2 2" xfId="8121" xr:uid="{00000000-0005-0000-0000-0000FE3F0000}"/>
    <cellStyle name="Normal 32 4 2 2 2 2 2" xfId="17480" xr:uid="{00000000-0005-0000-0000-0000FF3F0000}"/>
    <cellStyle name="Normal 32 4 2 2 2 2 2 2" xfId="34054" xr:uid="{00000000-0005-0000-0000-000000400000}"/>
    <cellStyle name="Normal 32 4 2 2 2 2 3" xfId="26007" xr:uid="{00000000-0005-0000-0000-000001400000}"/>
    <cellStyle name="Normal 32 4 2 2 2 3" xfId="13629" xr:uid="{00000000-0005-0000-0000-000002400000}"/>
    <cellStyle name="Normal 32 4 2 2 2 3 2" xfId="30173" xr:uid="{00000000-0005-0000-0000-000003400000}"/>
    <cellStyle name="Normal 32 4 2 2 2 4" xfId="22130" xr:uid="{00000000-0005-0000-0000-000004400000}"/>
    <cellStyle name="Normal 32 4 2 2 3" xfId="8122" xr:uid="{00000000-0005-0000-0000-000005400000}"/>
    <cellStyle name="Normal 32 4 2 2 3 2" xfId="17481" xr:uid="{00000000-0005-0000-0000-000006400000}"/>
    <cellStyle name="Normal 32 4 2 2 3 2 2" xfId="34055" xr:uid="{00000000-0005-0000-0000-000007400000}"/>
    <cellStyle name="Normal 32 4 2 2 3 3" xfId="26008" xr:uid="{00000000-0005-0000-0000-000008400000}"/>
    <cellStyle name="Normal 32 4 2 2 4" xfId="13628" xr:uid="{00000000-0005-0000-0000-000009400000}"/>
    <cellStyle name="Normal 32 4 2 2 4 2" xfId="30172" xr:uid="{00000000-0005-0000-0000-00000A400000}"/>
    <cellStyle name="Normal 32 4 2 2 5" xfId="22129" xr:uid="{00000000-0005-0000-0000-00000B400000}"/>
    <cellStyle name="Normal 32 4 2 3" xfId="4057" xr:uid="{00000000-0005-0000-0000-00000C400000}"/>
    <cellStyle name="Normal 32 4 2 3 2" xfId="8123" xr:uid="{00000000-0005-0000-0000-00000D400000}"/>
    <cellStyle name="Normal 32 4 2 3 2 2" xfId="17482" xr:uid="{00000000-0005-0000-0000-00000E400000}"/>
    <cellStyle name="Normal 32 4 2 3 2 2 2" xfId="34056" xr:uid="{00000000-0005-0000-0000-00000F400000}"/>
    <cellStyle name="Normal 32 4 2 3 2 3" xfId="26009" xr:uid="{00000000-0005-0000-0000-000010400000}"/>
    <cellStyle name="Normal 32 4 2 3 3" xfId="13630" xr:uid="{00000000-0005-0000-0000-000011400000}"/>
    <cellStyle name="Normal 32 4 2 3 3 2" xfId="30174" xr:uid="{00000000-0005-0000-0000-000012400000}"/>
    <cellStyle name="Normal 32 4 2 3 4" xfId="22131" xr:uid="{00000000-0005-0000-0000-000013400000}"/>
    <cellStyle name="Normal 32 4 2 4" xfId="8124" xr:uid="{00000000-0005-0000-0000-000014400000}"/>
    <cellStyle name="Normal 32 4 2 4 2" xfId="17483" xr:uid="{00000000-0005-0000-0000-000015400000}"/>
    <cellStyle name="Normal 32 4 2 4 2 2" xfId="34057" xr:uid="{00000000-0005-0000-0000-000016400000}"/>
    <cellStyle name="Normal 32 4 2 4 3" xfId="26010" xr:uid="{00000000-0005-0000-0000-000017400000}"/>
    <cellStyle name="Normal 32 4 2 5" xfId="13627" xr:uid="{00000000-0005-0000-0000-000018400000}"/>
    <cellStyle name="Normal 32 4 2 5 2" xfId="30171" xr:uid="{00000000-0005-0000-0000-000019400000}"/>
    <cellStyle name="Normal 32 4 2 6" xfId="22128" xr:uid="{00000000-0005-0000-0000-00001A400000}"/>
    <cellStyle name="Normal 32 4 3" xfId="4058" xr:uid="{00000000-0005-0000-0000-00001B400000}"/>
    <cellStyle name="Normal 32 4 3 2" xfId="4059" xr:uid="{00000000-0005-0000-0000-00001C400000}"/>
    <cellStyle name="Normal 32 4 3 2 2" xfId="8125" xr:uid="{00000000-0005-0000-0000-00001D400000}"/>
    <cellStyle name="Normal 32 4 3 2 2 2" xfId="17484" xr:uid="{00000000-0005-0000-0000-00001E400000}"/>
    <cellStyle name="Normal 32 4 3 2 2 2 2" xfId="34058" xr:uid="{00000000-0005-0000-0000-00001F400000}"/>
    <cellStyle name="Normal 32 4 3 2 2 3" xfId="26011" xr:uid="{00000000-0005-0000-0000-000020400000}"/>
    <cellStyle name="Normal 32 4 3 2 3" xfId="13632" xr:uid="{00000000-0005-0000-0000-000021400000}"/>
    <cellStyle name="Normal 32 4 3 2 3 2" xfId="30176" xr:uid="{00000000-0005-0000-0000-000022400000}"/>
    <cellStyle name="Normal 32 4 3 2 4" xfId="22133" xr:uid="{00000000-0005-0000-0000-000023400000}"/>
    <cellStyle name="Normal 32 4 3 3" xfId="8126" xr:uid="{00000000-0005-0000-0000-000024400000}"/>
    <cellStyle name="Normal 32 4 3 3 2" xfId="17485" xr:uid="{00000000-0005-0000-0000-000025400000}"/>
    <cellStyle name="Normal 32 4 3 3 2 2" xfId="34059" xr:uid="{00000000-0005-0000-0000-000026400000}"/>
    <cellStyle name="Normal 32 4 3 3 3" xfId="26012" xr:uid="{00000000-0005-0000-0000-000027400000}"/>
    <cellStyle name="Normal 32 4 3 4" xfId="13631" xr:uid="{00000000-0005-0000-0000-000028400000}"/>
    <cellStyle name="Normal 32 4 3 4 2" xfId="30175" xr:uid="{00000000-0005-0000-0000-000029400000}"/>
    <cellStyle name="Normal 32 4 3 5" xfId="22132" xr:uid="{00000000-0005-0000-0000-00002A400000}"/>
    <cellStyle name="Normal 32 4 4" xfId="4060" xr:uid="{00000000-0005-0000-0000-00002B400000}"/>
    <cellStyle name="Normal 32 4 4 2" xfId="8127" xr:uid="{00000000-0005-0000-0000-00002C400000}"/>
    <cellStyle name="Normal 32 4 4 2 2" xfId="17486" xr:uid="{00000000-0005-0000-0000-00002D400000}"/>
    <cellStyle name="Normal 32 4 4 2 2 2" xfId="34060" xr:uid="{00000000-0005-0000-0000-00002E400000}"/>
    <cellStyle name="Normal 32 4 4 2 3" xfId="26013" xr:uid="{00000000-0005-0000-0000-00002F400000}"/>
    <cellStyle name="Normal 32 4 4 3" xfId="13633" xr:uid="{00000000-0005-0000-0000-000030400000}"/>
    <cellStyle name="Normal 32 4 4 3 2" xfId="30177" xr:uid="{00000000-0005-0000-0000-000031400000}"/>
    <cellStyle name="Normal 32 4 4 4" xfId="22134" xr:uid="{00000000-0005-0000-0000-000032400000}"/>
    <cellStyle name="Normal 32 4 5" xfId="8128" xr:uid="{00000000-0005-0000-0000-000033400000}"/>
    <cellStyle name="Normal 32 4 5 2" xfId="17487" xr:uid="{00000000-0005-0000-0000-000034400000}"/>
    <cellStyle name="Normal 32 4 5 2 2" xfId="34061" xr:uid="{00000000-0005-0000-0000-000035400000}"/>
    <cellStyle name="Normal 32 4 5 3" xfId="26014" xr:uid="{00000000-0005-0000-0000-000036400000}"/>
    <cellStyle name="Normal 32 4 6" xfId="13626" xr:uid="{00000000-0005-0000-0000-000037400000}"/>
    <cellStyle name="Normal 32 4 6 2" xfId="30170" xr:uid="{00000000-0005-0000-0000-000038400000}"/>
    <cellStyle name="Normal 32 4 7" xfId="22127" xr:uid="{00000000-0005-0000-0000-000039400000}"/>
    <cellStyle name="Normal 32 5" xfId="4061" xr:uid="{00000000-0005-0000-0000-00003A400000}"/>
    <cellStyle name="Normal 32 5 2" xfId="4062" xr:uid="{00000000-0005-0000-0000-00003B400000}"/>
    <cellStyle name="Normal 32 5 2 2" xfId="4063" xr:uid="{00000000-0005-0000-0000-00003C400000}"/>
    <cellStyle name="Normal 32 5 2 2 2" xfId="4064" xr:uid="{00000000-0005-0000-0000-00003D400000}"/>
    <cellStyle name="Normal 32 5 2 2 2 2" xfId="8129" xr:uid="{00000000-0005-0000-0000-00003E400000}"/>
    <cellStyle name="Normal 32 5 2 2 2 2 2" xfId="17488" xr:uid="{00000000-0005-0000-0000-00003F400000}"/>
    <cellStyle name="Normal 32 5 2 2 2 2 2 2" xfId="34062" xr:uid="{00000000-0005-0000-0000-000040400000}"/>
    <cellStyle name="Normal 32 5 2 2 2 2 3" xfId="26015" xr:uid="{00000000-0005-0000-0000-000041400000}"/>
    <cellStyle name="Normal 32 5 2 2 2 3" xfId="13637" xr:uid="{00000000-0005-0000-0000-000042400000}"/>
    <cellStyle name="Normal 32 5 2 2 2 3 2" xfId="30181" xr:uid="{00000000-0005-0000-0000-000043400000}"/>
    <cellStyle name="Normal 32 5 2 2 2 4" xfId="22138" xr:uid="{00000000-0005-0000-0000-000044400000}"/>
    <cellStyle name="Normal 32 5 2 2 3" xfId="8130" xr:uid="{00000000-0005-0000-0000-000045400000}"/>
    <cellStyle name="Normal 32 5 2 2 3 2" xfId="17489" xr:uid="{00000000-0005-0000-0000-000046400000}"/>
    <cellStyle name="Normal 32 5 2 2 3 2 2" xfId="34063" xr:uid="{00000000-0005-0000-0000-000047400000}"/>
    <cellStyle name="Normal 32 5 2 2 3 3" xfId="26016" xr:uid="{00000000-0005-0000-0000-000048400000}"/>
    <cellStyle name="Normal 32 5 2 2 4" xfId="13636" xr:uid="{00000000-0005-0000-0000-000049400000}"/>
    <cellStyle name="Normal 32 5 2 2 4 2" xfId="30180" xr:uid="{00000000-0005-0000-0000-00004A400000}"/>
    <cellStyle name="Normal 32 5 2 2 5" xfId="22137" xr:uid="{00000000-0005-0000-0000-00004B400000}"/>
    <cellStyle name="Normal 32 5 2 3" xfId="4065" xr:uid="{00000000-0005-0000-0000-00004C400000}"/>
    <cellStyle name="Normal 32 5 2 3 2" xfId="8131" xr:uid="{00000000-0005-0000-0000-00004D400000}"/>
    <cellStyle name="Normal 32 5 2 3 2 2" xfId="17490" xr:uid="{00000000-0005-0000-0000-00004E400000}"/>
    <cellStyle name="Normal 32 5 2 3 2 2 2" xfId="34064" xr:uid="{00000000-0005-0000-0000-00004F400000}"/>
    <cellStyle name="Normal 32 5 2 3 2 3" xfId="26017" xr:uid="{00000000-0005-0000-0000-000050400000}"/>
    <cellStyle name="Normal 32 5 2 3 3" xfId="13638" xr:uid="{00000000-0005-0000-0000-000051400000}"/>
    <cellStyle name="Normal 32 5 2 3 3 2" xfId="30182" xr:uid="{00000000-0005-0000-0000-000052400000}"/>
    <cellStyle name="Normal 32 5 2 3 4" xfId="22139" xr:uid="{00000000-0005-0000-0000-000053400000}"/>
    <cellStyle name="Normal 32 5 2 4" xfId="8132" xr:uid="{00000000-0005-0000-0000-000054400000}"/>
    <cellStyle name="Normal 32 5 2 4 2" xfId="17491" xr:uid="{00000000-0005-0000-0000-000055400000}"/>
    <cellStyle name="Normal 32 5 2 4 2 2" xfId="34065" xr:uid="{00000000-0005-0000-0000-000056400000}"/>
    <cellStyle name="Normal 32 5 2 4 3" xfId="26018" xr:uid="{00000000-0005-0000-0000-000057400000}"/>
    <cellStyle name="Normal 32 5 2 5" xfId="13635" xr:uid="{00000000-0005-0000-0000-000058400000}"/>
    <cellStyle name="Normal 32 5 2 5 2" xfId="30179" xr:uid="{00000000-0005-0000-0000-000059400000}"/>
    <cellStyle name="Normal 32 5 2 6" xfId="22136" xr:uid="{00000000-0005-0000-0000-00005A400000}"/>
    <cellStyle name="Normal 32 5 3" xfId="4066" xr:uid="{00000000-0005-0000-0000-00005B400000}"/>
    <cellStyle name="Normal 32 5 3 2" xfId="4067" xr:uid="{00000000-0005-0000-0000-00005C400000}"/>
    <cellStyle name="Normal 32 5 3 2 2" xfId="8133" xr:uid="{00000000-0005-0000-0000-00005D400000}"/>
    <cellStyle name="Normal 32 5 3 2 2 2" xfId="17492" xr:uid="{00000000-0005-0000-0000-00005E400000}"/>
    <cellStyle name="Normal 32 5 3 2 2 2 2" xfId="34066" xr:uid="{00000000-0005-0000-0000-00005F400000}"/>
    <cellStyle name="Normal 32 5 3 2 2 3" xfId="26019" xr:uid="{00000000-0005-0000-0000-000060400000}"/>
    <cellStyle name="Normal 32 5 3 2 3" xfId="13640" xr:uid="{00000000-0005-0000-0000-000061400000}"/>
    <cellStyle name="Normal 32 5 3 2 3 2" xfId="30184" xr:uid="{00000000-0005-0000-0000-000062400000}"/>
    <cellStyle name="Normal 32 5 3 2 4" xfId="22141" xr:uid="{00000000-0005-0000-0000-000063400000}"/>
    <cellStyle name="Normal 32 5 3 3" xfId="8134" xr:uid="{00000000-0005-0000-0000-000064400000}"/>
    <cellStyle name="Normal 32 5 3 3 2" xfId="17493" xr:uid="{00000000-0005-0000-0000-000065400000}"/>
    <cellStyle name="Normal 32 5 3 3 2 2" xfId="34067" xr:uid="{00000000-0005-0000-0000-000066400000}"/>
    <cellStyle name="Normal 32 5 3 3 3" xfId="26020" xr:uid="{00000000-0005-0000-0000-000067400000}"/>
    <cellStyle name="Normal 32 5 3 4" xfId="13639" xr:uid="{00000000-0005-0000-0000-000068400000}"/>
    <cellStyle name="Normal 32 5 3 4 2" xfId="30183" xr:uid="{00000000-0005-0000-0000-000069400000}"/>
    <cellStyle name="Normal 32 5 3 5" xfId="22140" xr:uid="{00000000-0005-0000-0000-00006A400000}"/>
    <cellStyle name="Normal 32 5 4" xfId="4068" xr:uid="{00000000-0005-0000-0000-00006B400000}"/>
    <cellStyle name="Normal 32 5 4 2" xfId="8135" xr:uid="{00000000-0005-0000-0000-00006C400000}"/>
    <cellStyle name="Normal 32 5 4 2 2" xfId="17494" xr:uid="{00000000-0005-0000-0000-00006D400000}"/>
    <cellStyle name="Normal 32 5 4 2 2 2" xfId="34068" xr:uid="{00000000-0005-0000-0000-00006E400000}"/>
    <cellStyle name="Normal 32 5 4 2 3" xfId="26021" xr:uid="{00000000-0005-0000-0000-00006F400000}"/>
    <cellStyle name="Normal 32 5 4 3" xfId="13641" xr:uid="{00000000-0005-0000-0000-000070400000}"/>
    <cellStyle name="Normal 32 5 4 3 2" xfId="30185" xr:uid="{00000000-0005-0000-0000-000071400000}"/>
    <cellStyle name="Normal 32 5 4 4" xfId="22142" xr:uid="{00000000-0005-0000-0000-000072400000}"/>
    <cellStyle name="Normal 32 5 5" xfId="8136" xr:uid="{00000000-0005-0000-0000-000073400000}"/>
    <cellStyle name="Normal 32 5 5 2" xfId="17495" xr:uid="{00000000-0005-0000-0000-000074400000}"/>
    <cellStyle name="Normal 32 5 5 2 2" xfId="34069" xr:uid="{00000000-0005-0000-0000-000075400000}"/>
    <cellStyle name="Normal 32 5 5 3" xfId="26022" xr:uid="{00000000-0005-0000-0000-000076400000}"/>
    <cellStyle name="Normal 32 5 6" xfId="13634" xr:uid="{00000000-0005-0000-0000-000077400000}"/>
    <cellStyle name="Normal 32 5 6 2" xfId="30178" xr:uid="{00000000-0005-0000-0000-000078400000}"/>
    <cellStyle name="Normal 32 5 7" xfId="22135" xr:uid="{00000000-0005-0000-0000-000079400000}"/>
    <cellStyle name="Normal 32 6" xfId="4069" xr:uid="{00000000-0005-0000-0000-00007A400000}"/>
    <cellStyle name="Normal 32 6 2" xfId="4070" xr:uid="{00000000-0005-0000-0000-00007B400000}"/>
    <cellStyle name="Normal 32 6 2 2" xfId="4071" xr:uid="{00000000-0005-0000-0000-00007C400000}"/>
    <cellStyle name="Normal 32 6 2 2 2" xfId="8137" xr:uid="{00000000-0005-0000-0000-00007D400000}"/>
    <cellStyle name="Normal 32 6 2 2 2 2" xfId="17496" xr:uid="{00000000-0005-0000-0000-00007E400000}"/>
    <cellStyle name="Normal 32 6 2 2 2 2 2" xfId="34070" xr:uid="{00000000-0005-0000-0000-00007F400000}"/>
    <cellStyle name="Normal 32 6 2 2 2 3" xfId="26023" xr:uid="{00000000-0005-0000-0000-000080400000}"/>
    <cellStyle name="Normal 32 6 2 2 3" xfId="13644" xr:uid="{00000000-0005-0000-0000-000081400000}"/>
    <cellStyle name="Normal 32 6 2 2 3 2" xfId="30188" xr:uid="{00000000-0005-0000-0000-000082400000}"/>
    <cellStyle name="Normal 32 6 2 2 4" xfId="22145" xr:uid="{00000000-0005-0000-0000-000083400000}"/>
    <cellStyle name="Normal 32 6 2 3" xfId="8138" xr:uid="{00000000-0005-0000-0000-000084400000}"/>
    <cellStyle name="Normal 32 6 2 3 2" xfId="17497" xr:uid="{00000000-0005-0000-0000-000085400000}"/>
    <cellStyle name="Normal 32 6 2 3 2 2" xfId="34071" xr:uid="{00000000-0005-0000-0000-000086400000}"/>
    <cellStyle name="Normal 32 6 2 3 3" xfId="26024" xr:uid="{00000000-0005-0000-0000-000087400000}"/>
    <cellStyle name="Normal 32 6 2 4" xfId="13643" xr:uid="{00000000-0005-0000-0000-000088400000}"/>
    <cellStyle name="Normal 32 6 2 4 2" xfId="30187" xr:uid="{00000000-0005-0000-0000-000089400000}"/>
    <cellStyle name="Normal 32 6 2 5" xfId="22144" xr:uid="{00000000-0005-0000-0000-00008A400000}"/>
    <cellStyle name="Normal 32 6 3" xfId="4072" xr:uid="{00000000-0005-0000-0000-00008B400000}"/>
    <cellStyle name="Normal 32 6 3 2" xfId="8139" xr:uid="{00000000-0005-0000-0000-00008C400000}"/>
    <cellStyle name="Normal 32 6 3 2 2" xfId="17498" xr:uid="{00000000-0005-0000-0000-00008D400000}"/>
    <cellStyle name="Normal 32 6 3 2 2 2" xfId="34072" xr:uid="{00000000-0005-0000-0000-00008E400000}"/>
    <cellStyle name="Normal 32 6 3 2 3" xfId="26025" xr:uid="{00000000-0005-0000-0000-00008F400000}"/>
    <cellStyle name="Normal 32 6 3 3" xfId="13645" xr:uid="{00000000-0005-0000-0000-000090400000}"/>
    <cellStyle name="Normal 32 6 3 3 2" xfId="30189" xr:uid="{00000000-0005-0000-0000-000091400000}"/>
    <cellStyle name="Normal 32 6 3 4" xfId="22146" xr:uid="{00000000-0005-0000-0000-000092400000}"/>
    <cellStyle name="Normal 32 6 4" xfId="8140" xr:uid="{00000000-0005-0000-0000-000093400000}"/>
    <cellStyle name="Normal 32 6 4 2" xfId="17499" xr:uid="{00000000-0005-0000-0000-000094400000}"/>
    <cellStyle name="Normal 32 6 4 2 2" xfId="34073" xr:uid="{00000000-0005-0000-0000-000095400000}"/>
    <cellStyle name="Normal 32 6 4 3" xfId="26026" xr:uid="{00000000-0005-0000-0000-000096400000}"/>
    <cellStyle name="Normal 32 6 5" xfId="13642" xr:uid="{00000000-0005-0000-0000-000097400000}"/>
    <cellStyle name="Normal 32 6 5 2" xfId="30186" xr:uid="{00000000-0005-0000-0000-000098400000}"/>
    <cellStyle name="Normal 32 6 6" xfId="22143" xr:uid="{00000000-0005-0000-0000-000099400000}"/>
    <cellStyle name="Normal 32 7" xfId="4073" xr:uid="{00000000-0005-0000-0000-00009A400000}"/>
    <cellStyle name="Normal 32 7 2" xfId="4074" xr:uid="{00000000-0005-0000-0000-00009B400000}"/>
    <cellStyle name="Normal 32 7 2 2" xfId="8141" xr:uid="{00000000-0005-0000-0000-00009C400000}"/>
    <cellStyle name="Normal 32 7 2 2 2" xfId="17500" xr:uid="{00000000-0005-0000-0000-00009D400000}"/>
    <cellStyle name="Normal 32 7 2 2 2 2" xfId="34074" xr:uid="{00000000-0005-0000-0000-00009E400000}"/>
    <cellStyle name="Normal 32 7 2 2 3" xfId="26027" xr:uid="{00000000-0005-0000-0000-00009F400000}"/>
    <cellStyle name="Normal 32 7 2 3" xfId="13647" xr:uid="{00000000-0005-0000-0000-0000A0400000}"/>
    <cellStyle name="Normal 32 7 2 3 2" xfId="30191" xr:uid="{00000000-0005-0000-0000-0000A1400000}"/>
    <cellStyle name="Normal 32 7 2 4" xfId="22148" xr:uid="{00000000-0005-0000-0000-0000A2400000}"/>
    <cellStyle name="Normal 32 7 3" xfId="8142" xr:uid="{00000000-0005-0000-0000-0000A3400000}"/>
    <cellStyle name="Normal 32 7 3 2" xfId="17501" xr:uid="{00000000-0005-0000-0000-0000A4400000}"/>
    <cellStyle name="Normal 32 7 3 2 2" xfId="34075" xr:uid="{00000000-0005-0000-0000-0000A5400000}"/>
    <cellStyle name="Normal 32 7 3 3" xfId="26028" xr:uid="{00000000-0005-0000-0000-0000A6400000}"/>
    <cellStyle name="Normal 32 7 4" xfId="13646" xr:uid="{00000000-0005-0000-0000-0000A7400000}"/>
    <cellStyle name="Normal 32 7 4 2" xfId="30190" xr:uid="{00000000-0005-0000-0000-0000A8400000}"/>
    <cellStyle name="Normal 32 7 5" xfId="22147" xr:uid="{00000000-0005-0000-0000-0000A9400000}"/>
    <cellStyle name="Normal 32 8" xfId="4075" xr:uid="{00000000-0005-0000-0000-0000AA400000}"/>
    <cellStyle name="Normal 32 8 2" xfId="8143" xr:uid="{00000000-0005-0000-0000-0000AB400000}"/>
    <cellStyle name="Normal 32 8 2 2" xfId="17502" xr:uid="{00000000-0005-0000-0000-0000AC400000}"/>
    <cellStyle name="Normal 32 8 2 2 2" xfId="34076" xr:uid="{00000000-0005-0000-0000-0000AD400000}"/>
    <cellStyle name="Normal 32 8 2 3" xfId="26029" xr:uid="{00000000-0005-0000-0000-0000AE400000}"/>
    <cellStyle name="Normal 32 8 3" xfId="13648" xr:uid="{00000000-0005-0000-0000-0000AF400000}"/>
    <cellStyle name="Normal 32 8 3 2" xfId="30192" xr:uid="{00000000-0005-0000-0000-0000B0400000}"/>
    <cellStyle name="Normal 32 8 4" xfId="22149" xr:uid="{00000000-0005-0000-0000-0000B1400000}"/>
    <cellStyle name="Normal 32 9" xfId="8144" xr:uid="{00000000-0005-0000-0000-0000B2400000}"/>
    <cellStyle name="Normal 32 9 2" xfId="17503" xr:uid="{00000000-0005-0000-0000-0000B3400000}"/>
    <cellStyle name="Normal 32 9 2 2" xfId="34077" xr:uid="{00000000-0005-0000-0000-0000B4400000}"/>
    <cellStyle name="Normal 32 9 3" xfId="26030" xr:uid="{00000000-0005-0000-0000-0000B5400000}"/>
    <cellStyle name="Normal 320" xfId="11000" xr:uid="{00000000-0005-0000-0000-0000B6400000}"/>
    <cellStyle name="Normal 321" xfId="11003" xr:uid="{00000000-0005-0000-0000-0000B7400000}"/>
    <cellStyle name="Normal 322" xfId="11006" xr:uid="{00000000-0005-0000-0000-0000B8400000}"/>
    <cellStyle name="Normal 323" xfId="11009" xr:uid="{00000000-0005-0000-0000-0000B9400000}"/>
    <cellStyle name="Normal 324" xfId="11012" xr:uid="{00000000-0005-0000-0000-0000BA400000}"/>
    <cellStyle name="Normal 325" xfId="11015" xr:uid="{00000000-0005-0000-0000-0000BB400000}"/>
    <cellStyle name="Normal 326" xfId="11018" xr:uid="{00000000-0005-0000-0000-0000BC400000}"/>
    <cellStyle name="Normal 327" xfId="11021" xr:uid="{00000000-0005-0000-0000-0000BD400000}"/>
    <cellStyle name="Normal 328" xfId="11024" xr:uid="{00000000-0005-0000-0000-0000BE400000}"/>
    <cellStyle name="Normal 329" xfId="11027" xr:uid="{00000000-0005-0000-0000-0000BF400000}"/>
    <cellStyle name="Normal 33" xfId="4076" xr:uid="{00000000-0005-0000-0000-0000C0400000}"/>
    <cellStyle name="Normal 33 10" xfId="13649" xr:uid="{00000000-0005-0000-0000-0000C1400000}"/>
    <cellStyle name="Normal 33 10 2" xfId="30193" xr:uid="{00000000-0005-0000-0000-0000C2400000}"/>
    <cellStyle name="Normal 33 11" xfId="22150" xr:uid="{00000000-0005-0000-0000-0000C3400000}"/>
    <cellStyle name="Normal 33 2" xfId="4077" xr:uid="{00000000-0005-0000-0000-0000C4400000}"/>
    <cellStyle name="Normal 33 2 2" xfId="4078" xr:uid="{00000000-0005-0000-0000-0000C5400000}"/>
    <cellStyle name="Normal 33 2 3" xfId="13650" xr:uid="{00000000-0005-0000-0000-0000C6400000}"/>
    <cellStyle name="Normal 33 2 3 2" xfId="30194" xr:uid="{00000000-0005-0000-0000-0000C7400000}"/>
    <cellStyle name="Normal 33 2 4" xfId="22151" xr:uid="{00000000-0005-0000-0000-0000C8400000}"/>
    <cellStyle name="Normal 33 3" xfId="4079" xr:uid="{00000000-0005-0000-0000-0000C9400000}"/>
    <cellStyle name="Normal 33 3 2" xfId="4080" xr:uid="{00000000-0005-0000-0000-0000CA400000}"/>
    <cellStyle name="Normal 33 3 2 2" xfId="4081" xr:uid="{00000000-0005-0000-0000-0000CB400000}"/>
    <cellStyle name="Normal 33 3 2 2 2" xfId="4082" xr:uid="{00000000-0005-0000-0000-0000CC400000}"/>
    <cellStyle name="Normal 33 3 2 2 2 2" xfId="8145" xr:uid="{00000000-0005-0000-0000-0000CD400000}"/>
    <cellStyle name="Normal 33 3 2 2 2 2 2" xfId="17504" xr:uid="{00000000-0005-0000-0000-0000CE400000}"/>
    <cellStyle name="Normal 33 3 2 2 2 2 2 2" xfId="34078" xr:uid="{00000000-0005-0000-0000-0000CF400000}"/>
    <cellStyle name="Normal 33 3 2 2 2 2 3" xfId="26031" xr:uid="{00000000-0005-0000-0000-0000D0400000}"/>
    <cellStyle name="Normal 33 3 2 2 2 3" xfId="13653" xr:uid="{00000000-0005-0000-0000-0000D1400000}"/>
    <cellStyle name="Normal 33 3 2 2 2 3 2" xfId="30197" xr:uid="{00000000-0005-0000-0000-0000D2400000}"/>
    <cellStyle name="Normal 33 3 2 2 2 4" xfId="22154" xr:uid="{00000000-0005-0000-0000-0000D3400000}"/>
    <cellStyle name="Normal 33 3 2 2 3" xfId="8146" xr:uid="{00000000-0005-0000-0000-0000D4400000}"/>
    <cellStyle name="Normal 33 3 2 2 3 2" xfId="17505" xr:uid="{00000000-0005-0000-0000-0000D5400000}"/>
    <cellStyle name="Normal 33 3 2 2 3 2 2" xfId="34079" xr:uid="{00000000-0005-0000-0000-0000D6400000}"/>
    <cellStyle name="Normal 33 3 2 2 3 3" xfId="26032" xr:uid="{00000000-0005-0000-0000-0000D7400000}"/>
    <cellStyle name="Normal 33 3 2 2 4" xfId="13652" xr:uid="{00000000-0005-0000-0000-0000D8400000}"/>
    <cellStyle name="Normal 33 3 2 2 4 2" xfId="30196" xr:uid="{00000000-0005-0000-0000-0000D9400000}"/>
    <cellStyle name="Normal 33 3 2 2 5" xfId="22153" xr:uid="{00000000-0005-0000-0000-0000DA400000}"/>
    <cellStyle name="Normal 33 3 2 3" xfId="4083" xr:uid="{00000000-0005-0000-0000-0000DB400000}"/>
    <cellStyle name="Normal 33 3 2 3 2" xfId="8147" xr:uid="{00000000-0005-0000-0000-0000DC400000}"/>
    <cellStyle name="Normal 33 3 2 3 2 2" xfId="17506" xr:uid="{00000000-0005-0000-0000-0000DD400000}"/>
    <cellStyle name="Normal 33 3 2 3 2 2 2" xfId="34080" xr:uid="{00000000-0005-0000-0000-0000DE400000}"/>
    <cellStyle name="Normal 33 3 2 3 2 3" xfId="26033" xr:uid="{00000000-0005-0000-0000-0000DF400000}"/>
    <cellStyle name="Normal 33 3 2 3 3" xfId="13654" xr:uid="{00000000-0005-0000-0000-0000E0400000}"/>
    <cellStyle name="Normal 33 3 2 3 3 2" xfId="30198" xr:uid="{00000000-0005-0000-0000-0000E1400000}"/>
    <cellStyle name="Normal 33 3 2 3 4" xfId="22155" xr:uid="{00000000-0005-0000-0000-0000E2400000}"/>
    <cellStyle name="Normal 33 3 2 4" xfId="8148" xr:uid="{00000000-0005-0000-0000-0000E3400000}"/>
    <cellStyle name="Normal 33 3 2 4 2" xfId="17507" xr:uid="{00000000-0005-0000-0000-0000E4400000}"/>
    <cellStyle name="Normal 33 3 2 4 2 2" xfId="34081" xr:uid="{00000000-0005-0000-0000-0000E5400000}"/>
    <cellStyle name="Normal 33 3 2 4 3" xfId="26034" xr:uid="{00000000-0005-0000-0000-0000E6400000}"/>
    <cellStyle name="Normal 33 3 2 5" xfId="13651" xr:uid="{00000000-0005-0000-0000-0000E7400000}"/>
    <cellStyle name="Normal 33 3 2 5 2" xfId="30195" xr:uid="{00000000-0005-0000-0000-0000E8400000}"/>
    <cellStyle name="Normal 33 3 2 6" xfId="22152" xr:uid="{00000000-0005-0000-0000-0000E9400000}"/>
    <cellStyle name="Normal 33 3 3" xfId="4084" xr:uid="{00000000-0005-0000-0000-0000EA400000}"/>
    <cellStyle name="Normal 33 3 3 2" xfId="4085" xr:uid="{00000000-0005-0000-0000-0000EB400000}"/>
    <cellStyle name="Normal 33 3 3 2 2" xfId="8149" xr:uid="{00000000-0005-0000-0000-0000EC400000}"/>
    <cellStyle name="Normal 33 3 3 2 2 2" xfId="17508" xr:uid="{00000000-0005-0000-0000-0000ED400000}"/>
    <cellStyle name="Normal 33 3 3 2 2 2 2" xfId="34082" xr:uid="{00000000-0005-0000-0000-0000EE400000}"/>
    <cellStyle name="Normal 33 3 3 2 2 3" xfId="26035" xr:uid="{00000000-0005-0000-0000-0000EF400000}"/>
    <cellStyle name="Normal 33 3 3 2 3" xfId="13656" xr:uid="{00000000-0005-0000-0000-0000F0400000}"/>
    <cellStyle name="Normal 33 3 3 2 3 2" xfId="30200" xr:uid="{00000000-0005-0000-0000-0000F1400000}"/>
    <cellStyle name="Normal 33 3 3 2 4" xfId="22157" xr:uid="{00000000-0005-0000-0000-0000F2400000}"/>
    <cellStyle name="Normal 33 3 3 3" xfId="8150" xr:uid="{00000000-0005-0000-0000-0000F3400000}"/>
    <cellStyle name="Normal 33 3 3 3 2" xfId="17509" xr:uid="{00000000-0005-0000-0000-0000F4400000}"/>
    <cellStyle name="Normal 33 3 3 3 2 2" xfId="34083" xr:uid="{00000000-0005-0000-0000-0000F5400000}"/>
    <cellStyle name="Normal 33 3 3 3 3" xfId="26036" xr:uid="{00000000-0005-0000-0000-0000F6400000}"/>
    <cellStyle name="Normal 33 3 3 4" xfId="13655" xr:uid="{00000000-0005-0000-0000-0000F7400000}"/>
    <cellStyle name="Normal 33 3 3 4 2" xfId="30199" xr:uid="{00000000-0005-0000-0000-0000F8400000}"/>
    <cellStyle name="Normal 33 3 3 5" xfId="22156" xr:uid="{00000000-0005-0000-0000-0000F9400000}"/>
    <cellStyle name="Normal 33 3 4" xfId="4086" xr:uid="{00000000-0005-0000-0000-0000FA400000}"/>
    <cellStyle name="Normal 33 3 4 2" xfId="8151" xr:uid="{00000000-0005-0000-0000-0000FB400000}"/>
    <cellStyle name="Normal 33 3 4 2 2" xfId="17510" xr:uid="{00000000-0005-0000-0000-0000FC400000}"/>
    <cellStyle name="Normal 33 3 4 2 2 2" xfId="34084" xr:uid="{00000000-0005-0000-0000-0000FD400000}"/>
    <cellStyle name="Normal 33 3 4 2 3" xfId="26037" xr:uid="{00000000-0005-0000-0000-0000FE400000}"/>
    <cellStyle name="Normal 33 3 4 3" xfId="13657" xr:uid="{00000000-0005-0000-0000-0000FF400000}"/>
    <cellStyle name="Normal 33 3 4 3 2" xfId="30201" xr:uid="{00000000-0005-0000-0000-000000410000}"/>
    <cellStyle name="Normal 33 3 4 4" xfId="22158" xr:uid="{00000000-0005-0000-0000-000001410000}"/>
    <cellStyle name="Normal 33 3 5" xfId="4087" xr:uid="{00000000-0005-0000-0000-000002410000}"/>
    <cellStyle name="Normal 33 3 5 2" xfId="13658" xr:uid="{00000000-0005-0000-0000-000003410000}"/>
    <cellStyle name="Normal 33 3 5 2 2" xfId="30202" xr:uid="{00000000-0005-0000-0000-000004410000}"/>
    <cellStyle name="Normal 33 3 5 3" xfId="22159" xr:uid="{00000000-0005-0000-0000-000005410000}"/>
    <cellStyle name="Normal 33 4" xfId="4088" xr:uid="{00000000-0005-0000-0000-000006410000}"/>
    <cellStyle name="Normal 33 4 2" xfId="4089" xr:uid="{00000000-0005-0000-0000-000007410000}"/>
    <cellStyle name="Normal 33 4 2 2" xfId="4090" xr:uid="{00000000-0005-0000-0000-000008410000}"/>
    <cellStyle name="Normal 33 4 2 2 2" xfId="4091" xr:uid="{00000000-0005-0000-0000-000009410000}"/>
    <cellStyle name="Normal 33 4 2 2 2 2" xfId="8152" xr:uid="{00000000-0005-0000-0000-00000A410000}"/>
    <cellStyle name="Normal 33 4 2 2 2 2 2" xfId="17511" xr:uid="{00000000-0005-0000-0000-00000B410000}"/>
    <cellStyle name="Normal 33 4 2 2 2 2 2 2" xfId="34085" xr:uid="{00000000-0005-0000-0000-00000C410000}"/>
    <cellStyle name="Normal 33 4 2 2 2 2 3" xfId="26038" xr:uid="{00000000-0005-0000-0000-00000D410000}"/>
    <cellStyle name="Normal 33 4 2 2 2 3" xfId="13662" xr:uid="{00000000-0005-0000-0000-00000E410000}"/>
    <cellStyle name="Normal 33 4 2 2 2 3 2" xfId="30206" xr:uid="{00000000-0005-0000-0000-00000F410000}"/>
    <cellStyle name="Normal 33 4 2 2 2 4" xfId="22163" xr:uid="{00000000-0005-0000-0000-000010410000}"/>
    <cellStyle name="Normal 33 4 2 2 3" xfId="8153" xr:uid="{00000000-0005-0000-0000-000011410000}"/>
    <cellStyle name="Normal 33 4 2 2 3 2" xfId="17512" xr:uid="{00000000-0005-0000-0000-000012410000}"/>
    <cellStyle name="Normal 33 4 2 2 3 2 2" xfId="34086" xr:uid="{00000000-0005-0000-0000-000013410000}"/>
    <cellStyle name="Normal 33 4 2 2 3 3" xfId="26039" xr:uid="{00000000-0005-0000-0000-000014410000}"/>
    <cellStyle name="Normal 33 4 2 2 4" xfId="13661" xr:uid="{00000000-0005-0000-0000-000015410000}"/>
    <cellStyle name="Normal 33 4 2 2 4 2" xfId="30205" xr:uid="{00000000-0005-0000-0000-000016410000}"/>
    <cellStyle name="Normal 33 4 2 2 5" xfId="22162" xr:uid="{00000000-0005-0000-0000-000017410000}"/>
    <cellStyle name="Normal 33 4 2 3" xfId="4092" xr:uid="{00000000-0005-0000-0000-000018410000}"/>
    <cellStyle name="Normal 33 4 2 3 2" xfId="8154" xr:uid="{00000000-0005-0000-0000-000019410000}"/>
    <cellStyle name="Normal 33 4 2 3 2 2" xfId="17513" xr:uid="{00000000-0005-0000-0000-00001A410000}"/>
    <cellStyle name="Normal 33 4 2 3 2 2 2" xfId="34087" xr:uid="{00000000-0005-0000-0000-00001B410000}"/>
    <cellStyle name="Normal 33 4 2 3 2 3" xfId="26040" xr:uid="{00000000-0005-0000-0000-00001C410000}"/>
    <cellStyle name="Normal 33 4 2 3 3" xfId="13663" xr:uid="{00000000-0005-0000-0000-00001D410000}"/>
    <cellStyle name="Normal 33 4 2 3 3 2" xfId="30207" xr:uid="{00000000-0005-0000-0000-00001E410000}"/>
    <cellStyle name="Normal 33 4 2 3 4" xfId="22164" xr:uid="{00000000-0005-0000-0000-00001F410000}"/>
    <cellStyle name="Normal 33 4 2 4" xfId="8155" xr:uid="{00000000-0005-0000-0000-000020410000}"/>
    <cellStyle name="Normal 33 4 2 4 2" xfId="17514" xr:uid="{00000000-0005-0000-0000-000021410000}"/>
    <cellStyle name="Normal 33 4 2 4 2 2" xfId="34088" xr:uid="{00000000-0005-0000-0000-000022410000}"/>
    <cellStyle name="Normal 33 4 2 4 3" xfId="26041" xr:uid="{00000000-0005-0000-0000-000023410000}"/>
    <cellStyle name="Normal 33 4 2 5" xfId="13660" xr:uid="{00000000-0005-0000-0000-000024410000}"/>
    <cellStyle name="Normal 33 4 2 5 2" xfId="30204" xr:uid="{00000000-0005-0000-0000-000025410000}"/>
    <cellStyle name="Normal 33 4 2 6" xfId="22161" xr:uid="{00000000-0005-0000-0000-000026410000}"/>
    <cellStyle name="Normal 33 4 3" xfId="4093" xr:uid="{00000000-0005-0000-0000-000027410000}"/>
    <cellStyle name="Normal 33 4 3 2" xfId="4094" xr:uid="{00000000-0005-0000-0000-000028410000}"/>
    <cellStyle name="Normal 33 4 3 2 2" xfId="8156" xr:uid="{00000000-0005-0000-0000-000029410000}"/>
    <cellStyle name="Normal 33 4 3 2 2 2" xfId="17515" xr:uid="{00000000-0005-0000-0000-00002A410000}"/>
    <cellStyle name="Normal 33 4 3 2 2 2 2" xfId="34089" xr:uid="{00000000-0005-0000-0000-00002B410000}"/>
    <cellStyle name="Normal 33 4 3 2 2 3" xfId="26042" xr:uid="{00000000-0005-0000-0000-00002C410000}"/>
    <cellStyle name="Normal 33 4 3 2 3" xfId="13665" xr:uid="{00000000-0005-0000-0000-00002D410000}"/>
    <cellStyle name="Normal 33 4 3 2 3 2" xfId="30209" xr:uid="{00000000-0005-0000-0000-00002E410000}"/>
    <cellStyle name="Normal 33 4 3 2 4" xfId="22166" xr:uid="{00000000-0005-0000-0000-00002F410000}"/>
    <cellStyle name="Normal 33 4 3 3" xfId="8157" xr:uid="{00000000-0005-0000-0000-000030410000}"/>
    <cellStyle name="Normal 33 4 3 3 2" xfId="17516" xr:uid="{00000000-0005-0000-0000-000031410000}"/>
    <cellStyle name="Normal 33 4 3 3 2 2" xfId="34090" xr:uid="{00000000-0005-0000-0000-000032410000}"/>
    <cellStyle name="Normal 33 4 3 3 3" xfId="26043" xr:uid="{00000000-0005-0000-0000-000033410000}"/>
    <cellStyle name="Normal 33 4 3 4" xfId="13664" xr:uid="{00000000-0005-0000-0000-000034410000}"/>
    <cellStyle name="Normal 33 4 3 4 2" xfId="30208" xr:uid="{00000000-0005-0000-0000-000035410000}"/>
    <cellStyle name="Normal 33 4 3 5" xfId="22165" xr:uid="{00000000-0005-0000-0000-000036410000}"/>
    <cellStyle name="Normal 33 4 4" xfId="4095" xr:uid="{00000000-0005-0000-0000-000037410000}"/>
    <cellStyle name="Normal 33 4 4 2" xfId="8158" xr:uid="{00000000-0005-0000-0000-000038410000}"/>
    <cellStyle name="Normal 33 4 4 2 2" xfId="17517" xr:uid="{00000000-0005-0000-0000-000039410000}"/>
    <cellStyle name="Normal 33 4 4 2 2 2" xfId="34091" xr:uid="{00000000-0005-0000-0000-00003A410000}"/>
    <cellStyle name="Normal 33 4 4 2 3" xfId="26044" xr:uid="{00000000-0005-0000-0000-00003B410000}"/>
    <cellStyle name="Normal 33 4 4 3" xfId="13666" xr:uid="{00000000-0005-0000-0000-00003C410000}"/>
    <cellStyle name="Normal 33 4 4 3 2" xfId="30210" xr:uid="{00000000-0005-0000-0000-00003D410000}"/>
    <cellStyle name="Normal 33 4 4 4" xfId="22167" xr:uid="{00000000-0005-0000-0000-00003E410000}"/>
    <cellStyle name="Normal 33 4 5" xfId="8159" xr:uid="{00000000-0005-0000-0000-00003F410000}"/>
    <cellStyle name="Normal 33 4 5 2" xfId="17518" xr:uid="{00000000-0005-0000-0000-000040410000}"/>
    <cellStyle name="Normal 33 4 5 2 2" xfId="34092" xr:uid="{00000000-0005-0000-0000-000041410000}"/>
    <cellStyle name="Normal 33 4 5 3" xfId="26045" xr:uid="{00000000-0005-0000-0000-000042410000}"/>
    <cellStyle name="Normal 33 4 6" xfId="13659" xr:uid="{00000000-0005-0000-0000-000043410000}"/>
    <cellStyle name="Normal 33 4 6 2" xfId="30203" xr:uid="{00000000-0005-0000-0000-000044410000}"/>
    <cellStyle name="Normal 33 4 7" xfId="22160" xr:uid="{00000000-0005-0000-0000-000045410000}"/>
    <cellStyle name="Normal 33 5" xfId="4096" xr:uid="{00000000-0005-0000-0000-000046410000}"/>
    <cellStyle name="Normal 33 5 2" xfId="4097" xr:uid="{00000000-0005-0000-0000-000047410000}"/>
    <cellStyle name="Normal 33 5 2 2" xfId="4098" xr:uid="{00000000-0005-0000-0000-000048410000}"/>
    <cellStyle name="Normal 33 5 2 2 2" xfId="4099" xr:uid="{00000000-0005-0000-0000-000049410000}"/>
    <cellStyle name="Normal 33 5 2 2 2 2" xfId="8160" xr:uid="{00000000-0005-0000-0000-00004A410000}"/>
    <cellStyle name="Normal 33 5 2 2 2 2 2" xfId="17519" xr:uid="{00000000-0005-0000-0000-00004B410000}"/>
    <cellStyle name="Normal 33 5 2 2 2 2 2 2" xfId="34093" xr:uid="{00000000-0005-0000-0000-00004C410000}"/>
    <cellStyle name="Normal 33 5 2 2 2 2 3" xfId="26046" xr:uid="{00000000-0005-0000-0000-00004D410000}"/>
    <cellStyle name="Normal 33 5 2 2 2 3" xfId="13670" xr:uid="{00000000-0005-0000-0000-00004E410000}"/>
    <cellStyle name="Normal 33 5 2 2 2 3 2" xfId="30214" xr:uid="{00000000-0005-0000-0000-00004F410000}"/>
    <cellStyle name="Normal 33 5 2 2 2 4" xfId="22171" xr:uid="{00000000-0005-0000-0000-000050410000}"/>
    <cellStyle name="Normal 33 5 2 2 3" xfId="8161" xr:uid="{00000000-0005-0000-0000-000051410000}"/>
    <cellStyle name="Normal 33 5 2 2 3 2" xfId="17520" xr:uid="{00000000-0005-0000-0000-000052410000}"/>
    <cellStyle name="Normal 33 5 2 2 3 2 2" xfId="34094" xr:uid="{00000000-0005-0000-0000-000053410000}"/>
    <cellStyle name="Normal 33 5 2 2 3 3" xfId="26047" xr:uid="{00000000-0005-0000-0000-000054410000}"/>
    <cellStyle name="Normal 33 5 2 2 4" xfId="13669" xr:uid="{00000000-0005-0000-0000-000055410000}"/>
    <cellStyle name="Normal 33 5 2 2 4 2" xfId="30213" xr:uid="{00000000-0005-0000-0000-000056410000}"/>
    <cellStyle name="Normal 33 5 2 2 5" xfId="22170" xr:uid="{00000000-0005-0000-0000-000057410000}"/>
    <cellStyle name="Normal 33 5 2 3" xfId="4100" xr:uid="{00000000-0005-0000-0000-000058410000}"/>
    <cellStyle name="Normal 33 5 2 3 2" xfId="8162" xr:uid="{00000000-0005-0000-0000-000059410000}"/>
    <cellStyle name="Normal 33 5 2 3 2 2" xfId="17521" xr:uid="{00000000-0005-0000-0000-00005A410000}"/>
    <cellStyle name="Normal 33 5 2 3 2 2 2" xfId="34095" xr:uid="{00000000-0005-0000-0000-00005B410000}"/>
    <cellStyle name="Normal 33 5 2 3 2 3" xfId="26048" xr:uid="{00000000-0005-0000-0000-00005C410000}"/>
    <cellStyle name="Normal 33 5 2 3 3" xfId="13671" xr:uid="{00000000-0005-0000-0000-00005D410000}"/>
    <cellStyle name="Normal 33 5 2 3 3 2" xfId="30215" xr:uid="{00000000-0005-0000-0000-00005E410000}"/>
    <cellStyle name="Normal 33 5 2 3 4" xfId="22172" xr:uid="{00000000-0005-0000-0000-00005F410000}"/>
    <cellStyle name="Normal 33 5 2 4" xfId="8163" xr:uid="{00000000-0005-0000-0000-000060410000}"/>
    <cellStyle name="Normal 33 5 2 4 2" xfId="17522" xr:uid="{00000000-0005-0000-0000-000061410000}"/>
    <cellStyle name="Normal 33 5 2 4 2 2" xfId="34096" xr:uid="{00000000-0005-0000-0000-000062410000}"/>
    <cellStyle name="Normal 33 5 2 4 3" xfId="26049" xr:uid="{00000000-0005-0000-0000-000063410000}"/>
    <cellStyle name="Normal 33 5 2 5" xfId="13668" xr:uid="{00000000-0005-0000-0000-000064410000}"/>
    <cellStyle name="Normal 33 5 2 5 2" xfId="30212" xr:uid="{00000000-0005-0000-0000-000065410000}"/>
    <cellStyle name="Normal 33 5 2 6" xfId="22169" xr:uid="{00000000-0005-0000-0000-000066410000}"/>
    <cellStyle name="Normal 33 5 3" xfId="4101" xr:uid="{00000000-0005-0000-0000-000067410000}"/>
    <cellStyle name="Normal 33 5 3 2" xfId="4102" xr:uid="{00000000-0005-0000-0000-000068410000}"/>
    <cellStyle name="Normal 33 5 3 2 2" xfId="8164" xr:uid="{00000000-0005-0000-0000-000069410000}"/>
    <cellStyle name="Normal 33 5 3 2 2 2" xfId="17523" xr:uid="{00000000-0005-0000-0000-00006A410000}"/>
    <cellStyle name="Normal 33 5 3 2 2 2 2" xfId="34097" xr:uid="{00000000-0005-0000-0000-00006B410000}"/>
    <cellStyle name="Normal 33 5 3 2 2 3" xfId="26050" xr:uid="{00000000-0005-0000-0000-00006C410000}"/>
    <cellStyle name="Normal 33 5 3 2 3" xfId="13673" xr:uid="{00000000-0005-0000-0000-00006D410000}"/>
    <cellStyle name="Normal 33 5 3 2 3 2" xfId="30217" xr:uid="{00000000-0005-0000-0000-00006E410000}"/>
    <cellStyle name="Normal 33 5 3 2 4" xfId="22174" xr:uid="{00000000-0005-0000-0000-00006F410000}"/>
    <cellStyle name="Normal 33 5 3 3" xfId="8165" xr:uid="{00000000-0005-0000-0000-000070410000}"/>
    <cellStyle name="Normal 33 5 3 3 2" xfId="17524" xr:uid="{00000000-0005-0000-0000-000071410000}"/>
    <cellStyle name="Normal 33 5 3 3 2 2" xfId="34098" xr:uid="{00000000-0005-0000-0000-000072410000}"/>
    <cellStyle name="Normal 33 5 3 3 3" xfId="26051" xr:uid="{00000000-0005-0000-0000-000073410000}"/>
    <cellStyle name="Normal 33 5 3 4" xfId="13672" xr:uid="{00000000-0005-0000-0000-000074410000}"/>
    <cellStyle name="Normal 33 5 3 4 2" xfId="30216" xr:uid="{00000000-0005-0000-0000-000075410000}"/>
    <cellStyle name="Normal 33 5 3 5" xfId="22173" xr:uid="{00000000-0005-0000-0000-000076410000}"/>
    <cellStyle name="Normal 33 5 4" xfId="4103" xr:uid="{00000000-0005-0000-0000-000077410000}"/>
    <cellStyle name="Normal 33 5 4 2" xfId="8166" xr:uid="{00000000-0005-0000-0000-000078410000}"/>
    <cellStyle name="Normal 33 5 4 2 2" xfId="17525" xr:uid="{00000000-0005-0000-0000-000079410000}"/>
    <cellStyle name="Normal 33 5 4 2 2 2" xfId="34099" xr:uid="{00000000-0005-0000-0000-00007A410000}"/>
    <cellStyle name="Normal 33 5 4 2 3" xfId="26052" xr:uid="{00000000-0005-0000-0000-00007B410000}"/>
    <cellStyle name="Normal 33 5 4 3" xfId="13674" xr:uid="{00000000-0005-0000-0000-00007C410000}"/>
    <cellStyle name="Normal 33 5 4 3 2" xfId="30218" xr:uid="{00000000-0005-0000-0000-00007D410000}"/>
    <cellStyle name="Normal 33 5 4 4" xfId="22175" xr:uid="{00000000-0005-0000-0000-00007E410000}"/>
    <cellStyle name="Normal 33 5 5" xfId="8167" xr:uid="{00000000-0005-0000-0000-00007F410000}"/>
    <cellStyle name="Normal 33 5 5 2" xfId="17526" xr:uid="{00000000-0005-0000-0000-000080410000}"/>
    <cellStyle name="Normal 33 5 5 2 2" xfId="34100" xr:uid="{00000000-0005-0000-0000-000081410000}"/>
    <cellStyle name="Normal 33 5 5 3" xfId="26053" xr:uid="{00000000-0005-0000-0000-000082410000}"/>
    <cellStyle name="Normal 33 5 6" xfId="13667" xr:uid="{00000000-0005-0000-0000-000083410000}"/>
    <cellStyle name="Normal 33 5 6 2" xfId="30211" xr:uid="{00000000-0005-0000-0000-000084410000}"/>
    <cellStyle name="Normal 33 5 7" xfId="22168" xr:uid="{00000000-0005-0000-0000-000085410000}"/>
    <cellStyle name="Normal 33 6" xfId="4104" xr:uid="{00000000-0005-0000-0000-000086410000}"/>
    <cellStyle name="Normal 33 6 2" xfId="4105" xr:uid="{00000000-0005-0000-0000-000087410000}"/>
    <cellStyle name="Normal 33 6 2 2" xfId="4106" xr:uid="{00000000-0005-0000-0000-000088410000}"/>
    <cellStyle name="Normal 33 6 2 2 2" xfId="8168" xr:uid="{00000000-0005-0000-0000-000089410000}"/>
    <cellStyle name="Normal 33 6 2 2 2 2" xfId="17527" xr:uid="{00000000-0005-0000-0000-00008A410000}"/>
    <cellStyle name="Normal 33 6 2 2 2 2 2" xfId="34101" xr:uid="{00000000-0005-0000-0000-00008B410000}"/>
    <cellStyle name="Normal 33 6 2 2 2 3" xfId="26054" xr:uid="{00000000-0005-0000-0000-00008C410000}"/>
    <cellStyle name="Normal 33 6 2 2 3" xfId="13677" xr:uid="{00000000-0005-0000-0000-00008D410000}"/>
    <cellStyle name="Normal 33 6 2 2 3 2" xfId="30221" xr:uid="{00000000-0005-0000-0000-00008E410000}"/>
    <cellStyle name="Normal 33 6 2 2 4" xfId="22178" xr:uid="{00000000-0005-0000-0000-00008F410000}"/>
    <cellStyle name="Normal 33 6 2 3" xfId="8169" xr:uid="{00000000-0005-0000-0000-000090410000}"/>
    <cellStyle name="Normal 33 6 2 3 2" xfId="17528" xr:uid="{00000000-0005-0000-0000-000091410000}"/>
    <cellStyle name="Normal 33 6 2 3 2 2" xfId="34102" xr:uid="{00000000-0005-0000-0000-000092410000}"/>
    <cellStyle name="Normal 33 6 2 3 3" xfId="26055" xr:uid="{00000000-0005-0000-0000-000093410000}"/>
    <cellStyle name="Normal 33 6 2 4" xfId="13676" xr:uid="{00000000-0005-0000-0000-000094410000}"/>
    <cellStyle name="Normal 33 6 2 4 2" xfId="30220" xr:uid="{00000000-0005-0000-0000-000095410000}"/>
    <cellStyle name="Normal 33 6 2 5" xfId="22177" xr:uid="{00000000-0005-0000-0000-000096410000}"/>
    <cellStyle name="Normal 33 6 3" xfId="4107" xr:uid="{00000000-0005-0000-0000-000097410000}"/>
    <cellStyle name="Normal 33 6 3 2" xfId="8170" xr:uid="{00000000-0005-0000-0000-000098410000}"/>
    <cellStyle name="Normal 33 6 3 2 2" xfId="17529" xr:uid="{00000000-0005-0000-0000-000099410000}"/>
    <cellStyle name="Normal 33 6 3 2 2 2" xfId="34103" xr:uid="{00000000-0005-0000-0000-00009A410000}"/>
    <cellStyle name="Normal 33 6 3 2 3" xfId="26056" xr:uid="{00000000-0005-0000-0000-00009B410000}"/>
    <cellStyle name="Normal 33 6 3 3" xfId="13678" xr:uid="{00000000-0005-0000-0000-00009C410000}"/>
    <cellStyle name="Normal 33 6 3 3 2" xfId="30222" xr:uid="{00000000-0005-0000-0000-00009D410000}"/>
    <cellStyle name="Normal 33 6 3 4" xfId="22179" xr:uid="{00000000-0005-0000-0000-00009E410000}"/>
    <cellStyle name="Normal 33 6 4" xfId="8171" xr:uid="{00000000-0005-0000-0000-00009F410000}"/>
    <cellStyle name="Normal 33 6 4 2" xfId="17530" xr:uid="{00000000-0005-0000-0000-0000A0410000}"/>
    <cellStyle name="Normal 33 6 4 2 2" xfId="34104" xr:uid="{00000000-0005-0000-0000-0000A1410000}"/>
    <cellStyle name="Normal 33 6 4 3" xfId="26057" xr:uid="{00000000-0005-0000-0000-0000A2410000}"/>
    <cellStyle name="Normal 33 6 5" xfId="13675" xr:uid="{00000000-0005-0000-0000-0000A3410000}"/>
    <cellStyle name="Normal 33 6 5 2" xfId="30219" xr:uid="{00000000-0005-0000-0000-0000A4410000}"/>
    <cellStyle name="Normal 33 6 6" xfId="22176" xr:uid="{00000000-0005-0000-0000-0000A5410000}"/>
    <cellStyle name="Normal 33 7" xfId="4108" xr:uid="{00000000-0005-0000-0000-0000A6410000}"/>
    <cellStyle name="Normal 33 7 2" xfId="4109" xr:uid="{00000000-0005-0000-0000-0000A7410000}"/>
    <cellStyle name="Normal 33 7 2 2" xfId="8172" xr:uid="{00000000-0005-0000-0000-0000A8410000}"/>
    <cellStyle name="Normal 33 7 2 2 2" xfId="17531" xr:uid="{00000000-0005-0000-0000-0000A9410000}"/>
    <cellStyle name="Normal 33 7 2 2 2 2" xfId="34105" xr:uid="{00000000-0005-0000-0000-0000AA410000}"/>
    <cellStyle name="Normal 33 7 2 2 3" xfId="26058" xr:uid="{00000000-0005-0000-0000-0000AB410000}"/>
    <cellStyle name="Normal 33 7 2 3" xfId="13680" xr:uid="{00000000-0005-0000-0000-0000AC410000}"/>
    <cellStyle name="Normal 33 7 2 3 2" xfId="30224" xr:uid="{00000000-0005-0000-0000-0000AD410000}"/>
    <cellStyle name="Normal 33 7 2 4" xfId="22181" xr:uid="{00000000-0005-0000-0000-0000AE410000}"/>
    <cellStyle name="Normal 33 7 3" xfId="8173" xr:uid="{00000000-0005-0000-0000-0000AF410000}"/>
    <cellStyle name="Normal 33 7 3 2" xfId="17532" xr:uid="{00000000-0005-0000-0000-0000B0410000}"/>
    <cellStyle name="Normal 33 7 3 2 2" xfId="34106" xr:uid="{00000000-0005-0000-0000-0000B1410000}"/>
    <cellStyle name="Normal 33 7 3 3" xfId="26059" xr:uid="{00000000-0005-0000-0000-0000B2410000}"/>
    <cellStyle name="Normal 33 7 4" xfId="13679" xr:uid="{00000000-0005-0000-0000-0000B3410000}"/>
    <cellStyle name="Normal 33 7 4 2" xfId="30223" xr:uid="{00000000-0005-0000-0000-0000B4410000}"/>
    <cellStyle name="Normal 33 7 5" xfId="22180" xr:uid="{00000000-0005-0000-0000-0000B5410000}"/>
    <cellStyle name="Normal 33 8" xfId="4110" xr:uid="{00000000-0005-0000-0000-0000B6410000}"/>
    <cellStyle name="Normal 33 8 2" xfId="8174" xr:uid="{00000000-0005-0000-0000-0000B7410000}"/>
    <cellStyle name="Normal 33 8 2 2" xfId="17533" xr:uid="{00000000-0005-0000-0000-0000B8410000}"/>
    <cellStyle name="Normal 33 8 2 2 2" xfId="34107" xr:uid="{00000000-0005-0000-0000-0000B9410000}"/>
    <cellStyle name="Normal 33 8 2 3" xfId="26060" xr:uid="{00000000-0005-0000-0000-0000BA410000}"/>
    <cellStyle name="Normal 33 8 3" xfId="13681" xr:uid="{00000000-0005-0000-0000-0000BB410000}"/>
    <cellStyle name="Normal 33 8 3 2" xfId="30225" xr:uid="{00000000-0005-0000-0000-0000BC410000}"/>
    <cellStyle name="Normal 33 8 4" xfId="22182" xr:uid="{00000000-0005-0000-0000-0000BD410000}"/>
    <cellStyle name="Normal 33 9" xfId="8175" xr:uid="{00000000-0005-0000-0000-0000BE410000}"/>
    <cellStyle name="Normal 33 9 2" xfId="17534" xr:uid="{00000000-0005-0000-0000-0000BF410000}"/>
    <cellStyle name="Normal 33 9 2 2" xfId="34108" xr:uid="{00000000-0005-0000-0000-0000C0410000}"/>
    <cellStyle name="Normal 33 9 3" xfId="26061" xr:uid="{00000000-0005-0000-0000-0000C1410000}"/>
    <cellStyle name="Normal 330" xfId="11030" xr:uid="{00000000-0005-0000-0000-0000C2410000}"/>
    <cellStyle name="Normal 331" xfId="11033" xr:uid="{00000000-0005-0000-0000-0000C3410000}"/>
    <cellStyle name="Normal 332" xfId="11036" xr:uid="{00000000-0005-0000-0000-0000C4410000}"/>
    <cellStyle name="Normal 333" xfId="11039" xr:uid="{00000000-0005-0000-0000-0000C5410000}"/>
    <cellStyle name="Normal 334" xfId="11042" xr:uid="{00000000-0005-0000-0000-0000C6410000}"/>
    <cellStyle name="Normal 335" xfId="11045" xr:uid="{00000000-0005-0000-0000-0000C7410000}"/>
    <cellStyle name="Normal 336" xfId="11048" xr:uid="{00000000-0005-0000-0000-0000C8410000}"/>
    <cellStyle name="Normal 337" xfId="11050" xr:uid="{00000000-0005-0000-0000-0000C9410000}"/>
    <cellStyle name="Normal 338" xfId="1779" xr:uid="{00000000-0005-0000-0000-0000CA410000}"/>
    <cellStyle name="Normal 339" xfId="10942" xr:uid="{00000000-0005-0000-0000-0000CB410000}"/>
    <cellStyle name="Normal 34" xfId="4111" xr:uid="{00000000-0005-0000-0000-0000CC410000}"/>
    <cellStyle name="Normal 34 10" xfId="13682" xr:uid="{00000000-0005-0000-0000-0000CD410000}"/>
    <cellStyle name="Normal 34 10 2" xfId="30226" xr:uid="{00000000-0005-0000-0000-0000CE410000}"/>
    <cellStyle name="Normal 34 11" xfId="22183" xr:uid="{00000000-0005-0000-0000-0000CF410000}"/>
    <cellStyle name="Normal 34 2" xfId="4112" xr:uid="{00000000-0005-0000-0000-0000D0410000}"/>
    <cellStyle name="Normal 34 2 2" xfId="4113" xr:uid="{00000000-0005-0000-0000-0000D1410000}"/>
    <cellStyle name="Normal 34 2 3" xfId="13683" xr:uid="{00000000-0005-0000-0000-0000D2410000}"/>
    <cellStyle name="Normal 34 2 3 2" xfId="30227" xr:uid="{00000000-0005-0000-0000-0000D3410000}"/>
    <cellStyle name="Normal 34 2 4" xfId="22184" xr:uid="{00000000-0005-0000-0000-0000D4410000}"/>
    <cellStyle name="Normal 34 3" xfId="4114" xr:uid="{00000000-0005-0000-0000-0000D5410000}"/>
    <cellStyle name="Normal 34 3 2" xfId="4115" xr:uid="{00000000-0005-0000-0000-0000D6410000}"/>
    <cellStyle name="Normal 34 3 2 2" xfId="4116" xr:uid="{00000000-0005-0000-0000-0000D7410000}"/>
    <cellStyle name="Normal 34 3 2 2 2" xfId="4117" xr:uid="{00000000-0005-0000-0000-0000D8410000}"/>
    <cellStyle name="Normal 34 3 2 2 2 2" xfId="8176" xr:uid="{00000000-0005-0000-0000-0000D9410000}"/>
    <cellStyle name="Normal 34 3 2 2 2 2 2" xfId="17535" xr:uid="{00000000-0005-0000-0000-0000DA410000}"/>
    <cellStyle name="Normal 34 3 2 2 2 2 2 2" xfId="34109" xr:uid="{00000000-0005-0000-0000-0000DB410000}"/>
    <cellStyle name="Normal 34 3 2 2 2 2 3" xfId="26062" xr:uid="{00000000-0005-0000-0000-0000DC410000}"/>
    <cellStyle name="Normal 34 3 2 2 2 3" xfId="13686" xr:uid="{00000000-0005-0000-0000-0000DD410000}"/>
    <cellStyle name="Normal 34 3 2 2 2 3 2" xfId="30230" xr:uid="{00000000-0005-0000-0000-0000DE410000}"/>
    <cellStyle name="Normal 34 3 2 2 2 4" xfId="22187" xr:uid="{00000000-0005-0000-0000-0000DF410000}"/>
    <cellStyle name="Normal 34 3 2 2 3" xfId="8177" xr:uid="{00000000-0005-0000-0000-0000E0410000}"/>
    <cellStyle name="Normal 34 3 2 2 3 2" xfId="17536" xr:uid="{00000000-0005-0000-0000-0000E1410000}"/>
    <cellStyle name="Normal 34 3 2 2 3 2 2" xfId="34110" xr:uid="{00000000-0005-0000-0000-0000E2410000}"/>
    <cellStyle name="Normal 34 3 2 2 3 3" xfId="26063" xr:uid="{00000000-0005-0000-0000-0000E3410000}"/>
    <cellStyle name="Normal 34 3 2 2 4" xfId="13685" xr:uid="{00000000-0005-0000-0000-0000E4410000}"/>
    <cellStyle name="Normal 34 3 2 2 4 2" xfId="30229" xr:uid="{00000000-0005-0000-0000-0000E5410000}"/>
    <cellStyle name="Normal 34 3 2 2 5" xfId="22186" xr:uid="{00000000-0005-0000-0000-0000E6410000}"/>
    <cellStyle name="Normal 34 3 2 3" xfId="4118" xr:uid="{00000000-0005-0000-0000-0000E7410000}"/>
    <cellStyle name="Normal 34 3 2 3 2" xfId="8178" xr:uid="{00000000-0005-0000-0000-0000E8410000}"/>
    <cellStyle name="Normal 34 3 2 3 2 2" xfId="17537" xr:uid="{00000000-0005-0000-0000-0000E9410000}"/>
    <cellStyle name="Normal 34 3 2 3 2 2 2" xfId="34111" xr:uid="{00000000-0005-0000-0000-0000EA410000}"/>
    <cellStyle name="Normal 34 3 2 3 2 3" xfId="26064" xr:uid="{00000000-0005-0000-0000-0000EB410000}"/>
    <cellStyle name="Normal 34 3 2 3 3" xfId="13687" xr:uid="{00000000-0005-0000-0000-0000EC410000}"/>
    <cellStyle name="Normal 34 3 2 3 3 2" xfId="30231" xr:uid="{00000000-0005-0000-0000-0000ED410000}"/>
    <cellStyle name="Normal 34 3 2 3 4" xfId="22188" xr:uid="{00000000-0005-0000-0000-0000EE410000}"/>
    <cellStyle name="Normal 34 3 2 4" xfId="8179" xr:uid="{00000000-0005-0000-0000-0000EF410000}"/>
    <cellStyle name="Normal 34 3 2 4 2" xfId="17538" xr:uid="{00000000-0005-0000-0000-0000F0410000}"/>
    <cellStyle name="Normal 34 3 2 4 2 2" xfId="34112" xr:uid="{00000000-0005-0000-0000-0000F1410000}"/>
    <cellStyle name="Normal 34 3 2 4 3" xfId="26065" xr:uid="{00000000-0005-0000-0000-0000F2410000}"/>
    <cellStyle name="Normal 34 3 2 5" xfId="13684" xr:uid="{00000000-0005-0000-0000-0000F3410000}"/>
    <cellStyle name="Normal 34 3 2 5 2" xfId="30228" xr:uid="{00000000-0005-0000-0000-0000F4410000}"/>
    <cellStyle name="Normal 34 3 2 6" xfId="22185" xr:uid="{00000000-0005-0000-0000-0000F5410000}"/>
    <cellStyle name="Normal 34 3 3" xfId="4119" xr:uid="{00000000-0005-0000-0000-0000F6410000}"/>
    <cellStyle name="Normal 34 3 3 2" xfId="4120" xr:uid="{00000000-0005-0000-0000-0000F7410000}"/>
    <cellStyle name="Normal 34 3 3 2 2" xfId="8180" xr:uid="{00000000-0005-0000-0000-0000F8410000}"/>
    <cellStyle name="Normal 34 3 3 2 2 2" xfId="17539" xr:uid="{00000000-0005-0000-0000-0000F9410000}"/>
    <cellStyle name="Normal 34 3 3 2 2 2 2" xfId="34113" xr:uid="{00000000-0005-0000-0000-0000FA410000}"/>
    <cellStyle name="Normal 34 3 3 2 2 3" xfId="26066" xr:uid="{00000000-0005-0000-0000-0000FB410000}"/>
    <cellStyle name="Normal 34 3 3 2 3" xfId="13689" xr:uid="{00000000-0005-0000-0000-0000FC410000}"/>
    <cellStyle name="Normal 34 3 3 2 3 2" xfId="30233" xr:uid="{00000000-0005-0000-0000-0000FD410000}"/>
    <cellStyle name="Normal 34 3 3 2 4" xfId="22190" xr:uid="{00000000-0005-0000-0000-0000FE410000}"/>
    <cellStyle name="Normal 34 3 3 3" xfId="8181" xr:uid="{00000000-0005-0000-0000-0000FF410000}"/>
    <cellStyle name="Normal 34 3 3 3 2" xfId="17540" xr:uid="{00000000-0005-0000-0000-000000420000}"/>
    <cellStyle name="Normal 34 3 3 3 2 2" xfId="34114" xr:uid="{00000000-0005-0000-0000-000001420000}"/>
    <cellStyle name="Normal 34 3 3 3 3" xfId="26067" xr:uid="{00000000-0005-0000-0000-000002420000}"/>
    <cellStyle name="Normal 34 3 3 4" xfId="13688" xr:uid="{00000000-0005-0000-0000-000003420000}"/>
    <cellStyle name="Normal 34 3 3 4 2" xfId="30232" xr:uid="{00000000-0005-0000-0000-000004420000}"/>
    <cellStyle name="Normal 34 3 3 5" xfId="22189" xr:uid="{00000000-0005-0000-0000-000005420000}"/>
    <cellStyle name="Normal 34 3 4" xfId="4121" xr:uid="{00000000-0005-0000-0000-000006420000}"/>
    <cellStyle name="Normal 34 3 4 2" xfId="8182" xr:uid="{00000000-0005-0000-0000-000007420000}"/>
    <cellStyle name="Normal 34 3 4 2 2" xfId="17541" xr:uid="{00000000-0005-0000-0000-000008420000}"/>
    <cellStyle name="Normal 34 3 4 2 2 2" xfId="34115" xr:uid="{00000000-0005-0000-0000-000009420000}"/>
    <cellStyle name="Normal 34 3 4 2 3" xfId="26068" xr:uid="{00000000-0005-0000-0000-00000A420000}"/>
    <cellStyle name="Normal 34 3 4 3" xfId="13690" xr:uid="{00000000-0005-0000-0000-00000B420000}"/>
    <cellStyle name="Normal 34 3 4 3 2" xfId="30234" xr:uid="{00000000-0005-0000-0000-00000C420000}"/>
    <cellStyle name="Normal 34 3 4 4" xfId="22191" xr:uid="{00000000-0005-0000-0000-00000D420000}"/>
    <cellStyle name="Normal 34 3 5" xfId="4122" xr:uid="{00000000-0005-0000-0000-00000E420000}"/>
    <cellStyle name="Normal 34 3 5 2" xfId="13691" xr:uid="{00000000-0005-0000-0000-00000F420000}"/>
    <cellStyle name="Normal 34 3 5 2 2" xfId="30235" xr:uid="{00000000-0005-0000-0000-000010420000}"/>
    <cellStyle name="Normal 34 3 5 3" xfId="22192" xr:uid="{00000000-0005-0000-0000-000011420000}"/>
    <cellStyle name="Normal 34 4" xfId="4123" xr:uid="{00000000-0005-0000-0000-000012420000}"/>
    <cellStyle name="Normal 34 4 2" xfId="4124" xr:uid="{00000000-0005-0000-0000-000013420000}"/>
    <cellStyle name="Normal 34 4 2 2" xfId="4125" xr:uid="{00000000-0005-0000-0000-000014420000}"/>
    <cellStyle name="Normal 34 4 2 2 2" xfId="4126" xr:uid="{00000000-0005-0000-0000-000015420000}"/>
    <cellStyle name="Normal 34 4 2 2 2 2" xfId="8183" xr:uid="{00000000-0005-0000-0000-000016420000}"/>
    <cellStyle name="Normal 34 4 2 2 2 2 2" xfId="17542" xr:uid="{00000000-0005-0000-0000-000017420000}"/>
    <cellStyle name="Normal 34 4 2 2 2 2 2 2" xfId="34116" xr:uid="{00000000-0005-0000-0000-000018420000}"/>
    <cellStyle name="Normal 34 4 2 2 2 2 3" xfId="26069" xr:uid="{00000000-0005-0000-0000-000019420000}"/>
    <cellStyle name="Normal 34 4 2 2 2 3" xfId="13695" xr:uid="{00000000-0005-0000-0000-00001A420000}"/>
    <cellStyle name="Normal 34 4 2 2 2 3 2" xfId="30239" xr:uid="{00000000-0005-0000-0000-00001B420000}"/>
    <cellStyle name="Normal 34 4 2 2 2 4" xfId="22196" xr:uid="{00000000-0005-0000-0000-00001C420000}"/>
    <cellStyle name="Normal 34 4 2 2 3" xfId="8184" xr:uid="{00000000-0005-0000-0000-00001D420000}"/>
    <cellStyle name="Normal 34 4 2 2 3 2" xfId="17543" xr:uid="{00000000-0005-0000-0000-00001E420000}"/>
    <cellStyle name="Normal 34 4 2 2 3 2 2" xfId="34117" xr:uid="{00000000-0005-0000-0000-00001F420000}"/>
    <cellStyle name="Normal 34 4 2 2 3 3" xfId="26070" xr:uid="{00000000-0005-0000-0000-000020420000}"/>
    <cellStyle name="Normal 34 4 2 2 4" xfId="13694" xr:uid="{00000000-0005-0000-0000-000021420000}"/>
    <cellStyle name="Normal 34 4 2 2 4 2" xfId="30238" xr:uid="{00000000-0005-0000-0000-000022420000}"/>
    <cellStyle name="Normal 34 4 2 2 5" xfId="22195" xr:uid="{00000000-0005-0000-0000-000023420000}"/>
    <cellStyle name="Normal 34 4 2 3" xfId="4127" xr:uid="{00000000-0005-0000-0000-000024420000}"/>
    <cellStyle name="Normal 34 4 2 3 2" xfId="8185" xr:uid="{00000000-0005-0000-0000-000025420000}"/>
    <cellStyle name="Normal 34 4 2 3 2 2" xfId="17544" xr:uid="{00000000-0005-0000-0000-000026420000}"/>
    <cellStyle name="Normal 34 4 2 3 2 2 2" xfId="34118" xr:uid="{00000000-0005-0000-0000-000027420000}"/>
    <cellStyle name="Normal 34 4 2 3 2 3" xfId="26071" xr:uid="{00000000-0005-0000-0000-000028420000}"/>
    <cellStyle name="Normal 34 4 2 3 3" xfId="13696" xr:uid="{00000000-0005-0000-0000-000029420000}"/>
    <cellStyle name="Normal 34 4 2 3 3 2" xfId="30240" xr:uid="{00000000-0005-0000-0000-00002A420000}"/>
    <cellStyle name="Normal 34 4 2 3 4" xfId="22197" xr:uid="{00000000-0005-0000-0000-00002B420000}"/>
    <cellStyle name="Normal 34 4 2 4" xfId="8186" xr:uid="{00000000-0005-0000-0000-00002C420000}"/>
    <cellStyle name="Normal 34 4 2 4 2" xfId="17545" xr:uid="{00000000-0005-0000-0000-00002D420000}"/>
    <cellStyle name="Normal 34 4 2 4 2 2" xfId="34119" xr:uid="{00000000-0005-0000-0000-00002E420000}"/>
    <cellStyle name="Normal 34 4 2 4 3" xfId="26072" xr:uid="{00000000-0005-0000-0000-00002F420000}"/>
    <cellStyle name="Normal 34 4 2 5" xfId="13693" xr:uid="{00000000-0005-0000-0000-000030420000}"/>
    <cellStyle name="Normal 34 4 2 5 2" xfId="30237" xr:uid="{00000000-0005-0000-0000-000031420000}"/>
    <cellStyle name="Normal 34 4 2 6" xfId="22194" xr:uid="{00000000-0005-0000-0000-000032420000}"/>
    <cellStyle name="Normal 34 4 3" xfId="4128" xr:uid="{00000000-0005-0000-0000-000033420000}"/>
    <cellStyle name="Normal 34 4 3 2" xfId="4129" xr:uid="{00000000-0005-0000-0000-000034420000}"/>
    <cellStyle name="Normal 34 4 3 2 2" xfId="8187" xr:uid="{00000000-0005-0000-0000-000035420000}"/>
    <cellStyle name="Normal 34 4 3 2 2 2" xfId="17546" xr:uid="{00000000-0005-0000-0000-000036420000}"/>
    <cellStyle name="Normal 34 4 3 2 2 2 2" xfId="34120" xr:uid="{00000000-0005-0000-0000-000037420000}"/>
    <cellStyle name="Normal 34 4 3 2 2 3" xfId="26073" xr:uid="{00000000-0005-0000-0000-000038420000}"/>
    <cellStyle name="Normal 34 4 3 2 3" xfId="13698" xr:uid="{00000000-0005-0000-0000-000039420000}"/>
    <cellStyle name="Normal 34 4 3 2 3 2" xfId="30242" xr:uid="{00000000-0005-0000-0000-00003A420000}"/>
    <cellStyle name="Normal 34 4 3 2 4" xfId="22199" xr:uid="{00000000-0005-0000-0000-00003B420000}"/>
    <cellStyle name="Normal 34 4 3 3" xfId="8188" xr:uid="{00000000-0005-0000-0000-00003C420000}"/>
    <cellStyle name="Normal 34 4 3 3 2" xfId="17547" xr:uid="{00000000-0005-0000-0000-00003D420000}"/>
    <cellStyle name="Normal 34 4 3 3 2 2" xfId="34121" xr:uid="{00000000-0005-0000-0000-00003E420000}"/>
    <cellStyle name="Normal 34 4 3 3 3" xfId="26074" xr:uid="{00000000-0005-0000-0000-00003F420000}"/>
    <cellStyle name="Normal 34 4 3 4" xfId="13697" xr:uid="{00000000-0005-0000-0000-000040420000}"/>
    <cellStyle name="Normal 34 4 3 4 2" xfId="30241" xr:uid="{00000000-0005-0000-0000-000041420000}"/>
    <cellStyle name="Normal 34 4 3 5" xfId="22198" xr:uid="{00000000-0005-0000-0000-000042420000}"/>
    <cellStyle name="Normal 34 4 4" xfId="4130" xr:uid="{00000000-0005-0000-0000-000043420000}"/>
    <cellStyle name="Normal 34 4 4 2" xfId="8189" xr:uid="{00000000-0005-0000-0000-000044420000}"/>
    <cellStyle name="Normal 34 4 4 2 2" xfId="17548" xr:uid="{00000000-0005-0000-0000-000045420000}"/>
    <cellStyle name="Normal 34 4 4 2 2 2" xfId="34122" xr:uid="{00000000-0005-0000-0000-000046420000}"/>
    <cellStyle name="Normal 34 4 4 2 3" xfId="26075" xr:uid="{00000000-0005-0000-0000-000047420000}"/>
    <cellStyle name="Normal 34 4 4 3" xfId="13699" xr:uid="{00000000-0005-0000-0000-000048420000}"/>
    <cellStyle name="Normal 34 4 4 3 2" xfId="30243" xr:uid="{00000000-0005-0000-0000-000049420000}"/>
    <cellStyle name="Normal 34 4 4 4" xfId="22200" xr:uid="{00000000-0005-0000-0000-00004A420000}"/>
    <cellStyle name="Normal 34 4 5" xfId="8190" xr:uid="{00000000-0005-0000-0000-00004B420000}"/>
    <cellStyle name="Normal 34 4 5 2" xfId="17549" xr:uid="{00000000-0005-0000-0000-00004C420000}"/>
    <cellStyle name="Normal 34 4 5 2 2" xfId="34123" xr:uid="{00000000-0005-0000-0000-00004D420000}"/>
    <cellStyle name="Normal 34 4 5 3" xfId="26076" xr:uid="{00000000-0005-0000-0000-00004E420000}"/>
    <cellStyle name="Normal 34 4 6" xfId="13692" xr:uid="{00000000-0005-0000-0000-00004F420000}"/>
    <cellStyle name="Normal 34 4 6 2" xfId="30236" xr:uid="{00000000-0005-0000-0000-000050420000}"/>
    <cellStyle name="Normal 34 4 7" xfId="22193" xr:uid="{00000000-0005-0000-0000-000051420000}"/>
    <cellStyle name="Normal 34 5" xfId="4131" xr:uid="{00000000-0005-0000-0000-000052420000}"/>
    <cellStyle name="Normal 34 5 2" xfId="4132" xr:uid="{00000000-0005-0000-0000-000053420000}"/>
    <cellStyle name="Normal 34 5 2 2" xfId="4133" xr:uid="{00000000-0005-0000-0000-000054420000}"/>
    <cellStyle name="Normal 34 5 2 2 2" xfId="4134" xr:uid="{00000000-0005-0000-0000-000055420000}"/>
    <cellStyle name="Normal 34 5 2 2 2 2" xfId="8191" xr:uid="{00000000-0005-0000-0000-000056420000}"/>
    <cellStyle name="Normal 34 5 2 2 2 2 2" xfId="17550" xr:uid="{00000000-0005-0000-0000-000057420000}"/>
    <cellStyle name="Normal 34 5 2 2 2 2 2 2" xfId="34124" xr:uid="{00000000-0005-0000-0000-000058420000}"/>
    <cellStyle name="Normal 34 5 2 2 2 2 3" xfId="26077" xr:uid="{00000000-0005-0000-0000-000059420000}"/>
    <cellStyle name="Normal 34 5 2 2 2 3" xfId="13703" xr:uid="{00000000-0005-0000-0000-00005A420000}"/>
    <cellStyle name="Normal 34 5 2 2 2 3 2" xfId="30247" xr:uid="{00000000-0005-0000-0000-00005B420000}"/>
    <cellStyle name="Normal 34 5 2 2 2 4" xfId="22204" xr:uid="{00000000-0005-0000-0000-00005C420000}"/>
    <cellStyle name="Normal 34 5 2 2 3" xfId="8192" xr:uid="{00000000-0005-0000-0000-00005D420000}"/>
    <cellStyle name="Normal 34 5 2 2 3 2" xfId="17551" xr:uid="{00000000-0005-0000-0000-00005E420000}"/>
    <cellStyle name="Normal 34 5 2 2 3 2 2" xfId="34125" xr:uid="{00000000-0005-0000-0000-00005F420000}"/>
    <cellStyle name="Normal 34 5 2 2 3 3" xfId="26078" xr:uid="{00000000-0005-0000-0000-000060420000}"/>
    <cellStyle name="Normal 34 5 2 2 4" xfId="13702" xr:uid="{00000000-0005-0000-0000-000061420000}"/>
    <cellStyle name="Normal 34 5 2 2 4 2" xfId="30246" xr:uid="{00000000-0005-0000-0000-000062420000}"/>
    <cellStyle name="Normal 34 5 2 2 5" xfId="22203" xr:uid="{00000000-0005-0000-0000-000063420000}"/>
    <cellStyle name="Normal 34 5 2 3" xfId="4135" xr:uid="{00000000-0005-0000-0000-000064420000}"/>
    <cellStyle name="Normal 34 5 2 3 2" xfId="8193" xr:uid="{00000000-0005-0000-0000-000065420000}"/>
    <cellStyle name="Normal 34 5 2 3 2 2" xfId="17552" xr:uid="{00000000-0005-0000-0000-000066420000}"/>
    <cellStyle name="Normal 34 5 2 3 2 2 2" xfId="34126" xr:uid="{00000000-0005-0000-0000-000067420000}"/>
    <cellStyle name="Normal 34 5 2 3 2 3" xfId="26079" xr:uid="{00000000-0005-0000-0000-000068420000}"/>
    <cellStyle name="Normal 34 5 2 3 3" xfId="13704" xr:uid="{00000000-0005-0000-0000-000069420000}"/>
    <cellStyle name="Normal 34 5 2 3 3 2" xfId="30248" xr:uid="{00000000-0005-0000-0000-00006A420000}"/>
    <cellStyle name="Normal 34 5 2 3 4" xfId="22205" xr:uid="{00000000-0005-0000-0000-00006B420000}"/>
    <cellStyle name="Normal 34 5 2 4" xfId="8194" xr:uid="{00000000-0005-0000-0000-00006C420000}"/>
    <cellStyle name="Normal 34 5 2 4 2" xfId="17553" xr:uid="{00000000-0005-0000-0000-00006D420000}"/>
    <cellStyle name="Normal 34 5 2 4 2 2" xfId="34127" xr:uid="{00000000-0005-0000-0000-00006E420000}"/>
    <cellStyle name="Normal 34 5 2 4 3" xfId="26080" xr:uid="{00000000-0005-0000-0000-00006F420000}"/>
    <cellStyle name="Normal 34 5 2 5" xfId="13701" xr:uid="{00000000-0005-0000-0000-000070420000}"/>
    <cellStyle name="Normal 34 5 2 5 2" xfId="30245" xr:uid="{00000000-0005-0000-0000-000071420000}"/>
    <cellStyle name="Normal 34 5 2 6" xfId="22202" xr:uid="{00000000-0005-0000-0000-000072420000}"/>
    <cellStyle name="Normal 34 5 3" xfId="4136" xr:uid="{00000000-0005-0000-0000-000073420000}"/>
    <cellStyle name="Normal 34 5 3 2" xfId="4137" xr:uid="{00000000-0005-0000-0000-000074420000}"/>
    <cellStyle name="Normal 34 5 3 2 2" xfId="8195" xr:uid="{00000000-0005-0000-0000-000075420000}"/>
    <cellStyle name="Normal 34 5 3 2 2 2" xfId="17554" xr:uid="{00000000-0005-0000-0000-000076420000}"/>
    <cellStyle name="Normal 34 5 3 2 2 2 2" xfId="34128" xr:uid="{00000000-0005-0000-0000-000077420000}"/>
    <cellStyle name="Normal 34 5 3 2 2 3" xfId="26081" xr:uid="{00000000-0005-0000-0000-000078420000}"/>
    <cellStyle name="Normal 34 5 3 2 3" xfId="13706" xr:uid="{00000000-0005-0000-0000-000079420000}"/>
    <cellStyle name="Normal 34 5 3 2 3 2" xfId="30250" xr:uid="{00000000-0005-0000-0000-00007A420000}"/>
    <cellStyle name="Normal 34 5 3 2 4" xfId="22207" xr:uid="{00000000-0005-0000-0000-00007B420000}"/>
    <cellStyle name="Normal 34 5 3 3" xfId="8196" xr:uid="{00000000-0005-0000-0000-00007C420000}"/>
    <cellStyle name="Normal 34 5 3 3 2" xfId="17555" xr:uid="{00000000-0005-0000-0000-00007D420000}"/>
    <cellStyle name="Normal 34 5 3 3 2 2" xfId="34129" xr:uid="{00000000-0005-0000-0000-00007E420000}"/>
    <cellStyle name="Normal 34 5 3 3 3" xfId="26082" xr:uid="{00000000-0005-0000-0000-00007F420000}"/>
    <cellStyle name="Normal 34 5 3 4" xfId="13705" xr:uid="{00000000-0005-0000-0000-000080420000}"/>
    <cellStyle name="Normal 34 5 3 4 2" xfId="30249" xr:uid="{00000000-0005-0000-0000-000081420000}"/>
    <cellStyle name="Normal 34 5 3 5" xfId="22206" xr:uid="{00000000-0005-0000-0000-000082420000}"/>
    <cellStyle name="Normal 34 5 4" xfId="4138" xr:uid="{00000000-0005-0000-0000-000083420000}"/>
    <cellStyle name="Normal 34 5 4 2" xfId="8197" xr:uid="{00000000-0005-0000-0000-000084420000}"/>
    <cellStyle name="Normal 34 5 4 2 2" xfId="17556" xr:uid="{00000000-0005-0000-0000-000085420000}"/>
    <cellStyle name="Normal 34 5 4 2 2 2" xfId="34130" xr:uid="{00000000-0005-0000-0000-000086420000}"/>
    <cellStyle name="Normal 34 5 4 2 3" xfId="26083" xr:uid="{00000000-0005-0000-0000-000087420000}"/>
    <cellStyle name="Normal 34 5 4 3" xfId="13707" xr:uid="{00000000-0005-0000-0000-000088420000}"/>
    <cellStyle name="Normal 34 5 4 3 2" xfId="30251" xr:uid="{00000000-0005-0000-0000-000089420000}"/>
    <cellStyle name="Normal 34 5 4 4" xfId="22208" xr:uid="{00000000-0005-0000-0000-00008A420000}"/>
    <cellStyle name="Normal 34 5 5" xfId="8198" xr:uid="{00000000-0005-0000-0000-00008B420000}"/>
    <cellStyle name="Normal 34 5 5 2" xfId="17557" xr:uid="{00000000-0005-0000-0000-00008C420000}"/>
    <cellStyle name="Normal 34 5 5 2 2" xfId="34131" xr:uid="{00000000-0005-0000-0000-00008D420000}"/>
    <cellStyle name="Normal 34 5 5 3" xfId="26084" xr:uid="{00000000-0005-0000-0000-00008E420000}"/>
    <cellStyle name="Normal 34 5 6" xfId="13700" xr:uid="{00000000-0005-0000-0000-00008F420000}"/>
    <cellStyle name="Normal 34 5 6 2" xfId="30244" xr:uid="{00000000-0005-0000-0000-000090420000}"/>
    <cellStyle name="Normal 34 5 7" xfId="22201" xr:uid="{00000000-0005-0000-0000-000091420000}"/>
    <cellStyle name="Normal 34 6" xfId="4139" xr:uid="{00000000-0005-0000-0000-000092420000}"/>
    <cellStyle name="Normal 34 6 2" xfId="4140" xr:uid="{00000000-0005-0000-0000-000093420000}"/>
    <cellStyle name="Normal 34 6 2 2" xfId="4141" xr:uid="{00000000-0005-0000-0000-000094420000}"/>
    <cellStyle name="Normal 34 6 2 2 2" xfId="8199" xr:uid="{00000000-0005-0000-0000-000095420000}"/>
    <cellStyle name="Normal 34 6 2 2 2 2" xfId="17558" xr:uid="{00000000-0005-0000-0000-000096420000}"/>
    <cellStyle name="Normal 34 6 2 2 2 2 2" xfId="34132" xr:uid="{00000000-0005-0000-0000-000097420000}"/>
    <cellStyle name="Normal 34 6 2 2 2 3" xfId="26085" xr:uid="{00000000-0005-0000-0000-000098420000}"/>
    <cellStyle name="Normal 34 6 2 2 3" xfId="13710" xr:uid="{00000000-0005-0000-0000-000099420000}"/>
    <cellStyle name="Normal 34 6 2 2 3 2" xfId="30254" xr:uid="{00000000-0005-0000-0000-00009A420000}"/>
    <cellStyle name="Normal 34 6 2 2 4" xfId="22211" xr:uid="{00000000-0005-0000-0000-00009B420000}"/>
    <cellStyle name="Normal 34 6 2 3" xfId="8200" xr:uid="{00000000-0005-0000-0000-00009C420000}"/>
    <cellStyle name="Normal 34 6 2 3 2" xfId="17559" xr:uid="{00000000-0005-0000-0000-00009D420000}"/>
    <cellStyle name="Normal 34 6 2 3 2 2" xfId="34133" xr:uid="{00000000-0005-0000-0000-00009E420000}"/>
    <cellStyle name="Normal 34 6 2 3 3" xfId="26086" xr:uid="{00000000-0005-0000-0000-00009F420000}"/>
    <cellStyle name="Normal 34 6 2 4" xfId="13709" xr:uid="{00000000-0005-0000-0000-0000A0420000}"/>
    <cellStyle name="Normal 34 6 2 4 2" xfId="30253" xr:uid="{00000000-0005-0000-0000-0000A1420000}"/>
    <cellStyle name="Normal 34 6 2 5" xfId="22210" xr:uid="{00000000-0005-0000-0000-0000A2420000}"/>
    <cellStyle name="Normal 34 6 3" xfId="4142" xr:uid="{00000000-0005-0000-0000-0000A3420000}"/>
    <cellStyle name="Normal 34 6 3 2" xfId="8201" xr:uid="{00000000-0005-0000-0000-0000A4420000}"/>
    <cellStyle name="Normal 34 6 3 2 2" xfId="17560" xr:uid="{00000000-0005-0000-0000-0000A5420000}"/>
    <cellStyle name="Normal 34 6 3 2 2 2" xfId="34134" xr:uid="{00000000-0005-0000-0000-0000A6420000}"/>
    <cellStyle name="Normal 34 6 3 2 3" xfId="26087" xr:uid="{00000000-0005-0000-0000-0000A7420000}"/>
    <cellStyle name="Normal 34 6 3 3" xfId="13711" xr:uid="{00000000-0005-0000-0000-0000A8420000}"/>
    <cellStyle name="Normal 34 6 3 3 2" xfId="30255" xr:uid="{00000000-0005-0000-0000-0000A9420000}"/>
    <cellStyle name="Normal 34 6 3 4" xfId="22212" xr:uid="{00000000-0005-0000-0000-0000AA420000}"/>
    <cellStyle name="Normal 34 6 4" xfId="8202" xr:uid="{00000000-0005-0000-0000-0000AB420000}"/>
    <cellStyle name="Normal 34 6 4 2" xfId="17561" xr:uid="{00000000-0005-0000-0000-0000AC420000}"/>
    <cellStyle name="Normal 34 6 4 2 2" xfId="34135" xr:uid="{00000000-0005-0000-0000-0000AD420000}"/>
    <cellStyle name="Normal 34 6 4 3" xfId="26088" xr:uid="{00000000-0005-0000-0000-0000AE420000}"/>
    <cellStyle name="Normal 34 6 5" xfId="13708" xr:uid="{00000000-0005-0000-0000-0000AF420000}"/>
    <cellStyle name="Normal 34 6 5 2" xfId="30252" xr:uid="{00000000-0005-0000-0000-0000B0420000}"/>
    <cellStyle name="Normal 34 6 6" xfId="22209" xr:uid="{00000000-0005-0000-0000-0000B1420000}"/>
    <cellStyle name="Normal 34 7" xfId="4143" xr:uid="{00000000-0005-0000-0000-0000B2420000}"/>
    <cellStyle name="Normal 34 7 2" xfId="4144" xr:uid="{00000000-0005-0000-0000-0000B3420000}"/>
    <cellStyle name="Normal 34 7 2 2" xfId="8203" xr:uid="{00000000-0005-0000-0000-0000B4420000}"/>
    <cellStyle name="Normal 34 7 2 2 2" xfId="17562" xr:uid="{00000000-0005-0000-0000-0000B5420000}"/>
    <cellStyle name="Normal 34 7 2 2 2 2" xfId="34136" xr:uid="{00000000-0005-0000-0000-0000B6420000}"/>
    <cellStyle name="Normal 34 7 2 2 3" xfId="26089" xr:uid="{00000000-0005-0000-0000-0000B7420000}"/>
    <cellStyle name="Normal 34 7 2 3" xfId="13713" xr:uid="{00000000-0005-0000-0000-0000B8420000}"/>
    <cellStyle name="Normal 34 7 2 3 2" xfId="30257" xr:uid="{00000000-0005-0000-0000-0000B9420000}"/>
    <cellStyle name="Normal 34 7 2 4" xfId="22214" xr:uid="{00000000-0005-0000-0000-0000BA420000}"/>
    <cellStyle name="Normal 34 7 3" xfId="8204" xr:uid="{00000000-0005-0000-0000-0000BB420000}"/>
    <cellStyle name="Normal 34 7 3 2" xfId="17563" xr:uid="{00000000-0005-0000-0000-0000BC420000}"/>
    <cellStyle name="Normal 34 7 3 2 2" xfId="34137" xr:uid="{00000000-0005-0000-0000-0000BD420000}"/>
    <cellStyle name="Normal 34 7 3 3" xfId="26090" xr:uid="{00000000-0005-0000-0000-0000BE420000}"/>
    <cellStyle name="Normal 34 7 4" xfId="13712" xr:uid="{00000000-0005-0000-0000-0000BF420000}"/>
    <cellStyle name="Normal 34 7 4 2" xfId="30256" xr:uid="{00000000-0005-0000-0000-0000C0420000}"/>
    <cellStyle name="Normal 34 7 5" xfId="22213" xr:uid="{00000000-0005-0000-0000-0000C1420000}"/>
    <cellStyle name="Normal 34 8" xfId="4145" xr:uid="{00000000-0005-0000-0000-0000C2420000}"/>
    <cellStyle name="Normal 34 8 2" xfId="8205" xr:uid="{00000000-0005-0000-0000-0000C3420000}"/>
    <cellStyle name="Normal 34 8 2 2" xfId="17564" xr:uid="{00000000-0005-0000-0000-0000C4420000}"/>
    <cellStyle name="Normal 34 8 2 2 2" xfId="34138" xr:uid="{00000000-0005-0000-0000-0000C5420000}"/>
    <cellStyle name="Normal 34 8 2 3" xfId="26091" xr:uid="{00000000-0005-0000-0000-0000C6420000}"/>
    <cellStyle name="Normal 34 8 3" xfId="13714" xr:uid="{00000000-0005-0000-0000-0000C7420000}"/>
    <cellStyle name="Normal 34 8 3 2" xfId="30258" xr:uid="{00000000-0005-0000-0000-0000C8420000}"/>
    <cellStyle name="Normal 34 8 4" xfId="22215" xr:uid="{00000000-0005-0000-0000-0000C9420000}"/>
    <cellStyle name="Normal 34 9" xfId="8206" xr:uid="{00000000-0005-0000-0000-0000CA420000}"/>
    <cellStyle name="Normal 34 9 2" xfId="17565" xr:uid="{00000000-0005-0000-0000-0000CB420000}"/>
    <cellStyle name="Normal 34 9 2 2" xfId="34139" xr:uid="{00000000-0005-0000-0000-0000CC420000}"/>
    <cellStyle name="Normal 34 9 3" xfId="26092" xr:uid="{00000000-0005-0000-0000-0000CD420000}"/>
    <cellStyle name="Normal 340" xfId="11078" xr:uid="{00000000-0005-0000-0000-0000CE420000}"/>
    <cellStyle name="Normal 341" xfId="11298" xr:uid="{00000000-0005-0000-0000-0000CF420000}"/>
    <cellStyle name="Normal 342" xfId="36372" xr:uid="{00000000-0005-0000-0000-0000D0420000}"/>
    <cellStyle name="Normal 35" xfId="4146" xr:uid="{00000000-0005-0000-0000-0000D1420000}"/>
    <cellStyle name="Normal 35 10" xfId="13715" xr:uid="{00000000-0005-0000-0000-0000D2420000}"/>
    <cellStyle name="Normal 35 10 2" xfId="30259" xr:uid="{00000000-0005-0000-0000-0000D3420000}"/>
    <cellStyle name="Normal 35 11" xfId="22216" xr:uid="{00000000-0005-0000-0000-0000D4420000}"/>
    <cellStyle name="Normal 35 2" xfId="4147" xr:uid="{00000000-0005-0000-0000-0000D5420000}"/>
    <cellStyle name="Normal 35 2 2" xfId="4148" xr:uid="{00000000-0005-0000-0000-0000D6420000}"/>
    <cellStyle name="Normal 35 2 3" xfId="13716" xr:uid="{00000000-0005-0000-0000-0000D7420000}"/>
    <cellStyle name="Normal 35 2 3 2" xfId="30260" xr:uid="{00000000-0005-0000-0000-0000D8420000}"/>
    <cellStyle name="Normal 35 2 4" xfId="22217" xr:uid="{00000000-0005-0000-0000-0000D9420000}"/>
    <cellStyle name="Normal 35 3" xfId="4149" xr:uid="{00000000-0005-0000-0000-0000DA420000}"/>
    <cellStyle name="Normal 35 3 2" xfId="4150" xr:uid="{00000000-0005-0000-0000-0000DB420000}"/>
    <cellStyle name="Normal 35 3 2 2" xfId="4151" xr:uid="{00000000-0005-0000-0000-0000DC420000}"/>
    <cellStyle name="Normal 35 3 2 2 2" xfId="4152" xr:uid="{00000000-0005-0000-0000-0000DD420000}"/>
    <cellStyle name="Normal 35 3 2 2 2 2" xfId="8207" xr:uid="{00000000-0005-0000-0000-0000DE420000}"/>
    <cellStyle name="Normal 35 3 2 2 2 2 2" xfId="17566" xr:uid="{00000000-0005-0000-0000-0000DF420000}"/>
    <cellStyle name="Normal 35 3 2 2 2 2 2 2" xfId="34140" xr:uid="{00000000-0005-0000-0000-0000E0420000}"/>
    <cellStyle name="Normal 35 3 2 2 2 2 3" xfId="26093" xr:uid="{00000000-0005-0000-0000-0000E1420000}"/>
    <cellStyle name="Normal 35 3 2 2 2 3" xfId="13719" xr:uid="{00000000-0005-0000-0000-0000E2420000}"/>
    <cellStyle name="Normal 35 3 2 2 2 3 2" xfId="30263" xr:uid="{00000000-0005-0000-0000-0000E3420000}"/>
    <cellStyle name="Normal 35 3 2 2 2 4" xfId="22220" xr:uid="{00000000-0005-0000-0000-0000E4420000}"/>
    <cellStyle name="Normal 35 3 2 2 3" xfId="8208" xr:uid="{00000000-0005-0000-0000-0000E5420000}"/>
    <cellStyle name="Normal 35 3 2 2 3 2" xfId="17567" xr:uid="{00000000-0005-0000-0000-0000E6420000}"/>
    <cellStyle name="Normal 35 3 2 2 3 2 2" xfId="34141" xr:uid="{00000000-0005-0000-0000-0000E7420000}"/>
    <cellStyle name="Normal 35 3 2 2 3 3" xfId="26094" xr:uid="{00000000-0005-0000-0000-0000E8420000}"/>
    <cellStyle name="Normal 35 3 2 2 4" xfId="13718" xr:uid="{00000000-0005-0000-0000-0000E9420000}"/>
    <cellStyle name="Normal 35 3 2 2 4 2" xfId="30262" xr:uid="{00000000-0005-0000-0000-0000EA420000}"/>
    <cellStyle name="Normal 35 3 2 2 5" xfId="22219" xr:uid="{00000000-0005-0000-0000-0000EB420000}"/>
    <cellStyle name="Normal 35 3 2 3" xfId="4153" xr:uid="{00000000-0005-0000-0000-0000EC420000}"/>
    <cellStyle name="Normal 35 3 2 3 2" xfId="8209" xr:uid="{00000000-0005-0000-0000-0000ED420000}"/>
    <cellStyle name="Normal 35 3 2 3 2 2" xfId="17568" xr:uid="{00000000-0005-0000-0000-0000EE420000}"/>
    <cellStyle name="Normal 35 3 2 3 2 2 2" xfId="34142" xr:uid="{00000000-0005-0000-0000-0000EF420000}"/>
    <cellStyle name="Normal 35 3 2 3 2 3" xfId="26095" xr:uid="{00000000-0005-0000-0000-0000F0420000}"/>
    <cellStyle name="Normal 35 3 2 3 3" xfId="13720" xr:uid="{00000000-0005-0000-0000-0000F1420000}"/>
    <cellStyle name="Normal 35 3 2 3 3 2" xfId="30264" xr:uid="{00000000-0005-0000-0000-0000F2420000}"/>
    <cellStyle name="Normal 35 3 2 3 4" xfId="22221" xr:uid="{00000000-0005-0000-0000-0000F3420000}"/>
    <cellStyle name="Normal 35 3 2 4" xfId="8210" xr:uid="{00000000-0005-0000-0000-0000F4420000}"/>
    <cellStyle name="Normal 35 3 2 4 2" xfId="17569" xr:uid="{00000000-0005-0000-0000-0000F5420000}"/>
    <cellStyle name="Normal 35 3 2 4 2 2" xfId="34143" xr:uid="{00000000-0005-0000-0000-0000F6420000}"/>
    <cellStyle name="Normal 35 3 2 4 3" xfId="26096" xr:uid="{00000000-0005-0000-0000-0000F7420000}"/>
    <cellStyle name="Normal 35 3 2 5" xfId="13717" xr:uid="{00000000-0005-0000-0000-0000F8420000}"/>
    <cellStyle name="Normal 35 3 2 5 2" xfId="30261" xr:uid="{00000000-0005-0000-0000-0000F9420000}"/>
    <cellStyle name="Normal 35 3 2 6" xfId="22218" xr:uid="{00000000-0005-0000-0000-0000FA420000}"/>
    <cellStyle name="Normal 35 3 3" xfId="4154" xr:uid="{00000000-0005-0000-0000-0000FB420000}"/>
    <cellStyle name="Normal 35 3 3 2" xfId="4155" xr:uid="{00000000-0005-0000-0000-0000FC420000}"/>
    <cellStyle name="Normal 35 3 3 2 2" xfId="8211" xr:uid="{00000000-0005-0000-0000-0000FD420000}"/>
    <cellStyle name="Normal 35 3 3 2 2 2" xfId="17570" xr:uid="{00000000-0005-0000-0000-0000FE420000}"/>
    <cellStyle name="Normal 35 3 3 2 2 2 2" xfId="34144" xr:uid="{00000000-0005-0000-0000-0000FF420000}"/>
    <cellStyle name="Normal 35 3 3 2 2 3" xfId="26097" xr:uid="{00000000-0005-0000-0000-000000430000}"/>
    <cellStyle name="Normal 35 3 3 2 3" xfId="13722" xr:uid="{00000000-0005-0000-0000-000001430000}"/>
    <cellStyle name="Normal 35 3 3 2 3 2" xfId="30266" xr:uid="{00000000-0005-0000-0000-000002430000}"/>
    <cellStyle name="Normal 35 3 3 2 4" xfId="22223" xr:uid="{00000000-0005-0000-0000-000003430000}"/>
    <cellStyle name="Normal 35 3 3 3" xfId="8212" xr:uid="{00000000-0005-0000-0000-000004430000}"/>
    <cellStyle name="Normal 35 3 3 3 2" xfId="17571" xr:uid="{00000000-0005-0000-0000-000005430000}"/>
    <cellStyle name="Normal 35 3 3 3 2 2" xfId="34145" xr:uid="{00000000-0005-0000-0000-000006430000}"/>
    <cellStyle name="Normal 35 3 3 3 3" xfId="26098" xr:uid="{00000000-0005-0000-0000-000007430000}"/>
    <cellStyle name="Normal 35 3 3 4" xfId="13721" xr:uid="{00000000-0005-0000-0000-000008430000}"/>
    <cellStyle name="Normal 35 3 3 4 2" xfId="30265" xr:uid="{00000000-0005-0000-0000-000009430000}"/>
    <cellStyle name="Normal 35 3 3 5" xfId="22222" xr:uid="{00000000-0005-0000-0000-00000A430000}"/>
    <cellStyle name="Normal 35 3 4" xfId="4156" xr:uid="{00000000-0005-0000-0000-00000B430000}"/>
    <cellStyle name="Normal 35 3 4 2" xfId="8213" xr:uid="{00000000-0005-0000-0000-00000C430000}"/>
    <cellStyle name="Normal 35 3 4 2 2" xfId="17572" xr:uid="{00000000-0005-0000-0000-00000D430000}"/>
    <cellStyle name="Normal 35 3 4 2 2 2" xfId="34146" xr:uid="{00000000-0005-0000-0000-00000E430000}"/>
    <cellStyle name="Normal 35 3 4 2 3" xfId="26099" xr:uid="{00000000-0005-0000-0000-00000F430000}"/>
    <cellStyle name="Normal 35 3 4 3" xfId="13723" xr:uid="{00000000-0005-0000-0000-000010430000}"/>
    <cellStyle name="Normal 35 3 4 3 2" xfId="30267" xr:uid="{00000000-0005-0000-0000-000011430000}"/>
    <cellStyle name="Normal 35 3 4 4" xfId="22224" xr:uid="{00000000-0005-0000-0000-000012430000}"/>
    <cellStyle name="Normal 35 3 5" xfId="4157" xr:uid="{00000000-0005-0000-0000-000013430000}"/>
    <cellStyle name="Normal 35 3 5 2" xfId="13724" xr:uid="{00000000-0005-0000-0000-000014430000}"/>
    <cellStyle name="Normal 35 3 5 2 2" xfId="30268" xr:uid="{00000000-0005-0000-0000-000015430000}"/>
    <cellStyle name="Normal 35 3 5 3" xfId="22225" xr:uid="{00000000-0005-0000-0000-000016430000}"/>
    <cellStyle name="Normal 35 4" xfId="4158" xr:uid="{00000000-0005-0000-0000-000017430000}"/>
    <cellStyle name="Normal 35 4 2" xfId="4159" xr:uid="{00000000-0005-0000-0000-000018430000}"/>
    <cellStyle name="Normal 35 4 2 2" xfId="4160" xr:uid="{00000000-0005-0000-0000-000019430000}"/>
    <cellStyle name="Normal 35 4 2 2 2" xfId="4161" xr:uid="{00000000-0005-0000-0000-00001A430000}"/>
    <cellStyle name="Normal 35 4 2 2 2 2" xfId="8214" xr:uid="{00000000-0005-0000-0000-00001B430000}"/>
    <cellStyle name="Normal 35 4 2 2 2 2 2" xfId="17573" xr:uid="{00000000-0005-0000-0000-00001C430000}"/>
    <cellStyle name="Normal 35 4 2 2 2 2 2 2" xfId="34147" xr:uid="{00000000-0005-0000-0000-00001D430000}"/>
    <cellStyle name="Normal 35 4 2 2 2 2 3" xfId="26100" xr:uid="{00000000-0005-0000-0000-00001E430000}"/>
    <cellStyle name="Normal 35 4 2 2 2 3" xfId="13728" xr:uid="{00000000-0005-0000-0000-00001F430000}"/>
    <cellStyle name="Normal 35 4 2 2 2 3 2" xfId="30272" xr:uid="{00000000-0005-0000-0000-000020430000}"/>
    <cellStyle name="Normal 35 4 2 2 2 4" xfId="22229" xr:uid="{00000000-0005-0000-0000-000021430000}"/>
    <cellStyle name="Normal 35 4 2 2 3" xfId="8215" xr:uid="{00000000-0005-0000-0000-000022430000}"/>
    <cellStyle name="Normal 35 4 2 2 3 2" xfId="17574" xr:uid="{00000000-0005-0000-0000-000023430000}"/>
    <cellStyle name="Normal 35 4 2 2 3 2 2" xfId="34148" xr:uid="{00000000-0005-0000-0000-000024430000}"/>
    <cellStyle name="Normal 35 4 2 2 3 3" xfId="26101" xr:uid="{00000000-0005-0000-0000-000025430000}"/>
    <cellStyle name="Normal 35 4 2 2 4" xfId="13727" xr:uid="{00000000-0005-0000-0000-000026430000}"/>
    <cellStyle name="Normal 35 4 2 2 4 2" xfId="30271" xr:uid="{00000000-0005-0000-0000-000027430000}"/>
    <cellStyle name="Normal 35 4 2 2 5" xfId="22228" xr:uid="{00000000-0005-0000-0000-000028430000}"/>
    <cellStyle name="Normal 35 4 2 3" xfId="4162" xr:uid="{00000000-0005-0000-0000-000029430000}"/>
    <cellStyle name="Normal 35 4 2 3 2" xfId="8216" xr:uid="{00000000-0005-0000-0000-00002A430000}"/>
    <cellStyle name="Normal 35 4 2 3 2 2" xfId="17575" xr:uid="{00000000-0005-0000-0000-00002B430000}"/>
    <cellStyle name="Normal 35 4 2 3 2 2 2" xfId="34149" xr:uid="{00000000-0005-0000-0000-00002C430000}"/>
    <cellStyle name="Normal 35 4 2 3 2 3" xfId="26102" xr:uid="{00000000-0005-0000-0000-00002D430000}"/>
    <cellStyle name="Normal 35 4 2 3 3" xfId="13729" xr:uid="{00000000-0005-0000-0000-00002E430000}"/>
    <cellStyle name="Normal 35 4 2 3 3 2" xfId="30273" xr:uid="{00000000-0005-0000-0000-00002F430000}"/>
    <cellStyle name="Normal 35 4 2 3 4" xfId="22230" xr:uid="{00000000-0005-0000-0000-000030430000}"/>
    <cellStyle name="Normal 35 4 2 4" xfId="8217" xr:uid="{00000000-0005-0000-0000-000031430000}"/>
    <cellStyle name="Normal 35 4 2 4 2" xfId="17576" xr:uid="{00000000-0005-0000-0000-000032430000}"/>
    <cellStyle name="Normal 35 4 2 4 2 2" xfId="34150" xr:uid="{00000000-0005-0000-0000-000033430000}"/>
    <cellStyle name="Normal 35 4 2 4 3" xfId="26103" xr:uid="{00000000-0005-0000-0000-000034430000}"/>
    <cellStyle name="Normal 35 4 2 5" xfId="13726" xr:uid="{00000000-0005-0000-0000-000035430000}"/>
    <cellStyle name="Normal 35 4 2 5 2" xfId="30270" xr:uid="{00000000-0005-0000-0000-000036430000}"/>
    <cellStyle name="Normal 35 4 2 6" xfId="22227" xr:uid="{00000000-0005-0000-0000-000037430000}"/>
    <cellStyle name="Normal 35 4 3" xfId="4163" xr:uid="{00000000-0005-0000-0000-000038430000}"/>
    <cellStyle name="Normal 35 4 3 2" xfId="4164" xr:uid="{00000000-0005-0000-0000-000039430000}"/>
    <cellStyle name="Normal 35 4 3 2 2" xfId="8218" xr:uid="{00000000-0005-0000-0000-00003A430000}"/>
    <cellStyle name="Normal 35 4 3 2 2 2" xfId="17577" xr:uid="{00000000-0005-0000-0000-00003B430000}"/>
    <cellStyle name="Normal 35 4 3 2 2 2 2" xfId="34151" xr:uid="{00000000-0005-0000-0000-00003C430000}"/>
    <cellStyle name="Normal 35 4 3 2 2 3" xfId="26104" xr:uid="{00000000-0005-0000-0000-00003D430000}"/>
    <cellStyle name="Normal 35 4 3 2 3" xfId="13731" xr:uid="{00000000-0005-0000-0000-00003E430000}"/>
    <cellStyle name="Normal 35 4 3 2 3 2" xfId="30275" xr:uid="{00000000-0005-0000-0000-00003F430000}"/>
    <cellStyle name="Normal 35 4 3 2 4" xfId="22232" xr:uid="{00000000-0005-0000-0000-000040430000}"/>
    <cellStyle name="Normal 35 4 3 3" xfId="8219" xr:uid="{00000000-0005-0000-0000-000041430000}"/>
    <cellStyle name="Normal 35 4 3 3 2" xfId="17578" xr:uid="{00000000-0005-0000-0000-000042430000}"/>
    <cellStyle name="Normal 35 4 3 3 2 2" xfId="34152" xr:uid="{00000000-0005-0000-0000-000043430000}"/>
    <cellStyle name="Normal 35 4 3 3 3" xfId="26105" xr:uid="{00000000-0005-0000-0000-000044430000}"/>
    <cellStyle name="Normal 35 4 3 4" xfId="13730" xr:uid="{00000000-0005-0000-0000-000045430000}"/>
    <cellStyle name="Normal 35 4 3 4 2" xfId="30274" xr:uid="{00000000-0005-0000-0000-000046430000}"/>
    <cellStyle name="Normal 35 4 3 5" xfId="22231" xr:uid="{00000000-0005-0000-0000-000047430000}"/>
    <cellStyle name="Normal 35 4 4" xfId="4165" xr:uid="{00000000-0005-0000-0000-000048430000}"/>
    <cellStyle name="Normal 35 4 4 2" xfId="8220" xr:uid="{00000000-0005-0000-0000-000049430000}"/>
    <cellStyle name="Normal 35 4 4 2 2" xfId="17579" xr:uid="{00000000-0005-0000-0000-00004A430000}"/>
    <cellStyle name="Normal 35 4 4 2 2 2" xfId="34153" xr:uid="{00000000-0005-0000-0000-00004B430000}"/>
    <cellStyle name="Normal 35 4 4 2 3" xfId="26106" xr:uid="{00000000-0005-0000-0000-00004C430000}"/>
    <cellStyle name="Normal 35 4 4 3" xfId="13732" xr:uid="{00000000-0005-0000-0000-00004D430000}"/>
    <cellStyle name="Normal 35 4 4 3 2" xfId="30276" xr:uid="{00000000-0005-0000-0000-00004E430000}"/>
    <cellStyle name="Normal 35 4 4 4" xfId="22233" xr:uid="{00000000-0005-0000-0000-00004F430000}"/>
    <cellStyle name="Normal 35 4 5" xfId="8221" xr:uid="{00000000-0005-0000-0000-000050430000}"/>
    <cellStyle name="Normal 35 4 5 2" xfId="17580" xr:uid="{00000000-0005-0000-0000-000051430000}"/>
    <cellStyle name="Normal 35 4 5 2 2" xfId="34154" xr:uid="{00000000-0005-0000-0000-000052430000}"/>
    <cellStyle name="Normal 35 4 5 3" xfId="26107" xr:uid="{00000000-0005-0000-0000-000053430000}"/>
    <cellStyle name="Normal 35 4 6" xfId="13725" xr:uid="{00000000-0005-0000-0000-000054430000}"/>
    <cellStyle name="Normal 35 4 6 2" xfId="30269" xr:uid="{00000000-0005-0000-0000-000055430000}"/>
    <cellStyle name="Normal 35 4 7" xfId="22226" xr:uid="{00000000-0005-0000-0000-000056430000}"/>
    <cellStyle name="Normal 35 5" xfId="4166" xr:uid="{00000000-0005-0000-0000-000057430000}"/>
    <cellStyle name="Normal 35 5 2" xfId="4167" xr:uid="{00000000-0005-0000-0000-000058430000}"/>
    <cellStyle name="Normal 35 5 2 2" xfId="4168" xr:uid="{00000000-0005-0000-0000-000059430000}"/>
    <cellStyle name="Normal 35 5 2 2 2" xfId="4169" xr:uid="{00000000-0005-0000-0000-00005A430000}"/>
    <cellStyle name="Normal 35 5 2 2 2 2" xfId="8222" xr:uid="{00000000-0005-0000-0000-00005B430000}"/>
    <cellStyle name="Normal 35 5 2 2 2 2 2" xfId="17581" xr:uid="{00000000-0005-0000-0000-00005C430000}"/>
    <cellStyle name="Normal 35 5 2 2 2 2 2 2" xfId="34155" xr:uid="{00000000-0005-0000-0000-00005D430000}"/>
    <cellStyle name="Normal 35 5 2 2 2 2 3" xfId="26108" xr:uid="{00000000-0005-0000-0000-00005E430000}"/>
    <cellStyle name="Normal 35 5 2 2 2 3" xfId="13736" xr:uid="{00000000-0005-0000-0000-00005F430000}"/>
    <cellStyle name="Normal 35 5 2 2 2 3 2" xfId="30280" xr:uid="{00000000-0005-0000-0000-000060430000}"/>
    <cellStyle name="Normal 35 5 2 2 2 4" xfId="22237" xr:uid="{00000000-0005-0000-0000-000061430000}"/>
    <cellStyle name="Normal 35 5 2 2 3" xfId="8223" xr:uid="{00000000-0005-0000-0000-000062430000}"/>
    <cellStyle name="Normal 35 5 2 2 3 2" xfId="17582" xr:uid="{00000000-0005-0000-0000-000063430000}"/>
    <cellStyle name="Normal 35 5 2 2 3 2 2" xfId="34156" xr:uid="{00000000-0005-0000-0000-000064430000}"/>
    <cellStyle name="Normal 35 5 2 2 3 3" xfId="26109" xr:uid="{00000000-0005-0000-0000-000065430000}"/>
    <cellStyle name="Normal 35 5 2 2 4" xfId="13735" xr:uid="{00000000-0005-0000-0000-000066430000}"/>
    <cellStyle name="Normal 35 5 2 2 4 2" xfId="30279" xr:uid="{00000000-0005-0000-0000-000067430000}"/>
    <cellStyle name="Normal 35 5 2 2 5" xfId="22236" xr:uid="{00000000-0005-0000-0000-000068430000}"/>
    <cellStyle name="Normal 35 5 2 3" xfId="4170" xr:uid="{00000000-0005-0000-0000-000069430000}"/>
    <cellStyle name="Normal 35 5 2 3 2" xfId="8224" xr:uid="{00000000-0005-0000-0000-00006A430000}"/>
    <cellStyle name="Normal 35 5 2 3 2 2" xfId="17583" xr:uid="{00000000-0005-0000-0000-00006B430000}"/>
    <cellStyle name="Normal 35 5 2 3 2 2 2" xfId="34157" xr:uid="{00000000-0005-0000-0000-00006C430000}"/>
    <cellStyle name="Normal 35 5 2 3 2 3" xfId="26110" xr:uid="{00000000-0005-0000-0000-00006D430000}"/>
    <cellStyle name="Normal 35 5 2 3 3" xfId="13737" xr:uid="{00000000-0005-0000-0000-00006E430000}"/>
    <cellStyle name="Normal 35 5 2 3 3 2" xfId="30281" xr:uid="{00000000-0005-0000-0000-00006F430000}"/>
    <cellStyle name="Normal 35 5 2 3 4" xfId="22238" xr:uid="{00000000-0005-0000-0000-000070430000}"/>
    <cellStyle name="Normal 35 5 2 4" xfId="8225" xr:uid="{00000000-0005-0000-0000-000071430000}"/>
    <cellStyle name="Normal 35 5 2 4 2" xfId="17584" xr:uid="{00000000-0005-0000-0000-000072430000}"/>
    <cellStyle name="Normal 35 5 2 4 2 2" xfId="34158" xr:uid="{00000000-0005-0000-0000-000073430000}"/>
    <cellStyle name="Normal 35 5 2 4 3" xfId="26111" xr:uid="{00000000-0005-0000-0000-000074430000}"/>
    <cellStyle name="Normal 35 5 2 5" xfId="13734" xr:uid="{00000000-0005-0000-0000-000075430000}"/>
    <cellStyle name="Normal 35 5 2 5 2" xfId="30278" xr:uid="{00000000-0005-0000-0000-000076430000}"/>
    <cellStyle name="Normal 35 5 2 6" xfId="22235" xr:uid="{00000000-0005-0000-0000-000077430000}"/>
    <cellStyle name="Normal 35 5 3" xfId="4171" xr:uid="{00000000-0005-0000-0000-000078430000}"/>
    <cellStyle name="Normal 35 5 3 2" xfId="4172" xr:uid="{00000000-0005-0000-0000-000079430000}"/>
    <cellStyle name="Normal 35 5 3 2 2" xfId="8226" xr:uid="{00000000-0005-0000-0000-00007A430000}"/>
    <cellStyle name="Normal 35 5 3 2 2 2" xfId="17585" xr:uid="{00000000-0005-0000-0000-00007B430000}"/>
    <cellStyle name="Normal 35 5 3 2 2 2 2" xfId="34159" xr:uid="{00000000-0005-0000-0000-00007C430000}"/>
    <cellStyle name="Normal 35 5 3 2 2 3" xfId="26112" xr:uid="{00000000-0005-0000-0000-00007D430000}"/>
    <cellStyle name="Normal 35 5 3 2 3" xfId="13739" xr:uid="{00000000-0005-0000-0000-00007E430000}"/>
    <cellStyle name="Normal 35 5 3 2 3 2" xfId="30283" xr:uid="{00000000-0005-0000-0000-00007F430000}"/>
    <cellStyle name="Normal 35 5 3 2 4" xfId="22240" xr:uid="{00000000-0005-0000-0000-000080430000}"/>
    <cellStyle name="Normal 35 5 3 3" xfId="8227" xr:uid="{00000000-0005-0000-0000-000081430000}"/>
    <cellStyle name="Normal 35 5 3 3 2" xfId="17586" xr:uid="{00000000-0005-0000-0000-000082430000}"/>
    <cellStyle name="Normal 35 5 3 3 2 2" xfId="34160" xr:uid="{00000000-0005-0000-0000-000083430000}"/>
    <cellStyle name="Normal 35 5 3 3 3" xfId="26113" xr:uid="{00000000-0005-0000-0000-000084430000}"/>
    <cellStyle name="Normal 35 5 3 4" xfId="13738" xr:uid="{00000000-0005-0000-0000-000085430000}"/>
    <cellStyle name="Normal 35 5 3 4 2" xfId="30282" xr:uid="{00000000-0005-0000-0000-000086430000}"/>
    <cellStyle name="Normal 35 5 3 5" xfId="22239" xr:uid="{00000000-0005-0000-0000-000087430000}"/>
    <cellStyle name="Normal 35 5 4" xfId="4173" xr:uid="{00000000-0005-0000-0000-000088430000}"/>
    <cellStyle name="Normal 35 5 4 2" xfId="8228" xr:uid="{00000000-0005-0000-0000-000089430000}"/>
    <cellStyle name="Normal 35 5 4 2 2" xfId="17587" xr:uid="{00000000-0005-0000-0000-00008A430000}"/>
    <cellStyle name="Normal 35 5 4 2 2 2" xfId="34161" xr:uid="{00000000-0005-0000-0000-00008B430000}"/>
    <cellStyle name="Normal 35 5 4 2 3" xfId="26114" xr:uid="{00000000-0005-0000-0000-00008C430000}"/>
    <cellStyle name="Normal 35 5 4 3" xfId="13740" xr:uid="{00000000-0005-0000-0000-00008D430000}"/>
    <cellStyle name="Normal 35 5 4 3 2" xfId="30284" xr:uid="{00000000-0005-0000-0000-00008E430000}"/>
    <cellStyle name="Normal 35 5 4 4" xfId="22241" xr:uid="{00000000-0005-0000-0000-00008F430000}"/>
    <cellStyle name="Normal 35 5 5" xfId="8229" xr:uid="{00000000-0005-0000-0000-000090430000}"/>
    <cellStyle name="Normal 35 5 5 2" xfId="17588" xr:uid="{00000000-0005-0000-0000-000091430000}"/>
    <cellStyle name="Normal 35 5 5 2 2" xfId="34162" xr:uid="{00000000-0005-0000-0000-000092430000}"/>
    <cellStyle name="Normal 35 5 5 3" xfId="26115" xr:uid="{00000000-0005-0000-0000-000093430000}"/>
    <cellStyle name="Normal 35 5 6" xfId="13733" xr:uid="{00000000-0005-0000-0000-000094430000}"/>
    <cellStyle name="Normal 35 5 6 2" xfId="30277" xr:uid="{00000000-0005-0000-0000-000095430000}"/>
    <cellStyle name="Normal 35 5 7" xfId="22234" xr:uid="{00000000-0005-0000-0000-000096430000}"/>
    <cellStyle name="Normal 35 6" xfId="4174" xr:uid="{00000000-0005-0000-0000-000097430000}"/>
    <cellStyle name="Normal 35 6 2" xfId="4175" xr:uid="{00000000-0005-0000-0000-000098430000}"/>
    <cellStyle name="Normal 35 6 2 2" xfId="4176" xr:uid="{00000000-0005-0000-0000-000099430000}"/>
    <cellStyle name="Normal 35 6 2 2 2" xfId="8230" xr:uid="{00000000-0005-0000-0000-00009A430000}"/>
    <cellStyle name="Normal 35 6 2 2 2 2" xfId="17589" xr:uid="{00000000-0005-0000-0000-00009B430000}"/>
    <cellStyle name="Normal 35 6 2 2 2 2 2" xfId="34163" xr:uid="{00000000-0005-0000-0000-00009C430000}"/>
    <cellStyle name="Normal 35 6 2 2 2 3" xfId="26116" xr:uid="{00000000-0005-0000-0000-00009D430000}"/>
    <cellStyle name="Normal 35 6 2 2 3" xfId="13743" xr:uid="{00000000-0005-0000-0000-00009E430000}"/>
    <cellStyle name="Normal 35 6 2 2 3 2" xfId="30287" xr:uid="{00000000-0005-0000-0000-00009F430000}"/>
    <cellStyle name="Normal 35 6 2 2 4" xfId="22244" xr:uid="{00000000-0005-0000-0000-0000A0430000}"/>
    <cellStyle name="Normal 35 6 2 3" xfId="8231" xr:uid="{00000000-0005-0000-0000-0000A1430000}"/>
    <cellStyle name="Normal 35 6 2 3 2" xfId="17590" xr:uid="{00000000-0005-0000-0000-0000A2430000}"/>
    <cellStyle name="Normal 35 6 2 3 2 2" xfId="34164" xr:uid="{00000000-0005-0000-0000-0000A3430000}"/>
    <cellStyle name="Normal 35 6 2 3 3" xfId="26117" xr:uid="{00000000-0005-0000-0000-0000A4430000}"/>
    <cellStyle name="Normal 35 6 2 4" xfId="13742" xr:uid="{00000000-0005-0000-0000-0000A5430000}"/>
    <cellStyle name="Normal 35 6 2 4 2" xfId="30286" xr:uid="{00000000-0005-0000-0000-0000A6430000}"/>
    <cellStyle name="Normal 35 6 2 5" xfId="22243" xr:uid="{00000000-0005-0000-0000-0000A7430000}"/>
    <cellStyle name="Normal 35 6 3" xfId="4177" xr:uid="{00000000-0005-0000-0000-0000A8430000}"/>
    <cellStyle name="Normal 35 6 3 2" xfId="8232" xr:uid="{00000000-0005-0000-0000-0000A9430000}"/>
    <cellStyle name="Normal 35 6 3 2 2" xfId="17591" xr:uid="{00000000-0005-0000-0000-0000AA430000}"/>
    <cellStyle name="Normal 35 6 3 2 2 2" xfId="34165" xr:uid="{00000000-0005-0000-0000-0000AB430000}"/>
    <cellStyle name="Normal 35 6 3 2 3" xfId="26118" xr:uid="{00000000-0005-0000-0000-0000AC430000}"/>
    <cellStyle name="Normal 35 6 3 3" xfId="13744" xr:uid="{00000000-0005-0000-0000-0000AD430000}"/>
    <cellStyle name="Normal 35 6 3 3 2" xfId="30288" xr:uid="{00000000-0005-0000-0000-0000AE430000}"/>
    <cellStyle name="Normal 35 6 3 4" xfId="22245" xr:uid="{00000000-0005-0000-0000-0000AF430000}"/>
    <cellStyle name="Normal 35 6 4" xfId="8233" xr:uid="{00000000-0005-0000-0000-0000B0430000}"/>
    <cellStyle name="Normal 35 6 4 2" xfId="17592" xr:uid="{00000000-0005-0000-0000-0000B1430000}"/>
    <cellStyle name="Normal 35 6 4 2 2" xfId="34166" xr:uid="{00000000-0005-0000-0000-0000B2430000}"/>
    <cellStyle name="Normal 35 6 4 3" xfId="26119" xr:uid="{00000000-0005-0000-0000-0000B3430000}"/>
    <cellStyle name="Normal 35 6 5" xfId="13741" xr:uid="{00000000-0005-0000-0000-0000B4430000}"/>
    <cellStyle name="Normal 35 6 5 2" xfId="30285" xr:uid="{00000000-0005-0000-0000-0000B5430000}"/>
    <cellStyle name="Normal 35 6 6" xfId="22242" xr:uid="{00000000-0005-0000-0000-0000B6430000}"/>
    <cellStyle name="Normal 35 7" xfId="4178" xr:uid="{00000000-0005-0000-0000-0000B7430000}"/>
    <cellStyle name="Normal 35 7 2" xfId="4179" xr:uid="{00000000-0005-0000-0000-0000B8430000}"/>
    <cellStyle name="Normal 35 7 2 2" xfId="8234" xr:uid="{00000000-0005-0000-0000-0000B9430000}"/>
    <cellStyle name="Normal 35 7 2 2 2" xfId="17593" xr:uid="{00000000-0005-0000-0000-0000BA430000}"/>
    <cellStyle name="Normal 35 7 2 2 2 2" xfId="34167" xr:uid="{00000000-0005-0000-0000-0000BB430000}"/>
    <cellStyle name="Normal 35 7 2 2 3" xfId="26120" xr:uid="{00000000-0005-0000-0000-0000BC430000}"/>
    <cellStyle name="Normal 35 7 2 3" xfId="13746" xr:uid="{00000000-0005-0000-0000-0000BD430000}"/>
    <cellStyle name="Normal 35 7 2 3 2" xfId="30290" xr:uid="{00000000-0005-0000-0000-0000BE430000}"/>
    <cellStyle name="Normal 35 7 2 4" xfId="22247" xr:uid="{00000000-0005-0000-0000-0000BF430000}"/>
    <cellStyle name="Normal 35 7 3" xfId="8235" xr:uid="{00000000-0005-0000-0000-0000C0430000}"/>
    <cellStyle name="Normal 35 7 3 2" xfId="17594" xr:uid="{00000000-0005-0000-0000-0000C1430000}"/>
    <cellStyle name="Normal 35 7 3 2 2" xfId="34168" xr:uid="{00000000-0005-0000-0000-0000C2430000}"/>
    <cellStyle name="Normal 35 7 3 3" xfId="26121" xr:uid="{00000000-0005-0000-0000-0000C3430000}"/>
    <cellStyle name="Normal 35 7 4" xfId="13745" xr:uid="{00000000-0005-0000-0000-0000C4430000}"/>
    <cellStyle name="Normal 35 7 4 2" xfId="30289" xr:uid="{00000000-0005-0000-0000-0000C5430000}"/>
    <cellStyle name="Normal 35 7 5" xfId="22246" xr:uid="{00000000-0005-0000-0000-0000C6430000}"/>
    <cellStyle name="Normal 35 8" xfId="4180" xr:uid="{00000000-0005-0000-0000-0000C7430000}"/>
    <cellStyle name="Normal 35 8 2" xfId="8236" xr:uid="{00000000-0005-0000-0000-0000C8430000}"/>
    <cellStyle name="Normal 35 8 2 2" xfId="17595" xr:uid="{00000000-0005-0000-0000-0000C9430000}"/>
    <cellStyle name="Normal 35 8 2 2 2" xfId="34169" xr:uid="{00000000-0005-0000-0000-0000CA430000}"/>
    <cellStyle name="Normal 35 8 2 3" xfId="26122" xr:uid="{00000000-0005-0000-0000-0000CB430000}"/>
    <cellStyle name="Normal 35 8 3" xfId="13747" xr:uid="{00000000-0005-0000-0000-0000CC430000}"/>
    <cellStyle name="Normal 35 8 3 2" xfId="30291" xr:uid="{00000000-0005-0000-0000-0000CD430000}"/>
    <cellStyle name="Normal 35 8 4" xfId="22248" xr:uid="{00000000-0005-0000-0000-0000CE430000}"/>
    <cellStyle name="Normal 35 9" xfId="8237" xr:uid="{00000000-0005-0000-0000-0000CF430000}"/>
    <cellStyle name="Normal 35 9 2" xfId="17596" xr:uid="{00000000-0005-0000-0000-0000D0430000}"/>
    <cellStyle name="Normal 35 9 2 2" xfId="34170" xr:uid="{00000000-0005-0000-0000-0000D1430000}"/>
    <cellStyle name="Normal 35 9 3" xfId="26123" xr:uid="{00000000-0005-0000-0000-0000D2430000}"/>
    <cellStyle name="Normal 36" xfId="4181" xr:uid="{00000000-0005-0000-0000-0000D3430000}"/>
    <cellStyle name="Normal 36 10" xfId="13748" xr:uid="{00000000-0005-0000-0000-0000D4430000}"/>
    <cellStyle name="Normal 36 10 2" xfId="30292" xr:uid="{00000000-0005-0000-0000-0000D5430000}"/>
    <cellStyle name="Normal 36 11" xfId="22249" xr:uid="{00000000-0005-0000-0000-0000D6430000}"/>
    <cellStyle name="Normal 36 2" xfId="4182" xr:uid="{00000000-0005-0000-0000-0000D7430000}"/>
    <cellStyle name="Normal 36 2 2" xfId="4183" xr:uid="{00000000-0005-0000-0000-0000D8430000}"/>
    <cellStyle name="Normal 36 2 3" xfId="13749" xr:uid="{00000000-0005-0000-0000-0000D9430000}"/>
    <cellStyle name="Normal 36 2 3 2" xfId="30293" xr:uid="{00000000-0005-0000-0000-0000DA430000}"/>
    <cellStyle name="Normal 36 2 4" xfId="22250" xr:uid="{00000000-0005-0000-0000-0000DB430000}"/>
    <cellStyle name="Normal 36 3" xfId="4184" xr:uid="{00000000-0005-0000-0000-0000DC430000}"/>
    <cellStyle name="Normal 36 3 2" xfId="4185" xr:uid="{00000000-0005-0000-0000-0000DD430000}"/>
    <cellStyle name="Normal 36 3 2 2" xfId="4186" xr:uid="{00000000-0005-0000-0000-0000DE430000}"/>
    <cellStyle name="Normal 36 3 2 2 2" xfId="4187" xr:uid="{00000000-0005-0000-0000-0000DF430000}"/>
    <cellStyle name="Normal 36 3 2 2 2 2" xfId="8238" xr:uid="{00000000-0005-0000-0000-0000E0430000}"/>
    <cellStyle name="Normal 36 3 2 2 2 2 2" xfId="17597" xr:uid="{00000000-0005-0000-0000-0000E1430000}"/>
    <cellStyle name="Normal 36 3 2 2 2 2 2 2" xfId="34171" xr:uid="{00000000-0005-0000-0000-0000E2430000}"/>
    <cellStyle name="Normal 36 3 2 2 2 2 3" xfId="26124" xr:uid="{00000000-0005-0000-0000-0000E3430000}"/>
    <cellStyle name="Normal 36 3 2 2 2 3" xfId="13752" xr:uid="{00000000-0005-0000-0000-0000E4430000}"/>
    <cellStyle name="Normal 36 3 2 2 2 3 2" xfId="30296" xr:uid="{00000000-0005-0000-0000-0000E5430000}"/>
    <cellStyle name="Normal 36 3 2 2 2 4" xfId="22253" xr:uid="{00000000-0005-0000-0000-0000E6430000}"/>
    <cellStyle name="Normal 36 3 2 2 3" xfId="8239" xr:uid="{00000000-0005-0000-0000-0000E7430000}"/>
    <cellStyle name="Normal 36 3 2 2 3 2" xfId="17598" xr:uid="{00000000-0005-0000-0000-0000E8430000}"/>
    <cellStyle name="Normal 36 3 2 2 3 2 2" xfId="34172" xr:uid="{00000000-0005-0000-0000-0000E9430000}"/>
    <cellStyle name="Normal 36 3 2 2 3 3" xfId="26125" xr:uid="{00000000-0005-0000-0000-0000EA430000}"/>
    <cellStyle name="Normal 36 3 2 2 4" xfId="13751" xr:uid="{00000000-0005-0000-0000-0000EB430000}"/>
    <cellStyle name="Normal 36 3 2 2 4 2" xfId="30295" xr:uid="{00000000-0005-0000-0000-0000EC430000}"/>
    <cellStyle name="Normal 36 3 2 2 5" xfId="22252" xr:uid="{00000000-0005-0000-0000-0000ED430000}"/>
    <cellStyle name="Normal 36 3 2 3" xfId="4188" xr:uid="{00000000-0005-0000-0000-0000EE430000}"/>
    <cellStyle name="Normal 36 3 2 3 2" xfId="8240" xr:uid="{00000000-0005-0000-0000-0000EF430000}"/>
    <cellStyle name="Normal 36 3 2 3 2 2" xfId="17599" xr:uid="{00000000-0005-0000-0000-0000F0430000}"/>
    <cellStyle name="Normal 36 3 2 3 2 2 2" xfId="34173" xr:uid="{00000000-0005-0000-0000-0000F1430000}"/>
    <cellStyle name="Normal 36 3 2 3 2 3" xfId="26126" xr:uid="{00000000-0005-0000-0000-0000F2430000}"/>
    <cellStyle name="Normal 36 3 2 3 3" xfId="13753" xr:uid="{00000000-0005-0000-0000-0000F3430000}"/>
    <cellStyle name="Normal 36 3 2 3 3 2" xfId="30297" xr:uid="{00000000-0005-0000-0000-0000F4430000}"/>
    <cellStyle name="Normal 36 3 2 3 4" xfId="22254" xr:uid="{00000000-0005-0000-0000-0000F5430000}"/>
    <cellStyle name="Normal 36 3 2 4" xfId="8241" xr:uid="{00000000-0005-0000-0000-0000F6430000}"/>
    <cellStyle name="Normal 36 3 2 4 2" xfId="17600" xr:uid="{00000000-0005-0000-0000-0000F7430000}"/>
    <cellStyle name="Normal 36 3 2 4 2 2" xfId="34174" xr:uid="{00000000-0005-0000-0000-0000F8430000}"/>
    <cellStyle name="Normal 36 3 2 4 3" xfId="26127" xr:uid="{00000000-0005-0000-0000-0000F9430000}"/>
    <cellStyle name="Normal 36 3 2 5" xfId="13750" xr:uid="{00000000-0005-0000-0000-0000FA430000}"/>
    <cellStyle name="Normal 36 3 2 5 2" xfId="30294" xr:uid="{00000000-0005-0000-0000-0000FB430000}"/>
    <cellStyle name="Normal 36 3 2 6" xfId="22251" xr:uid="{00000000-0005-0000-0000-0000FC430000}"/>
    <cellStyle name="Normal 36 3 3" xfId="4189" xr:uid="{00000000-0005-0000-0000-0000FD430000}"/>
    <cellStyle name="Normal 36 3 3 2" xfId="4190" xr:uid="{00000000-0005-0000-0000-0000FE430000}"/>
    <cellStyle name="Normal 36 3 3 2 2" xfId="8242" xr:uid="{00000000-0005-0000-0000-0000FF430000}"/>
    <cellStyle name="Normal 36 3 3 2 2 2" xfId="17601" xr:uid="{00000000-0005-0000-0000-000000440000}"/>
    <cellStyle name="Normal 36 3 3 2 2 2 2" xfId="34175" xr:uid="{00000000-0005-0000-0000-000001440000}"/>
    <cellStyle name="Normal 36 3 3 2 2 3" xfId="26128" xr:uid="{00000000-0005-0000-0000-000002440000}"/>
    <cellStyle name="Normal 36 3 3 2 3" xfId="13755" xr:uid="{00000000-0005-0000-0000-000003440000}"/>
    <cellStyle name="Normal 36 3 3 2 3 2" xfId="30299" xr:uid="{00000000-0005-0000-0000-000004440000}"/>
    <cellStyle name="Normal 36 3 3 2 4" xfId="22256" xr:uid="{00000000-0005-0000-0000-000005440000}"/>
    <cellStyle name="Normal 36 3 3 3" xfId="8243" xr:uid="{00000000-0005-0000-0000-000006440000}"/>
    <cellStyle name="Normal 36 3 3 3 2" xfId="17602" xr:uid="{00000000-0005-0000-0000-000007440000}"/>
    <cellStyle name="Normal 36 3 3 3 2 2" xfId="34176" xr:uid="{00000000-0005-0000-0000-000008440000}"/>
    <cellStyle name="Normal 36 3 3 3 3" xfId="26129" xr:uid="{00000000-0005-0000-0000-000009440000}"/>
    <cellStyle name="Normal 36 3 3 4" xfId="13754" xr:uid="{00000000-0005-0000-0000-00000A440000}"/>
    <cellStyle name="Normal 36 3 3 4 2" xfId="30298" xr:uid="{00000000-0005-0000-0000-00000B440000}"/>
    <cellStyle name="Normal 36 3 3 5" xfId="22255" xr:uid="{00000000-0005-0000-0000-00000C440000}"/>
    <cellStyle name="Normal 36 3 4" xfId="4191" xr:uid="{00000000-0005-0000-0000-00000D440000}"/>
    <cellStyle name="Normal 36 3 4 2" xfId="8244" xr:uid="{00000000-0005-0000-0000-00000E440000}"/>
    <cellStyle name="Normal 36 3 4 2 2" xfId="17603" xr:uid="{00000000-0005-0000-0000-00000F440000}"/>
    <cellStyle name="Normal 36 3 4 2 2 2" xfId="34177" xr:uid="{00000000-0005-0000-0000-000010440000}"/>
    <cellStyle name="Normal 36 3 4 2 3" xfId="26130" xr:uid="{00000000-0005-0000-0000-000011440000}"/>
    <cellStyle name="Normal 36 3 4 3" xfId="13756" xr:uid="{00000000-0005-0000-0000-000012440000}"/>
    <cellStyle name="Normal 36 3 4 3 2" xfId="30300" xr:uid="{00000000-0005-0000-0000-000013440000}"/>
    <cellStyle name="Normal 36 3 4 4" xfId="22257" xr:uid="{00000000-0005-0000-0000-000014440000}"/>
    <cellStyle name="Normal 36 3 5" xfId="4192" xr:uid="{00000000-0005-0000-0000-000015440000}"/>
    <cellStyle name="Normal 36 3 5 2" xfId="13757" xr:uid="{00000000-0005-0000-0000-000016440000}"/>
    <cellStyle name="Normal 36 3 5 2 2" xfId="30301" xr:uid="{00000000-0005-0000-0000-000017440000}"/>
    <cellStyle name="Normal 36 3 5 3" xfId="22258" xr:uid="{00000000-0005-0000-0000-000018440000}"/>
    <cellStyle name="Normal 36 4" xfId="4193" xr:uid="{00000000-0005-0000-0000-000019440000}"/>
    <cellStyle name="Normal 36 4 2" xfId="4194" xr:uid="{00000000-0005-0000-0000-00001A440000}"/>
    <cellStyle name="Normal 36 4 2 2" xfId="4195" xr:uid="{00000000-0005-0000-0000-00001B440000}"/>
    <cellStyle name="Normal 36 4 2 2 2" xfId="4196" xr:uid="{00000000-0005-0000-0000-00001C440000}"/>
    <cellStyle name="Normal 36 4 2 2 2 2" xfId="8245" xr:uid="{00000000-0005-0000-0000-00001D440000}"/>
    <cellStyle name="Normal 36 4 2 2 2 2 2" xfId="17604" xr:uid="{00000000-0005-0000-0000-00001E440000}"/>
    <cellStyle name="Normal 36 4 2 2 2 2 2 2" xfId="34178" xr:uid="{00000000-0005-0000-0000-00001F440000}"/>
    <cellStyle name="Normal 36 4 2 2 2 2 3" xfId="26131" xr:uid="{00000000-0005-0000-0000-000020440000}"/>
    <cellStyle name="Normal 36 4 2 2 2 3" xfId="13761" xr:uid="{00000000-0005-0000-0000-000021440000}"/>
    <cellStyle name="Normal 36 4 2 2 2 3 2" xfId="30305" xr:uid="{00000000-0005-0000-0000-000022440000}"/>
    <cellStyle name="Normal 36 4 2 2 2 4" xfId="22262" xr:uid="{00000000-0005-0000-0000-000023440000}"/>
    <cellStyle name="Normal 36 4 2 2 3" xfId="8246" xr:uid="{00000000-0005-0000-0000-000024440000}"/>
    <cellStyle name="Normal 36 4 2 2 3 2" xfId="17605" xr:uid="{00000000-0005-0000-0000-000025440000}"/>
    <cellStyle name="Normal 36 4 2 2 3 2 2" xfId="34179" xr:uid="{00000000-0005-0000-0000-000026440000}"/>
    <cellStyle name="Normal 36 4 2 2 3 3" xfId="26132" xr:uid="{00000000-0005-0000-0000-000027440000}"/>
    <cellStyle name="Normal 36 4 2 2 4" xfId="13760" xr:uid="{00000000-0005-0000-0000-000028440000}"/>
    <cellStyle name="Normal 36 4 2 2 4 2" xfId="30304" xr:uid="{00000000-0005-0000-0000-000029440000}"/>
    <cellStyle name="Normal 36 4 2 2 5" xfId="22261" xr:uid="{00000000-0005-0000-0000-00002A440000}"/>
    <cellStyle name="Normal 36 4 2 3" xfId="4197" xr:uid="{00000000-0005-0000-0000-00002B440000}"/>
    <cellStyle name="Normal 36 4 2 3 2" xfId="8247" xr:uid="{00000000-0005-0000-0000-00002C440000}"/>
    <cellStyle name="Normal 36 4 2 3 2 2" xfId="17606" xr:uid="{00000000-0005-0000-0000-00002D440000}"/>
    <cellStyle name="Normal 36 4 2 3 2 2 2" xfId="34180" xr:uid="{00000000-0005-0000-0000-00002E440000}"/>
    <cellStyle name="Normal 36 4 2 3 2 3" xfId="26133" xr:uid="{00000000-0005-0000-0000-00002F440000}"/>
    <cellStyle name="Normal 36 4 2 3 3" xfId="13762" xr:uid="{00000000-0005-0000-0000-000030440000}"/>
    <cellStyle name="Normal 36 4 2 3 3 2" xfId="30306" xr:uid="{00000000-0005-0000-0000-000031440000}"/>
    <cellStyle name="Normal 36 4 2 3 4" xfId="22263" xr:uid="{00000000-0005-0000-0000-000032440000}"/>
    <cellStyle name="Normal 36 4 2 4" xfId="8248" xr:uid="{00000000-0005-0000-0000-000033440000}"/>
    <cellStyle name="Normal 36 4 2 4 2" xfId="17607" xr:uid="{00000000-0005-0000-0000-000034440000}"/>
    <cellStyle name="Normal 36 4 2 4 2 2" xfId="34181" xr:uid="{00000000-0005-0000-0000-000035440000}"/>
    <cellStyle name="Normal 36 4 2 4 3" xfId="26134" xr:uid="{00000000-0005-0000-0000-000036440000}"/>
    <cellStyle name="Normal 36 4 2 5" xfId="13759" xr:uid="{00000000-0005-0000-0000-000037440000}"/>
    <cellStyle name="Normal 36 4 2 5 2" xfId="30303" xr:uid="{00000000-0005-0000-0000-000038440000}"/>
    <cellStyle name="Normal 36 4 2 6" xfId="22260" xr:uid="{00000000-0005-0000-0000-000039440000}"/>
    <cellStyle name="Normal 36 4 3" xfId="4198" xr:uid="{00000000-0005-0000-0000-00003A440000}"/>
    <cellStyle name="Normal 36 4 3 2" xfId="4199" xr:uid="{00000000-0005-0000-0000-00003B440000}"/>
    <cellStyle name="Normal 36 4 3 2 2" xfId="8249" xr:uid="{00000000-0005-0000-0000-00003C440000}"/>
    <cellStyle name="Normal 36 4 3 2 2 2" xfId="17608" xr:uid="{00000000-0005-0000-0000-00003D440000}"/>
    <cellStyle name="Normal 36 4 3 2 2 2 2" xfId="34182" xr:uid="{00000000-0005-0000-0000-00003E440000}"/>
    <cellStyle name="Normal 36 4 3 2 2 3" xfId="26135" xr:uid="{00000000-0005-0000-0000-00003F440000}"/>
    <cellStyle name="Normal 36 4 3 2 3" xfId="13764" xr:uid="{00000000-0005-0000-0000-000040440000}"/>
    <cellStyle name="Normal 36 4 3 2 3 2" xfId="30308" xr:uid="{00000000-0005-0000-0000-000041440000}"/>
    <cellStyle name="Normal 36 4 3 2 4" xfId="22265" xr:uid="{00000000-0005-0000-0000-000042440000}"/>
    <cellStyle name="Normal 36 4 3 3" xfId="8250" xr:uid="{00000000-0005-0000-0000-000043440000}"/>
    <cellStyle name="Normal 36 4 3 3 2" xfId="17609" xr:uid="{00000000-0005-0000-0000-000044440000}"/>
    <cellStyle name="Normal 36 4 3 3 2 2" xfId="34183" xr:uid="{00000000-0005-0000-0000-000045440000}"/>
    <cellStyle name="Normal 36 4 3 3 3" xfId="26136" xr:uid="{00000000-0005-0000-0000-000046440000}"/>
    <cellStyle name="Normal 36 4 3 4" xfId="13763" xr:uid="{00000000-0005-0000-0000-000047440000}"/>
    <cellStyle name="Normal 36 4 3 4 2" xfId="30307" xr:uid="{00000000-0005-0000-0000-000048440000}"/>
    <cellStyle name="Normal 36 4 3 5" xfId="22264" xr:uid="{00000000-0005-0000-0000-000049440000}"/>
    <cellStyle name="Normal 36 4 4" xfId="4200" xr:uid="{00000000-0005-0000-0000-00004A440000}"/>
    <cellStyle name="Normal 36 4 4 2" xfId="8251" xr:uid="{00000000-0005-0000-0000-00004B440000}"/>
    <cellStyle name="Normal 36 4 4 2 2" xfId="17610" xr:uid="{00000000-0005-0000-0000-00004C440000}"/>
    <cellStyle name="Normal 36 4 4 2 2 2" xfId="34184" xr:uid="{00000000-0005-0000-0000-00004D440000}"/>
    <cellStyle name="Normal 36 4 4 2 3" xfId="26137" xr:uid="{00000000-0005-0000-0000-00004E440000}"/>
    <cellStyle name="Normal 36 4 4 3" xfId="13765" xr:uid="{00000000-0005-0000-0000-00004F440000}"/>
    <cellStyle name="Normal 36 4 4 3 2" xfId="30309" xr:uid="{00000000-0005-0000-0000-000050440000}"/>
    <cellStyle name="Normal 36 4 4 4" xfId="22266" xr:uid="{00000000-0005-0000-0000-000051440000}"/>
    <cellStyle name="Normal 36 4 5" xfId="8252" xr:uid="{00000000-0005-0000-0000-000052440000}"/>
    <cellStyle name="Normal 36 4 5 2" xfId="17611" xr:uid="{00000000-0005-0000-0000-000053440000}"/>
    <cellStyle name="Normal 36 4 5 2 2" xfId="34185" xr:uid="{00000000-0005-0000-0000-000054440000}"/>
    <cellStyle name="Normal 36 4 5 3" xfId="26138" xr:uid="{00000000-0005-0000-0000-000055440000}"/>
    <cellStyle name="Normal 36 4 6" xfId="13758" xr:uid="{00000000-0005-0000-0000-000056440000}"/>
    <cellStyle name="Normal 36 4 6 2" xfId="30302" xr:uid="{00000000-0005-0000-0000-000057440000}"/>
    <cellStyle name="Normal 36 4 7" xfId="22259" xr:uid="{00000000-0005-0000-0000-000058440000}"/>
    <cellStyle name="Normal 36 5" xfId="4201" xr:uid="{00000000-0005-0000-0000-000059440000}"/>
    <cellStyle name="Normal 36 5 2" xfId="4202" xr:uid="{00000000-0005-0000-0000-00005A440000}"/>
    <cellStyle name="Normal 36 5 2 2" xfId="4203" xr:uid="{00000000-0005-0000-0000-00005B440000}"/>
    <cellStyle name="Normal 36 5 2 2 2" xfId="4204" xr:uid="{00000000-0005-0000-0000-00005C440000}"/>
    <cellStyle name="Normal 36 5 2 2 2 2" xfId="8253" xr:uid="{00000000-0005-0000-0000-00005D440000}"/>
    <cellStyle name="Normal 36 5 2 2 2 2 2" xfId="17612" xr:uid="{00000000-0005-0000-0000-00005E440000}"/>
    <cellStyle name="Normal 36 5 2 2 2 2 2 2" xfId="34186" xr:uid="{00000000-0005-0000-0000-00005F440000}"/>
    <cellStyle name="Normal 36 5 2 2 2 2 3" xfId="26139" xr:uid="{00000000-0005-0000-0000-000060440000}"/>
    <cellStyle name="Normal 36 5 2 2 2 3" xfId="13769" xr:uid="{00000000-0005-0000-0000-000061440000}"/>
    <cellStyle name="Normal 36 5 2 2 2 3 2" xfId="30313" xr:uid="{00000000-0005-0000-0000-000062440000}"/>
    <cellStyle name="Normal 36 5 2 2 2 4" xfId="22270" xr:uid="{00000000-0005-0000-0000-000063440000}"/>
    <cellStyle name="Normal 36 5 2 2 3" xfId="8254" xr:uid="{00000000-0005-0000-0000-000064440000}"/>
    <cellStyle name="Normal 36 5 2 2 3 2" xfId="17613" xr:uid="{00000000-0005-0000-0000-000065440000}"/>
    <cellStyle name="Normal 36 5 2 2 3 2 2" xfId="34187" xr:uid="{00000000-0005-0000-0000-000066440000}"/>
    <cellStyle name="Normal 36 5 2 2 3 3" xfId="26140" xr:uid="{00000000-0005-0000-0000-000067440000}"/>
    <cellStyle name="Normal 36 5 2 2 4" xfId="13768" xr:uid="{00000000-0005-0000-0000-000068440000}"/>
    <cellStyle name="Normal 36 5 2 2 4 2" xfId="30312" xr:uid="{00000000-0005-0000-0000-000069440000}"/>
    <cellStyle name="Normal 36 5 2 2 5" xfId="22269" xr:uid="{00000000-0005-0000-0000-00006A440000}"/>
    <cellStyle name="Normal 36 5 2 3" xfId="4205" xr:uid="{00000000-0005-0000-0000-00006B440000}"/>
    <cellStyle name="Normal 36 5 2 3 2" xfId="8255" xr:uid="{00000000-0005-0000-0000-00006C440000}"/>
    <cellStyle name="Normal 36 5 2 3 2 2" xfId="17614" xr:uid="{00000000-0005-0000-0000-00006D440000}"/>
    <cellStyle name="Normal 36 5 2 3 2 2 2" xfId="34188" xr:uid="{00000000-0005-0000-0000-00006E440000}"/>
    <cellStyle name="Normal 36 5 2 3 2 3" xfId="26141" xr:uid="{00000000-0005-0000-0000-00006F440000}"/>
    <cellStyle name="Normal 36 5 2 3 3" xfId="13770" xr:uid="{00000000-0005-0000-0000-000070440000}"/>
    <cellStyle name="Normal 36 5 2 3 3 2" xfId="30314" xr:uid="{00000000-0005-0000-0000-000071440000}"/>
    <cellStyle name="Normal 36 5 2 3 4" xfId="22271" xr:uid="{00000000-0005-0000-0000-000072440000}"/>
    <cellStyle name="Normal 36 5 2 4" xfId="8256" xr:uid="{00000000-0005-0000-0000-000073440000}"/>
    <cellStyle name="Normal 36 5 2 4 2" xfId="17615" xr:uid="{00000000-0005-0000-0000-000074440000}"/>
    <cellStyle name="Normal 36 5 2 4 2 2" xfId="34189" xr:uid="{00000000-0005-0000-0000-000075440000}"/>
    <cellStyle name="Normal 36 5 2 4 3" xfId="26142" xr:uid="{00000000-0005-0000-0000-000076440000}"/>
    <cellStyle name="Normal 36 5 2 5" xfId="13767" xr:uid="{00000000-0005-0000-0000-000077440000}"/>
    <cellStyle name="Normal 36 5 2 5 2" xfId="30311" xr:uid="{00000000-0005-0000-0000-000078440000}"/>
    <cellStyle name="Normal 36 5 2 6" xfId="22268" xr:uid="{00000000-0005-0000-0000-000079440000}"/>
    <cellStyle name="Normal 36 5 3" xfId="4206" xr:uid="{00000000-0005-0000-0000-00007A440000}"/>
    <cellStyle name="Normal 36 5 3 2" xfId="4207" xr:uid="{00000000-0005-0000-0000-00007B440000}"/>
    <cellStyle name="Normal 36 5 3 2 2" xfId="8257" xr:uid="{00000000-0005-0000-0000-00007C440000}"/>
    <cellStyle name="Normal 36 5 3 2 2 2" xfId="17616" xr:uid="{00000000-0005-0000-0000-00007D440000}"/>
    <cellStyle name="Normal 36 5 3 2 2 2 2" xfId="34190" xr:uid="{00000000-0005-0000-0000-00007E440000}"/>
    <cellStyle name="Normal 36 5 3 2 2 3" xfId="26143" xr:uid="{00000000-0005-0000-0000-00007F440000}"/>
    <cellStyle name="Normal 36 5 3 2 3" xfId="13772" xr:uid="{00000000-0005-0000-0000-000080440000}"/>
    <cellStyle name="Normal 36 5 3 2 3 2" xfId="30316" xr:uid="{00000000-0005-0000-0000-000081440000}"/>
    <cellStyle name="Normal 36 5 3 2 4" xfId="22273" xr:uid="{00000000-0005-0000-0000-000082440000}"/>
    <cellStyle name="Normal 36 5 3 3" xfId="8258" xr:uid="{00000000-0005-0000-0000-000083440000}"/>
    <cellStyle name="Normal 36 5 3 3 2" xfId="17617" xr:uid="{00000000-0005-0000-0000-000084440000}"/>
    <cellStyle name="Normal 36 5 3 3 2 2" xfId="34191" xr:uid="{00000000-0005-0000-0000-000085440000}"/>
    <cellStyle name="Normal 36 5 3 3 3" xfId="26144" xr:uid="{00000000-0005-0000-0000-000086440000}"/>
    <cellStyle name="Normal 36 5 3 4" xfId="13771" xr:uid="{00000000-0005-0000-0000-000087440000}"/>
    <cellStyle name="Normal 36 5 3 4 2" xfId="30315" xr:uid="{00000000-0005-0000-0000-000088440000}"/>
    <cellStyle name="Normal 36 5 3 5" xfId="22272" xr:uid="{00000000-0005-0000-0000-000089440000}"/>
    <cellStyle name="Normal 36 5 4" xfId="4208" xr:uid="{00000000-0005-0000-0000-00008A440000}"/>
    <cellStyle name="Normal 36 5 4 2" xfId="8259" xr:uid="{00000000-0005-0000-0000-00008B440000}"/>
    <cellStyle name="Normal 36 5 4 2 2" xfId="17618" xr:uid="{00000000-0005-0000-0000-00008C440000}"/>
    <cellStyle name="Normal 36 5 4 2 2 2" xfId="34192" xr:uid="{00000000-0005-0000-0000-00008D440000}"/>
    <cellStyle name="Normal 36 5 4 2 3" xfId="26145" xr:uid="{00000000-0005-0000-0000-00008E440000}"/>
    <cellStyle name="Normal 36 5 4 3" xfId="13773" xr:uid="{00000000-0005-0000-0000-00008F440000}"/>
    <cellStyle name="Normal 36 5 4 3 2" xfId="30317" xr:uid="{00000000-0005-0000-0000-000090440000}"/>
    <cellStyle name="Normal 36 5 4 4" xfId="22274" xr:uid="{00000000-0005-0000-0000-000091440000}"/>
    <cellStyle name="Normal 36 5 5" xfId="8260" xr:uid="{00000000-0005-0000-0000-000092440000}"/>
    <cellStyle name="Normal 36 5 5 2" xfId="17619" xr:uid="{00000000-0005-0000-0000-000093440000}"/>
    <cellStyle name="Normal 36 5 5 2 2" xfId="34193" xr:uid="{00000000-0005-0000-0000-000094440000}"/>
    <cellStyle name="Normal 36 5 5 3" xfId="26146" xr:uid="{00000000-0005-0000-0000-000095440000}"/>
    <cellStyle name="Normal 36 5 6" xfId="13766" xr:uid="{00000000-0005-0000-0000-000096440000}"/>
    <cellStyle name="Normal 36 5 6 2" xfId="30310" xr:uid="{00000000-0005-0000-0000-000097440000}"/>
    <cellStyle name="Normal 36 5 7" xfId="22267" xr:uid="{00000000-0005-0000-0000-000098440000}"/>
    <cellStyle name="Normal 36 6" xfId="4209" xr:uid="{00000000-0005-0000-0000-000099440000}"/>
    <cellStyle name="Normal 36 6 2" xfId="4210" xr:uid="{00000000-0005-0000-0000-00009A440000}"/>
    <cellStyle name="Normal 36 6 2 2" xfId="4211" xr:uid="{00000000-0005-0000-0000-00009B440000}"/>
    <cellStyle name="Normal 36 6 2 2 2" xfId="8261" xr:uid="{00000000-0005-0000-0000-00009C440000}"/>
    <cellStyle name="Normal 36 6 2 2 2 2" xfId="17620" xr:uid="{00000000-0005-0000-0000-00009D440000}"/>
    <cellStyle name="Normal 36 6 2 2 2 2 2" xfId="34194" xr:uid="{00000000-0005-0000-0000-00009E440000}"/>
    <cellStyle name="Normal 36 6 2 2 2 3" xfId="26147" xr:uid="{00000000-0005-0000-0000-00009F440000}"/>
    <cellStyle name="Normal 36 6 2 2 3" xfId="13776" xr:uid="{00000000-0005-0000-0000-0000A0440000}"/>
    <cellStyle name="Normal 36 6 2 2 3 2" xfId="30320" xr:uid="{00000000-0005-0000-0000-0000A1440000}"/>
    <cellStyle name="Normal 36 6 2 2 4" xfId="22277" xr:uid="{00000000-0005-0000-0000-0000A2440000}"/>
    <cellStyle name="Normal 36 6 2 3" xfId="8262" xr:uid="{00000000-0005-0000-0000-0000A3440000}"/>
    <cellStyle name="Normal 36 6 2 3 2" xfId="17621" xr:uid="{00000000-0005-0000-0000-0000A4440000}"/>
    <cellStyle name="Normal 36 6 2 3 2 2" xfId="34195" xr:uid="{00000000-0005-0000-0000-0000A5440000}"/>
    <cellStyle name="Normal 36 6 2 3 3" xfId="26148" xr:uid="{00000000-0005-0000-0000-0000A6440000}"/>
    <cellStyle name="Normal 36 6 2 4" xfId="13775" xr:uid="{00000000-0005-0000-0000-0000A7440000}"/>
    <cellStyle name="Normal 36 6 2 4 2" xfId="30319" xr:uid="{00000000-0005-0000-0000-0000A8440000}"/>
    <cellStyle name="Normal 36 6 2 5" xfId="22276" xr:uid="{00000000-0005-0000-0000-0000A9440000}"/>
    <cellStyle name="Normal 36 6 3" xfId="4212" xr:uid="{00000000-0005-0000-0000-0000AA440000}"/>
    <cellStyle name="Normal 36 6 3 2" xfId="8263" xr:uid="{00000000-0005-0000-0000-0000AB440000}"/>
    <cellStyle name="Normal 36 6 3 2 2" xfId="17622" xr:uid="{00000000-0005-0000-0000-0000AC440000}"/>
    <cellStyle name="Normal 36 6 3 2 2 2" xfId="34196" xr:uid="{00000000-0005-0000-0000-0000AD440000}"/>
    <cellStyle name="Normal 36 6 3 2 3" xfId="26149" xr:uid="{00000000-0005-0000-0000-0000AE440000}"/>
    <cellStyle name="Normal 36 6 3 3" xfId="13777" xr:uid="{00000000-0005-0000-0000-0000AF440000}"/>
    <cellStyle name="Normal 36 6 3 3 2" xfId="30321" xr:uid="{00000000-0005-0000-0000-0000B0440000}"/>
    <cellStyle name="Normal 36 6 3 4" xfId="22278" xr:uid="{00000000-0005-0000-0000-0000B1440000}"/>
    <cellStyle name="Normal 36 6 4" xfId="8264" xr:uid="{00000000-0005-0000-0000-0000B2440000}"/>
    <cellStyle name="Normal 36 6 4 2" xfId="17623" xr:uid="{00000000-0005-0000-0000-0000B3440000}"/>
    <cellStyle name="Normal 36 6 4 2 2" xfId="34197" xr:uid="{00000000-0005-0000-0000-0000B4440000}"/>
    <cellStyle name="Normal 36 6 4 3" xfId="26150" xr:uid="{00000000-0005-0000-0000-0000B5440000}"/>
    <cellStyle name="Normal 36 6 5" xfId="13774" xr:uid="{00000000-0005-0000-0000-0000B6440000}"/>
    <cellStyle name="Normal 36 6 5 2" xfId="30318" xr:uid="{00000000-0005-0000-0000-0000B7440000}"/>
    <cellStyle name="Normal 36 6 6" xfId="22275" xr:uid="{00000000-0005-0000-0000-0000B8440000}"/>
    <cellStyle name="Normal 36 7" xfId="4213" xr:uid="{00000000-0005-0000-0000-0000B9440000}"/>
    <cellStyle name="Normal 36 7 2" xfId="4214" xr:uid="{00000000-0005-0000-0000-0000BA440000}"/>
    <cellStyle name="Normal 36 7 2 2" xfId="8265" xr:uid="{00000000-0005-0000-0000-0000BB440000}"/>
    <cellStyle name="Normal 36 7 2 2 2" xfId="17624" xr:uid="{00000000-0005-0000-0000-0000BC440000}"/>
    <cellStyle name="Normal 36 7 2 2 2 2" xfId="34198" xr:uid="{00000000-0005-0000-0000-0000BD440000}"/>
    <cellStyle name="Normal 36 7 2 2 3" xfId="26151" xr:uid="{00000000-0005-0000-0000-0000BE440000}"/>
    <cellStyle name="Normal 36 7 2 3" xfId="13779" xr:uid="{00000000-0005-0000-0000-0000BF440000}"/>
    <cellStyle name="Normal 36 7 2 3 2" xfId="30323" xr:uid="{00000000-0005-0000-0000-0000C0440000}"/>
    <cellStyle name="Normal 36 7 2 4" xfId="22280" xr:uid="{00000000-0005-0000-0000-0000C1440000}"/>
    <cellStyle name="Normal 36 7 3" xfId="8266" xr:uid="{00000000-0005-0000-0000-0000C2440000}"/>
    <cellStyle name="Normal 36 7 3 2" xfId="17625" xr:uid="{00000000-0005-0000-0000-0000C3440000}"/>
    <cellStyle name="Normal 36 7 3 2 2" xfId="34199" xr:uid="{00000000-0005-0000-0000-0000C4440000}"/>
    <cellStyle name="Normal 36 7 3 3" xfId="26152" xr:uid="{00000000-0005-0000-0000-0000C5440000}"/>
    <cellStyle name="Normal 36 7 4" xfId="13778" xr:uid="{00000000-0005-0000-0000-0000C6440000}"/>
    <cellStyle name="Normal 36 7 4 2" xfId="30322" xr:uid="{00000000-0005-0000-0000-0000C7440000}"/>
    <cellStyle name="Normal 36 7 5" xfId="22279" xr:uid="{00000000-0005-0000-0000-0000C8440000}"/>
    <cellStyle name="Normal 36 8" xfId="4215" xr:uid="{00000000-0005-0000-0000-0000C9440000}"/>
    <cellStyle name="Normal 36 8 2" xfId="8267" xr:uid="{00000000-0005-0000-0000-0000CA440000}"/>
    <cellStyle name="Normal 36 8 2 2" xfId="17626" xr:uid="{00000000-0005-0000-0000-0000CB440000}"/>
    <cellStyle name="Normal 36 8 2 2 2" xfId="34200" xr:uid="{00000000-0005-0000-0000-0000CC440000}"/>
    <cellStyle name="Normal 36 8 2 3" xfId="26153" xr:uid="{00000000-0005-0000-0000-0000CD440000}"/>
    <cellStyle name="Normal 36 8 3" xfId="13780" xr:uid="{00000000-0005-0000-0000-0000CE440000}"/>
    <cellStyle name="Normal 36 8 3 2" xfId="30324" xr:uid="{00000000-0005-0000-0000-0000CF440000}"/>
    <cellStyle name="Normal 36 8 4" xfId="22281" xr:uid="{00000000-0005-0000-0000-0000D0440000}"/>
    <cellStyle name="Normal 36 9" xfId="8268" xr:uid="{00000000-0005-0000-0000-0000D1440000}"/>
    <cellStyle name="Normal 36 9 2" xfId="17627" xr:uid="{00000000-0005-0000-0000-0000D2440000}"/>
    <cellStyle name="Normal 36 9 2 2" xfId="34201" xr:uid="{00000000-0005-0000-0000-0000D3440000}"/>
    <cellStyle name="Normal 36 9 3" xfId="26154" xr:uid="{00000000-0005-0000-0000-0000D4440000}"/>
    <cellStyle name="Normal 37" xfId="4216" xr:uid="{00000000-0005-0000-0000-0000D5440000}"/>
    <cellStyle name="Normal 37 10" xfId="13781" xr:uid="{00000000-0005-0000-0000-0000D6440000}"/>
    <cellStyle name="Normal 37 10 2" xfId="30325" xr:uid="{00000000-0005-0000-0000-0000D7440000}"/>
    <cellStyle name="Normal 37 11" xfId="22282" xr:uid="{00000000-0005-0000-0000-0000D8440000}"/>
    <cellStyle name="Normal 37 2" xfId="4217" xr:uid="{00000000-0005-0000-0000-0000D9440000}"/>
    <cellStyle name="Normal 37 2 2" xfId="4218" xr:uid="{00000000-0005-0000-0000-0000DA440000}"/>
    <cellStyle name="Normal 37 2 3" xfId="13782" xr:uid="{00000000-0005-0000-0000-0000DB440000}"/>
    <cellStyle name="Normal 37 2 3 2" xfId="30326" xr:uid="{00000000-0005-0000-0000-0000DC440000}"/>
    <cellStyle name="Normal 37 2 4" xfId="22283" xr:uid="{00000000-0005-0000-0000-0000DD440000}"/>
    <cellStyle name="Normal 37 3" xfId="4219" xr:uid="{00000000-0005-0000-0000-0000DE440000}"/>
    <cellStyle name="Normal 37 3 2" xfId="4220" xr:uid="{00000000-0005-0000-0000-0000DF440000}"/>
    <cellStyle name="Normal 37 3 2 2" xfId="4221" xr:uid="{00000000-0005-0000-0000-0000E0440000}"/>
    <cellStyle name="Normal 37 3 2 2 2" xfId="4222" xr:uid="{00000000-0005-0000-0000-0000E1440000}"/>
    <cellStyle name="Normal 37 3 2 2 2 2" xfId="8269" xr:uid="{00000000-0005-0000-0000-0000E2440000}"/>
    <cellStyle name="Normal 37 3 2 2 2 2 2" xfId="17628" xr:uid="{00000000-0005-0000-0000-0000E3440000}"/>
    <cellStyle name="Normal 37 3 2 2 2 2 2 2" xfId="34202" xr:uid="{00000000-0005-0000-0000-0000E4440000}"/>
    <cellStyle name="Normal 37 3 2 2 2 2 3" xfId="26155" xr:uid="{00000000-0005-0000-0000-0000E5440000}"/>
    <cellStyle name="Normal 37 3 2 2 2 3" xfId="13785" xr:uid="{00000000-0005-0000-0000-0000E6440000}"/>
    <cellStyle name="Normal 37 3 2 2 2 3 2" xfId="30329" xr:uid="{00000000-0005-0000-0000-0000E7440000}"/>
    <cellStyle name="Normal 37 3 2 2 2 4" xfId="22286" xr:uid="{00000000-0005-0000-0000-0000E8440000}"/>
    <cellStyle name="Normal 37 3 2 2 3" xfId="8270" xr:uid="{00000000-0005-0000-0000-0000E9440000}"/>
    <cellStyle name="Normal 37 3 2 2 3 2" xfId="17629" xr:uid="{00000000-0005-0000-0000-0000EA440000}"/>
    <cellStyle name="Normal 37 3 2 2 3 2 2" xfId="34203" xr:uid="{00000000-0005-0000-0000-0000EB440000}"/>
    <cellStyle name="Normal 37 3 2 2 3 3" xfId="26156" xr:uid="{00000000-0005-0000-0000-0000EC440000}"/>
    <cellStyle name="Normal 37 3 2 2 4" xfId="13784" xr:uid="{00000000-0005-0000-0000-0000ED440000}"/>
    <cellStyle name="Normal 37 3 2 2 4 2" xfId="30328" xr:uid="{00000000-0005-0000-0000-0000EE440000}"/>
    <cellStyle name="Normal 37 3 2 2 5" xfId="22285" xr:uid="{00000000-0005-0000-0000-0000EF440000}"/>
    <cellStyle name="Normal 37 3 2 3" xfId="4223" xr:uid="{00000000-0005-0000-0000-0000F0440000}"/>
    <cellStyle name="Normal 37 3 2 3 2" xfId="8271" xr:uid="{00000000-0005-0000-0000-0000F1440000}"/>
    <cellStyle name="Normal 37 3 2 3 2 2" xfId="17630" xr:uid="{00000000-0005-0000-0000-0000F2440000}"/>
    <cellStyle name="Normal 37 3 2 3 2 2 2" xfId="34204" xr:uid="{00000000-0005-0000-0000-0000F3440000}"/>
    <cellStyle name="Normal 37 3 2 3 2 3" xfId="26157" xr:uid="{00000000-0005-0000-0000-0000F4440000}"/>
    <cellStyle name="Normal 37 3 2 3 3" xfId="13786" xr:uid="{00000000-0005-0000-0000-0000F5440000}"/>
    <cellStyle name="Normal 37 3 2 3 3 2" xfId="30330" xr:uid="{00000000-0005-0000-0000-0000F6440000}"/>
    <cellStyle name="Normal 37 3 2 3 4" xfId="22287" xr:uid="{00000000-0005-0000-0000-0000F7440000}"/>
    <cellStyle name="Normal 37 3 2 4" xfId="8272" xr:uid="{00000000-0005-0000-0000-0000F8440000}"/>
    <cellStyle name="Normal 37 3 2 4 2" xfId="17631" xr:uid="{00000000-0005-0000-0000-0000F9440000}"/>
    <cellStyle name="Normal 37 3 2 4 2 2" xfId="34205" xr:uid="{00000000-0005-0000-0000-0000FA440000}"/>
    <cellStyle name="Normal 37 3 2 4 3" xfId="26158" xr:uid="{00000000-0005-0000-0000-0000FB440000}"/>
    <cellStyle name="Normal 37 3 2 5" xfId="13783" xr:uid="{00000000-0005-0000-0000-0000FC440000}"/>
    <cellStyle name="Normal 37 3 2 5 2" xfId="30327" xr:uid="{00000000-0005-0000-0000-0000FD440000}"/>
    <cellStyle name="Normal 37 3 2 6" xfId="22284" xr:uid="{00000000-0005-0000-0000-0000FE440000}"/>
    <cellStyle name="Normal 37 3 3" xfId="4224" xr:uid="{00000000-0005-0000-0000-0000FF440000}"/>
    <cellStyle name="Normal 37 3 3 2" xfId="4225" xr:uid="{00000000-0005-0000-0000-000000450000}"/>
    <cellStyle name="Normal 37 3 3 2 2" xfId="8273" xr:uid="{00000000-0005-0000-0000-000001450000}"/>
    <cellStyle name="Normal 37 3 3 2 2 2" xfId="17632" xr:uid="{00000000-0005-0000-0000-000002450000}"/>
    <cellStyle name="Normal 37 3 3 2 2 2 2" xfId="34206" xr:uid="{00000000-0005-0000-0000-000003450000}"/>
    <cellStyle name="Normal 37 3 3 2 2 3" xfId="26159" xr:uid="{00000000-0005-0000-0000-000004450000}"/>
    <cellStyle name="Normal 37 3 3 2 3" xfId="13788" xr:uid="{00000000-0005-0000-0000-000005450000}"/>
    <cellStyle name="Normal 37 3 3 2 3 2" xfId="30332" xr:uid="{00000000-0005-0000-0000-000006450000}"/>
    <cellStyle name="Normal 37 3 3 2 4" xfId="22289" xr:uid="{00000000-0005-0000-0000-000007450000}"/>
    <cellStyle name="Normal 37 3 3 3" xfId="8274" xr:uid="{00000000-0005-0000-0000-000008450000}"/>
    <cellStyle name="Normal 37 3 3 3 2" xfId="17633" xr:uid="{00000000-0005-0000-0000-000009450000}"/>
    <cellStyle name="Normal 37 3 3 3 2 2" xfId="34207" xr:uid="{00000000-0005-0000-0000-00000A450000}"/>
    <cellStyle name="Normal 37 3 3 3 3" xfId="26160" xr:uid="{00000000-0005-0000-0000-00000B450000}"/>
    <cellStyle name="Normal 37 3 3 4" xfId="13787" xr:uid="{00000000-0005-0000-0000-00000C450000}"/>
    <cellStyle name="Normal 37 3 3 4 2" xfId="30331" xr:uid="{00000000-0005-0000-0000-00000D450000}"/>
    <cellStyle name="Normal 37 3 3 5" xfId="22288" xr:uid="{00000000-0005-0000-0000-00000E450000}"/>
    <cellStyle name="Normal 37 3 4" xfId="4226" xr:uid="{00000000-0005-0000-0000-00000F450000}"/>
    <cellStyle name="Normal 37 3 4 2" xfId="8275" xr:uid="{00000000-0005-0000-0000-000010450000}"/>
    <cellStyle name="Normal 37 3 4 2 2" xfId="17634" xr:uid="{00000000-0005-0000-0000-000011450000}"/>
    <cellStyle name="Normal 37 3 4 2 2 2" xfId="34208" xr:uid="{00000000-0005-0000-0000-000012450000}"/>
    <cellStyle name="Normal 37 3 4 2 3" xfId="26161" xr:uid="{00000000-0005-0000-0000-000013450000}"/>
    <cellStyle name="Normal 37 3 4 3" xfId="13789" xr:uid="{00000000-0005-0000-0000-000014450000}"/>
    <cellStyle name="Normal 37 3 4 3 2" xfId="30333" xr:uid="{00000000-0005-0000-0000-000015450000}"/>
    <cellStyle name="Normal 37 3 4 4" xfId="22290" xr:uid="{00000000-0005-0000-0000-000016450000}"/>
    <cellStyle name="Normal 37 3 5" xfId="4227" xr:uid="{00000000-0005-0000-0000-000017450000}"/>
    <cellStyle name="Normal 37 3 5 2" xfId="13790" xr:uid="{00000000-0005-0000-0000-000018450000}"/>
    <cellStyle name="Normal 37 3 5 2 2" xfId="30334" xr:uid="{00000000-0005-0000-0000-000019450000}"/>
    <cellStyle name="Normal 37 3 5 3" xfId="22291" xr:uid="{00000000-0005-0000-0000-00001A450000}"/>
    <cellStyle name="Normal 37 4" xfId="4228" xr:uid="{00000000-0005-0000-0000-00001B450000}"/>
    <cellStyle name="Normal 37 4 2" xfId="4229" xr:uid="{00000000-0005-0000-0000-00001C450000}"/>
    <cellStyle name="Normal 37 4 2 2" xfId="4230" xr:uid="{00000000-0005-0000-0000-00001D450000}"/>
    <cellStyle name="Normal 37 4 2 2 2" xfId="4231" xr:uid="{00000000-0005-0000-0000-00001E450000}"/>
    <cellStyle name="Normal 37 4 2 2 2 2" xfId="8276" xr:uid="{00000000-0005-0000-0000-00001F450000}"/>
    <cellStyle name="Normal 37 4 2 2 2 2 2" xfId="17635" xr:uid="{00000000-0005-0000-0000-000020450000}"/>
    <cellStyle name="Normal 37 4 2 2 2 2 2 2" xfId="34209" xr:uid="{00000000-0005-0000-0000-000021450000}"/>
    <cellStyle name="Normal 37 4 2 2 2 2 3" xfId="26162" xr:uid="{00000000-0005-0000-0000-000022450000}"/>
    <cellStyle name="Normal 37 4 2 2 2 3" xfId="13794" xr:uid="{00000000-0005-0000-0000-000023450000}"/>
    <cellStyle name="Normal 37 4 2 2 2 3 2" xfId="30338" xr:uid="{00000000-0005-0000-0000-000024450000}"/>
    <cellStyle name="Normal 37 4 2 2 2 4" xfId="22295" xr:uid="{00000000-0005-0000-0000-000025450000}"/>
    <cellStyle name="Normal 37 4 2 2 3" xfId="8277" xr:uid="{00000000-0005-0000-0000-000026450000}"/>
    <cellStyle name="Normal 37 4 2 2 3 2" xfId="17636" xr:uid="{00000000-0005-0000-0000-000027450000}"/>
    <cellStyle name="Normal 37 4 2 2 3 2 2" xfId="34210" xr:uid="{00000000-0005-0000-0000-000028450000}"/>
    <cellStyle name="Normal 37 4 2 2 3 3" xfId="26163" xr:uid="{00000000-0005-0000-0000-000029450000}"/>
    <cellStyle name="Normal 37 4 2 2 4" xfId="13793" xr:uid="{00000000-0005-0000-0000-00002A450000}"/>
    <cellStyle name="Normal 37 4 2 2 4 2" xfId="30337" xr:uid="{00000000-0005-0000-0000-00002B450000}"/>
    <cellStyle name="Normal 37 4 2 2 5" xfId="22294" xr:uid="{00000000-0005-0000-0000-00002C450000}"/>
    <cellStyle name="Normal 37 4 2 3" xfId="4232" xr:uid="{00000000-0005-0000-0000-00002D450000}"/>
    <cellStyle name="Normal 37 4 2 3 2" xfId="8278" xr:uid="{00000000-0005-0000-0000-00002E450000}"/>
    <cellStyle name="Normal 37 4 2 3 2 2" xfId="17637" xr:uid="{00000000-0005-0000-0000-00002F450000}"/>
    <cellStyle name="Normal 37 4 2 3 2 2 2" xfId="34211" xr:uid="{00000000-0005-0000-0000-000030450000}"/>
    <cellStyle name="Normal 37 4 2 3 2 3" xfId="26164" xr:uid="{00000000-0005-0000-0000-000031450000}"/>
    <cellStyle name="Normal 37 4 2 3 3" xfId="13795" xr:uid="{00000000-0005-0000-0000-000032450000}"/>
    <cellStyle name="Normal 37 4 2 3 3 2" xfId="30339" xr:uid="{00000000-0005-0000-0000-000033450000}"/>
    <cellStyle name="Normal 37 4 2 3 4" xfId="22296" xr:uid="{00000000-0005-0000-0000-000034450000}"/>
    <cellStyle name="Normal 37 4 2 4" xfId="8279" xr:uid="{00000000-0005-0000-0000-000035450000}"/>
    <cellStyle name="Normal 37 4 2 4 2" xfId="17638" xr:uid="{00000000-0005-0000-0000-000036450000}"/>
    <cellStyle name="Normal 37 4 2 4 2 2" xfId="34212" xr:uid="{00000000-0005-0000-0000-000037450000}"/>
    <cellStyle name="Normal 37 4 2 4 3" xfId="26165" xr:uid="{00000000-0005-0000-0000-000038450000}"/>
    <cellStyle name="Normal 37 4 2 5" xfId="13792" xr:uid="{00000000-0005-0000-0000-000039450000}"/>
    <cellStyle name="Normal 37 4 2 5 2" xfId="30336" xr:uid="{00000000-0005-0000-0000-00003A450000}"/>
    <cellStyle name="Normal 37 4 2 6" xfId="22293" xr:uid="{00000000-0005-0000-0000-00003B450000}"/>
    <cellStyle name="Normal 37 4 3" xfId="4233" xr:uid="{00000000-0005-0000-0000-00003C450000}"/>
    <cellStyle name="Normal 37 4 3 2" xfId="4234" xr:uid="{00000000-0005-0000-0000-00003D450000}"/>
    <cellStyle name="Normal 37 4 3 2 2" xfId="8280" xr:uid="{00000000-0005-0000-0000-00003E450000}"/>
    <cellStyle name="Normal 37 4 3 2 2 2" xfId="17639" xr:uid="{00000000-0005-0000-0000-00003F450000}"/>
    <cellStyle name="Normal 37 4 3 2 2 2 2" xfId="34213" xr:uid="{00000000-0005-0000-0000-000040450000}"/>
    <cellStyle name="Normal 37 4 3 2 2 3" xfId="26166" xr:uid="{00000000-0005-0000-0000-000041450000}"/>
    <cellStyle name="Normal 37 4 3 2 3" xfId="13797" xr:uid="{00000000-0005-0000-0000-000042450000}"/>
    <cellStyle name="Normal 37 4 3 2 3 2" xfId="30341" xr:uid="{00000000-0005-0000-0000-000043450000}"/>
    <cellStyle name="Normal 37 4 3 2 4" xfId="22298" xr:uid="{00000000-0005-0000-0000-000044450000}"/>
    <cellStyle name="Normal 37 4 3 3" xfId="8281" xr:uid="{00000000-0005-0000-0000-000045450000}"/>
    <cellStyle name="Normal 37 4 3 3 2" xfId="17640" xr:uid="{00000000-0005-0000-0000-000046450000}"/>
    <cellStyle name="Normal 37 4 3 3 2 2" xfId="34214" xr:uid="{00000000-0005-0000-0000-000047450000}"/>
    <cellStyle name="Normal 37 4 3 3 3" xfId="26167" xr:uid="{00000000-0005-0000-0000-000048450000}"/>
    <cellStyle name="Normal 37 4 3 4" xfId="13796" xr:uid="{00000000-0005-0000-0000-000049450000}"/>
    <cellStyle name="Normal 37 4 3 4 2" xfId="30340" xr:uid="{00000000-0005-0000-0000-00004A450000}"/>
    <cellStyle name="Normal 37 4 3 5" xfId="22297" xr:uid="{00000000-0005-0000-0000-00004B450000}"/>
    <cellStyle name="Normal 37 4 4" xfId="4235" xr:uid="{00000000-0005-0000-0000-00004C450000}"/>
    <cellStyle name="Normal 37 4 4 2" xfId="8282" xr:uid="{00000000-0005-0000-0000-00004D450000}"/>
    <cellStyle name="Normal 37 4 4 2 2" xfId="17641" xr:uid="{00000000-0005-0000-0000-00004E450000}"/>
    <cellStyle name="Normal 37 4 4 2 2 2" xfId="34215" xr:uid="{00000000-0005-0000-0000-00004F450000}"/>
    <cellStyle name="Normal 37 4 4 2 3" xfId="26168" xr:uid="{00000000-0005-0000-0000-000050450000}"/>
    <cellStyle name="Normal 37 4 4 3" xfId="13798" xr:uid="{00000000-0005-0000-0000-000051450000}"/>
    <cellStyle name="Normal 37 4 4 3 2" xfId="30342" xr:uid="{00000000-0005-0000-0000-000052450000}"/>
    <cellStyle name="Normal 37 4 4 4" xfId="22299" xr:uid="{00000000-0005-0000-0000-000053450000}"/>
    <cellStyle name="Normal 37 4 5" xfId="8283" xr:uid="{00000000-0005-0000-0000-000054450000}"/>
    <cellStyle name="Normal 37 4 5 2" xfId="17642" xr:uid="{00000000-0005-0000-0000-000055450000}"/>
    <cellStyle name="Normal 37 4 5 2 2" xfId="34216" xr:uid="{00000000-0005-0000-0000-000056450000}"/>
    <cellStyle name="Normal 37 4 5 3" xfId="26169" xr:uid="{00000000-0005-0000-0000-000057450000}"/>
    <cellStyle name="Normal 37 4 6" xfId="13791" xr:uid="{00000000-0005-0000-0000-000058450000}"/>
    <cellStyle name="Normal 37 4 6 2" xfId="30335" xr:uid="{00000000-0005-0000-0000-000059450000}"/>
    <cellStyle name="Normal 37 4 7" xfId="22292" xr:uid="{00000000-0005-0000-0000-00005A450000}"/>
    <cellStyle name="Normal 37 5" xfId="4236" xr:uid="{00000000-0005-0000-0000-00005B450000}"/>
    <cellStyle name="Normal 37 5 2" xfId="4237" xr:uid="{00000000-0005-0000-0000-00005C450000}"/>
    <cellStyle name="Normal 37 5 2 2" xfId="4238" xr:uid="{00000000-0005-0000-0000-00005D450000}"/>
    <cellStyle name="Normal 37 5 2 2 2" xfId="4239" xr:uid="{00000000-0005-0000-0000-00005E450000}"/>
    <cellStyle name="Normal 37 5 2 2 2 2" xfId="8284" xr:uid="{00000000-0005-0000-0000-00005F450000}"/>
    <cellStyle name="Normal 37 5 2 2 2 2 2" xfId="17643" xr:uid="{00000000-0005-0000-0000-000060450000}"/>
    <cellStyle name="Normal 37 5 2 2 2 2 2 2" xfId="34217" xr:uid="{00000000-0005-0000-0000-000061450000}"/>
    <cellStyle name="Normal 37 5 2 2 2 2 3" xfId="26170" xr:uid="{00000000-0005-0000-0000-000062450000}"/>
    <cellStyle name="Normal 37 5 2 2 2 3" xfId="13802" xr:uid="{00000000-0005-0000-0000-000063450000}"/>
    <cellStyle name="Normal 37 5 2 2 2 3 2" xfId="30346" xr:uid="{00000000-0005-0000-0000-000064450000}"/>
    <cellStyle name="Normal 37 5 2 2 2 4" xfId="22303" xr:uid="{00000000-0005-0000-0000-000065450000}"/>
    <cellStyle name="Normal 37 5 2 2 3" xfId="8285" xr:uid="{00000000-0005-0000-0000-000066450000}"/>
    <cellStyle name="Normal 37 5 2 2 3 2" xfId="17644" xr:uid="{00000000-0005-0000-0000-000067450000}"/>
    <cellStyle name="Normal 37 5 2 2 3 2 2" xfId="34218" xr:uid="{00000000-0005-0000-0000-000068450000}"/>
    <cellStyle name="Normal 37 5 2 2 3 3" xfId="26171" xr:uid="{00000000-0005-0000-0000-000069450000}"/>
    <cellStyle name="Normal 37 5 2 2 4" xfId="13801" xr:uid="{00000000-0005-0000-0000-00006A450000}"/>
    <cellStyle name="Normal 37 5 2 2 4 2" xfId="30345" xr:uid="{00000000-0005-0000-0000-00006B450000}"/>
    <cellStyle name="Normal 37 5 2 2 5" xfId="22302" xr:uid="{00000000-0005-0000-0000-00006C450000}"/>
    <cellStyle name="Normal 37 5 2 3" xfId="4240" xr:uid="{00000000-0005-0000-0000-00006D450000}"/>
    <cellStyle name="Normal 37 5 2 3 2" xfId="8286" xr:uid="{00000000-0005-0000-0000-00006E450000}"/>
    <cellStyle name="Normal 37 5 2 3 2 2" xfId="17645" xr:uid="{00000000-0005-0000-0000-00006F450000}"/>
    <cellStyle name="Normal 37 5 2 3 2 2 2" xfId="34219" xr:uid="{00000000-0005-0000-0000-000070450000}"/>
    <cellStyle name="Normal 37 5 2 3 2 3" xfId="26172" xr:uid="{00000000-0005-0000-0000-000071450000}"/>
    <cellStyle name="Normal 37 5 2 3 3" xfId="13803" xr:uid="{00000000-0005-0000-0000-000072450000}"/>
    <cellStyle name="Normal 37 5 2 3 3 2" xfId="30347" xr:uid="{00000000-0005-0000-0000-000073450000}"/>
    <cellStyle name="Normal 37 5 2 3 4" xfId="22304" xr:uid="{00000000-0005-0000-0000-000074450000}"/>
    <cellStyle name="Normal 37 5 2 4" xfId="8287" xr:uid="{00000000-0005-0000-0000-000075450000}"/>
    <cellStyle name="Normal 37 5 2 4 2" xfId="17646" xr:uid="{00000000-0005-0000-0000-000076450000}"/>
    <cellStyle name="Normal 37 5 2 4 2 2" xfId="34220" xr:uid="{00000000-0005-0000-0000-000077450000}"/>
    <cellStyle name="Normal 37 5 2 4 3" xfId="26173" xr:uid="{00000000-0005-0000-0000-000078450000}"/>
    <cellStyle name="Normal 37 5 2 5" xfId="13800" xr:uid="{00000000-0005-0000-0000-000079450000}"/>
    <cellStyle name="Normal 37 5 2 5 2" xfId="30344" xr:uid="{00000000-0005-0000-0000-00007A450000}"/>
    <cellStyle name="Normal 37 5 2 6" xfId="22301" xr:uid="{00000000-0005-0000-0000-00007B450000}"/>
    <cellStyle name="Normal 37 5 3" xfId="4241" xr:uid="{00000000-0005-0000-0000-00007C450000}"/>
    <cellStyle name="Normal 37 5 3 2" xfId="4242" xr:uid="{00000000-0005-0000-0000-00007D450000}"/>
    <cellStyle name="Normal 37 5 3 2 2" xfId="8288" xr:uid="{00000000-0005-0000-0000-00007E450000}"/>
    <cellStyle name="Normal 37 5 3 2 2 2" xfId="17647" xr:uid="{00000000-0005-0000-0000-00007F450000}"/>
    <cellStyle name="Normal 37 5 3 2 2 2 2" xfId="34221" xr:uid="{00000000-0005-0000-0000-000080450000}"/>
    <cellStyle name="Normal 37 5 3 2 2 3" xfId="26174" xr:uid="{00000000-0005-0000-0000-000081450000}"/>
    <cellStyle name="Normal 37 5 3 2 3" xfId="13805" xr:uid="{00000000-0005-0000-0000-000082450000}"/>
    <cellStyle name="Normal 37 5 3 2 3 2" xfId="30349" xr:uid="{00000000-0005-0000-0000-000083450000}"/>
    <cellStyle name="Normal 37 5 3 2 4" xfId="22306" xr:uid="{00000000-0005-0000-0000-000084450000}"/>
    <cellStyle name="Normal 37 5 3 3" xfId="8289" xr:uid="{00000000-0005-0000-0000-000085450000}"/>
    <cellStyle name="Normal 37 5 3 3 2" xfId="17648" xr:uid="{00000000-0005-0000-0000-000086450000}"/>
    <cellStyle name="Normal 37 5 3 3 2 2" xfId="34222" xr:uid="{00000000-0005-0000-0000-000087450000}"/>
    <cellStyle name="Normal 37 5 3 3 3" xfId="26175" xr:uid="{00000000-0005-0000-0000-000088450000}"/>
    <cellStyle name="Normal 37 5 3 4" xfId="13804" xr:uid="{00000000-0005-0000-0000-000089450000}"/>
    <cellStyle name="Normal 37 5 3 4 2" xfId="30348" xr:uid="{00000000-0005-0000-0000-00008A450000}"/>
    <cellStyle name="Normal 37 5 3 5" xfId="22305" xr:uid="{00000000-0005-0000-0000-00008B450000}"/>
    <cellStyle name="Normal 37 5 4" xfId="4243" xr:uid="{00000000-0005-0000-0000-00008C450000}"/>
    <cellStyle name="Normal 37 5 4 2" xfId="8290" xr:uid="{00000000-0005-0000-0000-00008D450000}"/>
    <cellStyle name="Normal 37 5 4 2 2" xfId="17649" xr:uid="{00000000-0005-0000-0000-00008E450000}"/>
    <cellStyle name="Normal 37 5 4 2 2 2" xfId="34223" xr:uid="{00000000-0005-0000-0000-00008F450000}"/>
    <cellStyle name="Normal 37 5 4 2 3" xfId="26176" xr:uid="{00000000-0005-0000-0000-000090450000}"/>
    <cellStyle name="Normal 37 5 4 3" xfId="13806" xr:uid="{00000000-0005-0000-0000-000091450000}"/>
    <cellStyle name="Normal 37 5 4 3 2" xfId="30350" xr:uid="{00000000-0005-0000-0000-000092450000}"/>
    <cellStyle name="Normal 37 5 4 4" xfId="22307" xr:uid="{00000000-0005-0000-0000-000093450000}"/>
    <cellStyle name="Normal 37 5 5" xfId="8291" xr:uid="{00000000-0005-0000-0000-000094450000}"/>
    <cellStyle name="Normal 37 5 5 2" xfId="17650" xr:uid="{00000000-0005-0000-0000-000095450000}"/>
    <cellStyle name="Normal 37 5 5 2 2" xfId="34224" xr:uid="{00000000-0005-0000-0000-000096450000}"/>
    <cellStyle name="Normal 37 5 5 3" xfId="26177" xr:uid="{00000000-0005-0000-0000-000097450000}"/>
    <cellStyle name="Normal 37 5 6" xfId="13799" xr:uid="{00000000-0005-0000-0000-000098450000}"/>
    <cellStyle name="Normal 37 5 6 2" xfId="30343" xr:uid="{00000000-0005-0000-0000-000099450000}"/>
    <cellStyle name="Normal 37 5 7" xfId="22300" xr:uid="{00000000-0005-0000-0000-00009A450000}"/>
    <cellStyle name="Normal 37 6" xfId="4244" xr:uid="{00000000-0005-0000-0000-00009B450000}"/>
    <cellStyle name="Normal 37 6 2" xfId="4245" xr:uid="{00000000-0005-0000-0000-00009C450000}"/>
    <cellStyle name="Normal 37 6 2 2" xfId="4246" xr:uid="{00000000-0005-0000-0000-00009D450000}"/>
    <cellStyle name="Normal 37 6 2 2 2" xfId="8292" xr:uid="{00000000-0005-0000-0000-00009E450000}"/>
    <cellStyle name="Normal 37 6 2 2 2 2" xfId="17651" xr:uid="{00000000-0005-0000-0000-00009F450000}"/>
    <cellStyle name="Normal 37 6 2 2 2 2 2" xfId="34225" xr:uid="{00000000-0005-0000-0000-0000A0450000}"/>
    <cellStyle name="Normal 37 6 2 2 2 3" xfId="26178" xr:uid="{00000000-0005-0000-0000-0000A1450000}"/>
    <cellStyle name="Normal 37 6 2 2 3" xfId="13809" xr:uid="{00000000-0005-0000-0000-0000A2450000}"/>
    <cellStyle name="Normal 37 6 2 2 3 2" xfId="30353" xr:uid="{00000000-0005-0000-0000-0000A3450000}"/>
    <cellStyle name="Normal 37 6 2 2 4" xfId="22310" xr:uid="{00000000-0005-0000-0000-0000A4450000}"/>
    <cellStyle name="Normal 37 6 2 3" xfId="8293" xr:uid="{00000000-0005-0000-0000-0000A5450000}"/>
    <cellStyle name="Normal 37 6 2 3 2" xfId="17652" xr:uid="{00000000-0005-0000-0000-0000A6450000}"/>
    <cellStyle name="Normal 37 6 2 3 2 2" xfId="34226" xr:uid="{00000000-0005-0000-0000-0000A7450000}"/>
    <cellStyle name="Normal 37 6 2 3 3" xfId="26179" xr:uid="{00000000-0005-0000-0000-0000A8450000}"/>
    <cellStyle name="Normal 37 6 2 4" xfId="13808" xr:uid="{00000000-0005-0000-0000-0000A9450000}"/>
    <cellStyle name="Normal 37 6 2 4 2" xfId="30352" xr:uid="{00000000-0005-0000-0000-0000AA450000}"/>
    <cellStyle name="Normal 37 6 2 5" xfId="22309" xr:uid="{00000000-0005-0000-0000-0000AB450000}"/>
    <cellStyle name="Normal 37 6 3" xfId="4247" xr:uid="{00000000-0005-0000-0000-0000AC450000}"/>
    <cellStyle name="Normal 37 6 3 2" xfId="8294" xr:uid="{00000000-0005-0000-0000-0000AD450000}"/>
    <cellStyle name="Normal 37 6 3 2 2" xfId="17653" xr:uid="{00000000-0005-0000-0000-0000AE450000}"/>
    <cellStyle name="Normal 37 6 3 2 2 2" xfId="34227" xr:uid="{00000000-0005-0000-0000-0000AF450000}"/>
    <cellStyle name="Normal 37 6 3 2 3" xfId="26180" xr:uid="{00000000-0005-0000-0000-0000B0450000}"/>
    <cellStyle name="Normal 37 6 3 3" xfId="13810" xr:uid="{00000000-0005-0000-0000-0000B1450000}"/>
    <cellStyle name="Normal 37 6 3 3 2" xfId="30354" xr:uid="{00000000-0005-0000-0000-0000B2450000}"/>
    <cellStyle name="Normal 37 6 3 4" xfId="22311" xr:uid="{00000000-0005-0000-0000-0000B3450000}"/>
    <cellStyle name="Normal 37 6 4" xfId="8295" xr:uid="{00000000-0005-0000-0000-0000B4450000}"/>
    <cellStyle name="Normal 37 6 4 2" xfId="17654" xr:uid="{00000000-0005-0000-0000-0000B5450000}"/>
    <cellStyle name="Normal 37 6 4 2 2" xfId="34228" xr:uid="{00000000-0005-0000-0000-0000B6450000}"/>
    <cellStyle name="Normal 37 6 4 3" xfId="26181" xr:uid="{00000000-0005-0000-0000-0000B7450000}"/>
    <cellStyle name="Normal 37 6 5" xfId="13807" xr:uid="{00000000-0005-0000-0000-0000B8450000}"/>
    <cellStyle name="Normal 37 6 5 2" xfId="30351" xr:uid="{00000000-0005-0000-0000-0000B9450000}"/>
    <cellStyle name="Normal 37 6 6" xfId="22308" xr:uid="{00000000-0005-0000-0000-0000BA450000}"/>
    <cellStyle name="Normal 37 7" xfId="4248" xr:uid="{00000000-0005-0000-0000-0000BB450000}"/>
    <cellStyle name="Normal 37 7 2" xfId="4249" xr:uid="{00000000-0005-0000-0000-0000BC450000}"/>
    <cellStyle name="Normal 37 7 2 2" xfId="8296" xr:uid="{00000000-0005-0000-0000-0000BD450000}"/>
    <cellStyle name="Normal 37 7 2 2 2" xfId="17655" xr:uid="{00000000-0005-0000-0000-0000BE450000}"/>
    <cellStyle name="Normal 37 7 2 2 2 2" xfId="34229" xr:uid="{00000000-0005-0000-0000-0000BF450000}"/>
    <cellStyle name="Normal 37 7 2 2 3" xfId="26182" xr:uid="{00000000-0005-0000-0000-0000C0450000}"/>
    <cellStyle name="Normal 37 7 2 3" xfId="13812" xr:uid="{00000000-0005-0000-0000-0000C1450000}"/>
    <cellStyle name="Normal 37 7 2 3 2" xfId="30356" xr:uid="{00000000-0005-0000-0000-0000C2450000}"/>
    <cellStyle name="Normal 37 7 2 4" xfId="22313" xr:uid="{00000000-0005-0000-0000-0000C3450000}"/>
    <cellStyle name="Normal 37 7 3" xfId="8297" xr:uid="{00000000-0005-0000-0000-0000C4450000}"/>
    <cellStyle name="Normal 37 7 3 2" xfId="17656" xr:uid="{00000000-0005-0000-0000-0000C5450000}"/>
    <cellStyle name="Normal 37 7 3 2 2" xfId="34230" xr:uid="{00000000-0005-0000-0000-0000C6450000}"/>
    <cellStyle name="Normal 37 7 3 3" xfId="26183" xr:uid="{00000000-0005-0000-0000-0000C7450000}"/>
    <cellStyle name="Normal 37 7 4" xfId="13811" xr:uid="{00000000-0005-0000-0000-0000C8450000}"/>
    <cellStyle name="Normal 37 7 4 2" xfId="30355" xr:uid="{00000000-0005-0000-0000-0000C9450000}"/>
    <cellStyle name="Normal 37 7 5" xfId="22312" xr:uid="{00000000-0005-0000-0000-0000CA450000}"/>
    <cellStyle name="Normal 37 8" xfId="4250" xr:uid="{00000000-0005-0000-0000-0000CB450000}"/>
    <cellStyle name="Normal 37 8 2" xfId="8298" xr:uid="{00000000-0005-0000-0000-0000CC450000}"/>
    <cellStyle name="Normal 37 8 2 2" xfId="17657" xr:uid="{00000000-0005-0000-0000-0000CD450000}"/>
    <cellStyle name="Normal 37 8 2 2 2" xfId="34231" xr:uid="{00000000-0005-0000-0000-0000CE450000}"/>
    <cellStyle name="Normal 37 8 2 3" xfId="26184" xr:uid="{00000000-0005-0000-0000-0000CF450000}"/>
    <cellStyle name="Normal 37 8 3" xfId="13813" xr:uid="{00000000-0005-0000-0000-0000D0450000}"/>
    <cellStyle name="Normal 37 8 3 2" xfId="30357" xr:uid="{00000000-0005-0000-0000-0000D1450000}"/>
    <cellStyle name="Normal 37 8 4" xfId="22314" xr:uid="{00000000-0005-0000-0000-0000D2450000}"/>
    <cellStyle name="Normal 37 9" xfId="8299" xr:uid="{00000000-0005-0000-0000-0000D3450000}"/>
    <cellStyle name="Normal 37 9 2" xfId="17658" xr:uid="{00000000-0005-0000-0000-0000D4450000}"/>
    <cellStyle name="Normal 37 9 2 2" xfId="34232" xr:uid="{00000000-0005-0000-0000-0000D5450000}"/>
    <cellStyle name="Normal 37 9 3" xfId="26185" xr:uid="{00000000-0005-0000-0000-0000D6450000}"/>
    <cellStyle name="Normal 38" xfId="4251" xr:uid="{00000000-0005-0000-0000-0000D7450000}"/>
    <cellStyle name="Normal 38 10" xfId="13814" xr:uid="{00000000-0005-0000-0000-0000D8450000}"/>
    <cellStyle name="Normal 38 10 2" xfId="30358" xr:uid="{00000000-0005-0000-0000-0000D9450000}"/>
    <cellStyle name="Normal 38 11" xfId="22315" xr:uid="{00000000-0005-0000-0000-0000DA450000}"/>
    <cellStyle name="Normal 38 2" xfId="4252" xr:uid="{00000000-0005-0000-0000-0000DB450000}"/>
    <cellStyle name="Normal 38 2 2" xfId="4253" xr:uid="{00000000-0005-0000-0000-0000DC450000}"/>
    <cellStyle name="Normal 38 2 3" xfId="13815" xr:uid="{00000000-0005-0000-0000-0000DD450000}"/>
    <cellStyle name="Normal 38 2 3 2" xfId="30359" xr:uid="{00000000-0005-0000-0000-0000DE450000}"/>
    <cellStyle name="Normal 38 2 4" xfId="22316" xr:uid="{00000000-0005-0000-0000-0000DF450000}"/>
    <cellStyle name="Normal 38 3" xfId="4254" xr:uid="{00000000-0005-0000-0000-0000E0450000}"/>
    <cellStyle name="Normal 38 3 2" xfId="4255" xr:uid="{00000000-0005-0000-0000-0000E1450000}"/>
    <cellStyle name="Normal 38 3 2 2" xfId="4256" xr:uid="{00000000-0005-0000-0000-0000E2450000}"/>
    <cellStyle name="Normal 38 3 2 2 2" xfId="4257" xr:uid="{00000000-0005-0000-0000-0000E3450000}"/>
    <cellStyle name="Normal 38 3 2 2 2 2" xfId="8300" xr:uid="{00000000-0005-0000-0000-0000E4450000}"/>
    <cellStyle name="Normal 38 3 2 2 2 2 2" xfId="17659" xr:uid="{00000000-0005-0000-0000-0000E5450000}"/>
    <cellStyle name="Normal 38 3 2 2 2 2 2 2" xfId="34233" xr:uid="{00000000-0005-0000-0000-0000E6450000}"/>
    <cellStyle name="Normal 38 3 2 2 2 2 3" xfId="26186" xr:uid="{00000000-0005-0000-0000-0000E7450000}"/>
    <cellStyle name="Normal 38 3 2 2 2 3" xfId="13818" xr:uid="{00000000-0005-0000-0000-0000E8450000}"/>
    <cellStyle name="Normal 38 3 2 2 2 3 2" xfId="30362" xr:uid="{00000000-0005-0000-0000-0000E9450000}"/>
    <cellStyle name="Normal 38 3 2 2 2 4" xfId="22319" xr:uid="{00000000-0005-0000-0000-0000EA450000}"/>
    <cellStyle name="Normal 38 3 2 2 3" xfId="8301" xr:uid="{00000000-0005-0000-0000-0000EB450000}"/>
    <cellStyle name="Normal 38 3 2 2 3 2" xfId="17660" xr:uid="{00000000-0005-0000-0000-0000EC450000}"/>
    <cellStyle name="Normal 38 3 2 2 3 2 2" xfId="34234" xr:uid="{00000000-0005-0000-0000-0000ED450000}"/>
    <cellStyle name="Normal 38 3 2 2 3 3" xfId="26187" xr:uid="{00000000-0005-0000-0000-0000EE450000}"/>
    <cellStyle name="Normal 38 3 2 2 4" xfId="13817" xr:uid="{00000000-0005-0000-0000-0000EF450000}"/>
    <cellStyle name="Normal 38 3 2 2 4 2" xfId="30361" xr:uid="{00000000-0005-0000-0000-0000F0450000}"/>
    <cellStyle name="Normal 38 3 2 2 5" xfId="22318" xr:uid="{00000000-0005-0000-0000-0000F1450000}"/>
    <cellStyle name="Normal 38 3 2 3" xfId="4258" xr:uid="{00000000-0005-0000-0000-0000F2450000}"/>
    <cellStyle name="Normal 38 3 2 3 2" xfId="8302" xr:uid="{00000000-0005-0000-0000-0000F3450000}"/>
    <cellStyle name="Normal 38 3 2 3 2 2" xfId="17661" xr:uid="{00000000-0005-0000-0000-0000F4450000}"/>
    <cellStyle name="Normal 38 3 2 3 2 2 2" xfId="34235" xr:uid="{00000000-0005-0000-0000-0000F5450000}"/>
    <cellStyle name="Normal 38 3 2 3 2 3" xfId="26188" xr:uid="{00000000-0005-0000-0000-0000F6450000}"/>
    <cellStyle name="Normal 38 3 2 3 3" xfId="13819" xr:uid="{00000000-0005-0000-0000-0000F7450000}"/>
    <cellStyle name="Normal 38 3 2 3 3 2" xfId="30363" xr:uid="{00000000-0005-0000-0000-0000F8450000}"/>
    <cellStyle name="Normal 38 3 2 3 4" xfId="22320" xr:uid="{00000000-0005-0000-0000-0000F9450000}"/>
    <cellStyle name="Normal 38 3 2 4" xfId="8303" xr:uid="{00000000-0005-0000-0000-0000FA450000}"/>
    <cellStyle name="Normal 38 3 2 4 2" xfId="17662" xr:uid="{00000000-0005-0000-0000-0000FB450000}"/>
    <cellStyle name="Normal 38 3 2 4 2 2" xfId="34236" xr:uid="{00000000-0005-0000-0000-0000FC450000}"/>
    <cellStyle name="Normal 38 3 2 4 3" xfId="26189" xr:uid="{00000000-0005-0000-0000-0000FD450000}"/>
    <cellStyle name="Normal 38 3 2 5" xfId="13816" xr:uid="{00000000-0005-0000-0000-0000FE450000}"/>
    <cellStyle name="Normal 38 3 2 5 2" xfId="30360" xr:uid="{00000000-0005-0000-0000-0000FF450000}"/>
    <cellStyle name="Normal 38 3 2 6" xfId="22317" xr:uid="{00000000-0005-0000-0000-000000460000}"/>
    <cellStyle name="Normal 38 3 3" xfId="4259" xr:uid="{00000000-0005-0000-0000-000001460000}"/>
    <cellStyle name="Normal 38 3 3 2" xfId="4260" xr:uid="{00000000-0005-0000-0000-000002460000}"/>
    <cellStyle name="Normal 38 3 3 2 2" xfId="8304" xr:uid="{00000000-0005-0000-0000-000003460000}"/>
    <cellStyle name="Normal 38 3 3 2 2 2" xfId="17663" xr:uid="{00000000-0005-0000-0000-000004460000}"/>
    <cellStyle name="Normal 38 3 3 2 2 2 2" xfId="34237" xr:uid="{00000000-0005-0000-0000-000005460000}"/>
    <cellStyle name="Normal 38 3 3 2 2 3" xfId="26190" xr:uid="{00000000-0005-0000-0000-000006460000}"/>
    <cellStyle name="Normal 38 3 3 2 3" xfId="13821" xr:uid="{00000000-0005-0000-0000-000007460000}"/>
    <cellStyle name="Normal 38 3 3 2 3 2" xfId="30365" xr:uid="{00000000-0005-0000-0000-000008460000}"/>
    <cellStyle name="Normal 38 3 3 2 4" xfId="22322" xr:uid="{00000000-0005-0000-0000-000009460000}"/>
    <cellStyle name="Normal 38 3 3 3" xfId="8305" xr:uid="{00000000-0005-0000-0000-00000A460000}"/>
    <cellStyle name="Normal 38 3 3 3 2" xfId="17664" xr:uid="{00000000-0005-0000-0000-00000B460000}"/>
    <cellStyle name="Normal 38 3 3 3 2 2" xfId="34238" xr:uid="{00000000-0005-0000-0000-00000C460000}"/>
    <cellStyle name="Normal 38 3 3 3 3" xfId="26191" xr:uid="{00000000-0005-0000-0000-00000D460000}"/>
    <cellStyle name="Normal 38 3 3 4" xfId="13820" xr:uid="{00000000-0005-0000-0000-00000E460000}"/>
    <cellStyle name="Normal 38 3 3 4 2" xfId="30364" xr:uid="{00000000-0005-0000-0000-00000F460000}"/>
    <cellStyle name="Normal 38 3 3 5" xfId="22321" xr:uid="{00000000-0005-0000-0000-000010460000}"/>
    <cellStyle name="Normal 38 3 4" xfId="4261" xr:uid="{00000000-0005-0000-0000-000011460000}"/>
    <cellStyle name="Normal 38 3 4 2" xfId="8306" xr:uid="{00000000-0005-0000-0000-000012460000}"/>
    <cellStyle name="Normal 38 3 4 2 2" xfId="17665" xr:uid="{00000000-0005-0000-0000-000013460000}"/>
    <cellStyle name="Normal 38 3 4 2 2 2" xfId="34239" xr:uid="{00000000-0005-0000-0000-000014460000}"/>
    <cellStyle name="Normal 38 3 4 2 3" xfId="26192" xr:uid="{00000000-0005-0000-0000-000015460000}"/>
    <cellStyle name="Normal 38 3 4 3" xfId="13822" xr:uid="{00000000-0005-0000-0000-000016460000}"/>
    <cellStyle name="Normal 38 3 4 3 2" xfId="30366" xr:uid="{00000000-0005-0000-0000-000017460000}"/>
    <cellStyle name="Normal 38 3 4 4" xfId="22323" xr:uid="{00000000-0005-0000-0000-000018460000}"/>
    <cellStyle name="Normal 38 3 5" xfId="4262" xr:uid="{00000000-0005-0000-0000-000019460000}"/>
    <cellStyle name="Normal 38 3 5 2" xfId="13823" xr:uid="{00000000-0005-0000-0000-00001A460000}"/>
    <cellStyle name="Normal 38 3 5 2 2" xfId="30367" xr:uid="{00000000-0005-0000-0000-00001B460000}"/>
    <cellStyle name="Normal 38 3 5 3" xfId="22324" xr:uid="{00000000-0005-0000-0000-00001C460000}"/>
    <cellStyle name="Normal 38 4" xfId="4263" xr:uid="{00000000-0005-0000-0000-00001D460000}"/>
    <cellStyle name="Normal 38 4 2" xfId="4264" xr:uid="{00000000-0005-0000-0000-00001E460000}"/>
    <cellStyle name="Normal 38 4 2 2" xfId="4265" xr:uid="{00000000-0005-0000-0000-00001F460000}"/>
    <cellStyle name="Normal 38 4 2 2 2" xfId="4266" xr:uid="{00000000-0005-0000-0000-000020460000}"/>
    <cellStyle name="Normal 38 4 2 2 2 2" xfId="8307" xr:uid="{00000000-0005-0000-0000-000021460000}"/>
    <cellStyle name="Normal 38 4 2 2 2 2 2" xfId="17666" xr:uid="{00000000-0005-0000-0000-000022460000}"/>
    <cellStyle name="Normal 38 4 2 2 2 2 2 2" xfId="34240" xr:uid="{00000000-0005-0000-0000-000023460000}"/>
    <cellStyle name="Normal 38 4 2 2 2 2 3" xfId="26193" xr:uid="{00000000-0005-0000-0000-000024460000}"/>
    <cellStyle name="Normal 38 4 2 2 2 3" xfId="13827" xr:uid="{00000000-0005-0000-0000-000025460000}"/>
    <cellStyle name="Normal 38 4 2 2 2 3 2" xfId="30371" xr:uid="{00000000-0005-0000-0000-000026460000}"/>
    <cellStyle name="Normal 38 4 2 2 2 4" xfId="22328" xr:uid="{00000000-0005-0000-0000-000027460000}"/>
    <cellStyle name="Normal 38 4 2 2 3" xfId="8308" xr:uid="{00000000-0005-0000-0000-000028460000}"/>
    <cellStyle name="Normal 38 4 2 2 3 2" xfId="17667" xr:uid="{00000000-0005-0000-0000-000029460000}"/>
    <cellStyle name="Normal 38 4 2 2 3 2 2" xfId="34241" xr:uid="{00000000-0005-0000-0000-00002A460000}"/>
    <cellStyle name="Normal 38 4 2 2 3 3" xfId="26194" xr:uid="{00000000-0005-0000-0000-00002B460000}"/>
    <cellStyle name="Normal 38 4 2 2 4" xfId="13826" xr:uid="{00000000-0005-0000-0000-00002C460000}"/>
    <cellStyle name="Normal 38 4 2 2 4 2" xfId="30370" xr:uid="{00000000-0005-0000-0000-00002D460000}"/>
    <cellStyle name="Normal 38 4 2 2 5" xfId="22327" xr:uid="{00000000-0005-0000-0000-00002E460000}"/>
    <cellStyle name="Normal 38 4 2 3" xfId="4267" xr:uid="{00000000-0005-0000-0000-00002F460000}"/>
    <cellStyle name="Normal 38 4 2 3 2" xfId="8309" xr:uid="{00000000-0005-0000-0000-000030460000}"/>
    <cellStyle name="Normal 38 4 2 3 2 2" xfId="17668" xr:uid="{00000000-0005-0000-0000-000031460000}"/>
    <cellStyle name="Normal 38 4 2 3 2 2 2" xfId="34242" xr:uid="{00000000-0005-0000-0000-000032460000}"/>
    <cellStyle name="Normal 38 4 2 3 2 3" xfId="26195" xr:uid="{00000000-0005-0000-0000-000033460000}"/>
    <cellStyle name="Normal 38 4 2 3 3" xfId="13828" xr:uid="{00000000-0005-0000-0000-000034460000}"/>
    <cellStyle name="Normal 38 4 2 3 3 2" xfId="30372" xr:uid="{00000000-0005-0000-0000-000035460000}"/>
    <cellStyle name="Normal 38 4 2 3 4" xfId="22329" xr:uid="{00000000-0005-0000-0000-000036460000}"/>
    <cellStyle name="Normal 38 4 2 4" xfId="8310" xr:uid="{00000000-0005-0000-0000-000037460000}"/>
    <cellStyle name="Normal 38 4 2 4 2" xfId="17669" xr:uid="{00000000-0005-0000-0000-000038460000}"/>
    <cellStyle name="Normal 38 4 2 4 2 2" xfId="34243" xr:uid="{00000000-0005-0000-0000-000039460000}"/>
    <cellStyle name="Normal 38 4 2 4 3" xfId="26196" xr:uid="{00000000-0005-0000-0000-00003A460000}"/>
    <cellStyle name="Normal 38 4 2 5" xfId="13825" xr:uid="{00000000-0005-0000-0000-00003B460000}"/>
    <cellStyle name="Normal 38 4 2 5 2" xfId="30369" xr:uid="{00000000-0005-0000-0000-00003C460000}"/>
    <cellStyle name="Normal 38 4 2 6" xfId="22326" xr:uid="{00000000-0005-0000-0000-00003D460000}"/>
    <cellStyle name="Normal 38 4 3" xfId="4268" xr:uid="{00000000-0005-0000-0000-00003E460000}"/>
    <cellStyle name="Normal 38 4 3 2" xfId="4269" xr:uid="{00000000-0005-0000-0000-00003F460000}"/>
    <cellStyle name="Normal 38 4 3 2 2" xfId="8311" xr:uid="{00000000-0005-0000-0000-000040460000}"/>
    <cellStyle name="Normal 38 4 3 2 2 2" xfId="17670" xr:uid="{00000000-0005-0000-0000-000041460000}"/>
    <cellStyle name="Normal 38 4 3 2 2 2 2" xfId="34244" xr:uid="{00000000-0005-0000-0000-000042460000}"/>
    <cellStyle name="Normal 38 4 3 2 2 3" xfId="26197" xr:uid="{00000000-0005-0000-0000-000043460000}"/>
    <cellStyle name="Normal 38 4 3 2 3" xfId="13830" xr:uid="{00000000-0005-0000-0000-000044460000}"/>
    <cellStyle name="Normal 38 4 3 2 3 2" xfId="30374" xr:uid="{00000000-0005-0000-0000-000045460000}"/>
    <cellStyle name="Normal 38 4 3 2 4" xfId="22331" xr:uid="{00000000-0005-0000-0000-000046460000}"/>
    <cellStyle name="Normal 38 4 3 3" xfId="8312" xr:uid="{00000000-0005-0000-0000-000047460000}"/>
    <cellStyle name="Normal 38 4 3 3 2" xfId="17671" xr:uid="{00000000-0005-0000-0000-000048460000}"/>
    <cellStyle name="Normal 38 4 3 3 2 2" xfId="34245" xr:uid="{00000000-0005-0000-0000-000049460000}"/>
    <cellStyle name="Normal 38 4 3 3 3" xfId="26198" xr:uid="{00000000-0005-0000-0000-00004A460000}"/>
    <cellStyle name="Normal 38 4 3 4" xfId="13829" xr:uid="{00000000-0005-0000-0000-00004B460000}"/>
    <cellStyle name="Normal 38 4 3 4 2" xfId="30373" xr:uid="{00000000-0005-0000-0000-00004C460000}"/>
    <cellStyle name="Normal 38 4 3 5" xfId="22330" xr:uid="{00000000-0005-0000-0000-00004D460000}"/>
    <cellStyle name="Normal 38 4 4" xfId="4270" xr:uid="{00000000-0005-0000-0000-00004E460000}"/>
    <cellStyle name="Normal 38 4 4 2" xfId="8313" xr:uid="{00000000-0005-0000-0000-00004F460000}"/>
    <cellStyle name="Normal 38 4 4 2 2" xfId="17672" xr:uid="{00000000-0005-0000-0000-000050460000}"/>
    <cellStyle name="Normal 38 4 4 2 2 2" xfId="34246" xr:uid="{00000000-0005-0000-0000-000051460000}"/>
    <cellStyle name="Normal 38 4 4 2 3" xfId="26199" xr:uid="{00000000-0005-0000-0000-000052460000}"/>
    <cellStyle name="Normal 38 4 4 3" xfId="13831" xr:uid="{00000000-0005-0000-0000-000053460000}"/>
    <cellStyle name="Normal 38 4 4 3 2" xfId="30375" xr:uid="{00000000-0005-0000-0000-000054460000}"/>
    <cellStyle name="Normal 38 4 4 4" xfId="22332" xr:uid="{00000000-0005-0000-0000-000055460000}"/>
    <cellStyle name="Normal 38 4 5" xfId="8314" xr:uid="{00000000-0005-0000-0000-000056460000}"/>
    <cellStyle name="Normal 38 4 5 2" xfId="17673" xr:uid="{00000000-0005-0000-0000-000057460000}"/>
    <cellStyle name="Normal 38 4 5 2 2" xfId="34247" xr:uid="{00000000-0005-0000-0000-000058460000}"/>
    <cellStyle name="Normal 38 4 5 3" xfId="26200" xr:uid="{00000000-0005-0000-0000-000059460000}"/>
    <cellStyle name="Normal 38 4 6" xfId="13824" xr:uid="{00000000-0005-0000-0000-00005A460000}"/>
    <cellStyle name="Normal 38 4 6 2" xfId="30368" xr:uid="{00000000-0005-0000-0000-00005B460000}"/>
    <cellStyle name="Normal 38 4 7" xfId="22325" xr:uid="{00000000-0005-0000-0000-00005C460000}"/>
    <cellStyle name="Normal 38 5" xfId="4271" xr:uid="{00000000-0005-0000-0000-00005D460000}"/>
    <cellStyle name="Normal 38 5 2" xfId="4272" xr:uid="{00000000-0005-0000-0000-00005E460000}"/>
    <cellStyle name="Normal 38 5 2 2" xfId="4273" xr:uid="{00000000-0005-0000-0000-00005F460000}"/>
    <cellStyle name="Normal 38 5 2 2 2" xfId="4274" xr:uid="{00000000-0005-0000-0000-000060460000}"/>
    <cellStyle name="Normal 38 5 2 2 2 2" xfId="8315" xr:uid="{00000000-0005-0000-0000-000061460000}"/>
    <cellStyle name="Normal 38 5 2 2 2 2 2" xfId="17674" xr:uid="{00000000-0005-0000-0000-000062460000}"/>
    <cellStyle name="Normal 38 5 2 2 2 2 2 2" xfId="34248" xr:uid="{00000000-0005-0000-0000-000063460000}"/>
    <cellStyle name="Normal 38 5 2 2 2 2 3" xfId="26201" xr:uid="{00000000-0005-0000-0000-000064460000}"/>
    <cellStyle name="Normal 38 5 2 2 2 3" xfId="13835" xr:uid="{00000000-0005-0000-0000-000065460000}"/>
    <cellStyle name="Normal 38 5 2 2 2 3 2" xfId="30379" xr:uid="{00000000-0005-0000-0000-000066460000}"/>
    <cellStyle name="Normal 38 5 2 2 2 4" xfId="22336" xr:uid="{00000000-0005-0000-0000-000067460000}"/>
    <cellStyle name="Normal 38 5 2 2 3" xfId="8316" xr:uid="{00000000-0005-0000-0000-000068460000}"/>
    <cellStyle name="Normal 38 5 2 2 3 2" xfId="17675" xr:uid="{00000000-0005-0000-0000-000069460000}"/>
    <cellStyle name="Normal 38 5 2 2 3 2 2" xfId="34249" xr:uid="{00000000-0005-0000-0000-00006A460000}"/>
    <cellStyle name="Normal 38 5 2 2 3 3" xfId="26202" xr:uid="{00000000-0005-0000-0000-00006B460000}"/>
    <cellStyle name="Normal 38 5 2 2 4" xfId="13834" xr:uid="{00000000-0005-0000-0000-00006C460000}"/>
    <cellStyle name="Normal 38 5 2 2 4 2" xfId="30378" xr:uid="{00000000-0005-0000-0000-00006D460000}"/>
    <cellStyle name="Normal 38 5 2 2 5" xfId="22335" xr:uid="{00000000-0005-0000-0000-00006E460000}"/>
    <cellStyle name="Normal 38 5 2 3" xfId="4275" xr:uid="{00000000-0005-0000-0000-00006F460000}"/>
    <cellStyle name="Normal 38 5 2 3 2" xfId="8317" xr:uid="{00000000-0005-0000-0000-000070460000}"/>
    <cellStyle name="Normal 38 5 2 3 2 2" xfId="17676" xr:uid="{00000000-0005-0000-0000-000071460000}"/>
    <cellStyle name="Normal 38 5 2 3 2 2 2" xfId="34250" xr:uid="{00000000-0005-0000-0000-000072460000}"/>
    <cellStyle name="Normal 38 5 2 3 2 3" xfId="26203" xr:uid="{00000000-0005-0000-0000-000073460000}"/>
    <cellStyle name="Normal 38 5 2 3 3" xfId="13836" xr:uid="{00000000-0005-0000-0000-000074460000}"/>
    <cellStyle name="Normal 38 5 2 3 3 2" xfId="30380" xr:uid="{00000000-0005-0000-0000-000075460000}"/>
    <cellStyle name="Normal 38 5 2 3 4" xfId="22337" xr:uid="{00000000-0005-0000-0000-000076460000}"/>
    <cellStyle name="Normal 38 5 2 4" xfId="8318" xr:uid="{00000000-0005-0000-0000-000077460000}"/>
    <cellStyle name="Normal 38 5 2 4 2" xfId="17677" xr:uid="{00000000-0005-0000-0000-000078460000}"/>
    <cellStyle name="Normal 38 5 2 4 2 2" xfId="34251" xr:uid="{00000000-0005-0000-0000-000079460000}"/>
    <cellStyle name="Normal 38 5 2 4 3" xfId="26204" xr:uid="{00000000-0005-0000-0000-00007A460000}"/>
    <cellStyle name="Normal 38 5 2 5" xfId="13833" xr:uid="{00000000-0005-0000-0000-00007B460000}"/>
    <cellStyle name="Normal 38 5 2 5 2" xfId="30377" xr:uid="{00000000-0005-0000-0000-00007C460000}"/>
    <cellStyle name="Normal 38 5 2 6" xfId="22334" xr:uid="{00000000-0005-0000-0000-00007D460000}"/>
    <cellStyle name="Normal 38 5 3" xfId="4276" xr:uid="{00000000-0005-0000-0000-00007E460000}"/>
    <cellStyle name="Normal 38 5 3 2" xfId="4277" xr:uid="{00000000-0005-0000-0000-00007F460000}"/>
    <cellStyle name="Normal 38 5 3 2 2" xfId="8319" xr:uid="{00000000-0005-0000-0000-000080460000}"/>
    <cellStyle name="Normal 38 5 3 2 2 2" xfId="17678" xr:uid="{00000000-0005-0000-0000-000081460000}"/>
    <cellStyle name="Normal 38 5 3 2 2 2 2" xfId="34252" xr:uid="{00000000-0005-0000-0000-000082460000}"/>
    <cellStyle name="Normal 38 5 3 2 2 3" xfId="26205" xr:uid="{00000000-0005-0000-0000-000083460000}"/>
    <cellStyle name="Normal 38 5 3 2 3" xfId="13838" xr:uid="{00000000-0005-0000-0000-000084460000}"/>
    <cellStyle name="Normal 38 5 3 2 3 2" xfId="30382" xr:uid="{00000000-0005-0000-0000-000085460000}"/>
    <cellStyle name="Normal 38 5 3 2 4" xfId="22339" xr:uid="{00000000-0005-0000-0000-000086460000}"/>
    <cellStyle name="Normal 38 5 3 3" xfId="8320" xr:uid="{00000000-0005-0000-0000-000087460000}"/>
    <cellStyle name="Normal 38 5 3 3 2" xfId="17679" xr:uid="{00000000-0005-0000-0000-000088460000}"/>
    <cellStyle name="Normal 38 5 3 3 2 2" xfId="34253" xr:uid="{00000000-0005-0000-0000-000089460000}"/>
    <cellStyle name="Normal 38 5 3 3 3" xfId="26206" xr:uid="{00000000-0005-0000-0000-00008A460000}"/>
    <cellStyle name="Normal 38 5 3 4" xfId="13837" xr:uid="{00000000-0005-0000-0000-00008B460000}"/>
    <cellStyle name="Normal 38 5 3 4 2" xfId="30381" xr:uid="{00000000-0005-0000-0000-00008C460000}"/>
    <cellStyle name="Normal 38 5 3 5" xfId="22338" xr:uid="{00000000-0005-0000-0000-00008D460000}"/>
    <cellStyle name="Normal 38 5 4" xfId="4278" xr:uid="{00000000-0005-0000-0000-00008E460000}"/>
    <cellStyle name="Normal 38 5 4 2" xfId="8321" xr:uid="{00000000-0005-0000-0000-00008F460000}"/>
    <cellStyle name="Normal 38 5 4 2 2" xfId="17680" xr:uid="{00000000-0005-0000-0000-000090460000}"/>
    <cellStyle name="Normal 38 5 4 2 2 2" xfId="34254" xr:uid="{00000000-0005-0000-0000-000091460000}"/>
    <cellStyle name="Normal 38 5 4 2 3" xfId="26207" xr:uid="{00000000-0005-0000-0000-000092460000}"/>
    <cellStyle name="Normal 38 5 4 3" xfId="13839" xr:uid="{00000000-0005-0000-0000-000093460000}"/>
    <cellStyle name="Normal 38 5 4 3 2" xfId="30383" xr:uid="{00000000-0005-0000-0000-000094460000}"/>
    <cellStyle name="Normal 38 5 4 4" xfId="22340" xr:uid="{00000000-0005-0000-0000-000095460000}"/>
    <cellStyle name="Normal 38 5 5" xfId="8322" xr:uid="{00000000-0005-0000-0000-000096460000}"/>
    <cellStyle name="Normal 38 5 5 2" xfId="17681" xr:uid="{00000000-0005-0000-0000-000097460000}"/>
    <cellStyle name="Normal 38 5 5 2 2" xfId="34255" xr:uid="{00000000-0005-0000-0000-000098460000}"/>
    <cellStyle name="Normal 38 5 5 3" xfId="26208" xr:uid="{00000000-0005-0000-0000-000099460000}"/>
    <cellStyle name="Normal 38 5 6" xfId="13832" xr:uid="{00000000-0005-0000-0000-00009A460000}"/>
    <cellStyle name="Normal 38 5 6 2" xfId="30376" xr:uid="{00000000-0005-0000-0000-00009B460000}"/>
    <cellStyle name="Normal 38 5 7" xfId="22333" xr:uid="{00000000-0005-0000-0000-00009C460000}"/>
    <cellStyle name="Normal 38 6" xfId="4279" xr:uid="{00000000-0005-0000-0000-00009D460000}"/>
    <cellStyle name="Normal 38 6 2" xfId="4280" xr:uid="{00000000-0005-0000-0000-00009E460000}"/>
    <cellStyle name="Normal 38 6 2 2" xfId="4281" xr:uid="{00000000-0005-0000-0000-00009F460000}"/>
    <cellStyle name="Normal 38 6 2 2 2" xfId="8323" xr:uid="{00000000-0005-0000-0000-0000A0460000}"/>
    <cellStyle name="Normal 38 6 2 2 2 2" xfId="17682" xr:uid="{00000000-0005-0000-0000-0000A1460000}"/>
    <cellStyle name="Normal 38 6 2 2 2 2 2" xfId="34256" xr:uid="{00000000-0005-0000-0000-0000A2460000}"/>
    <cellStyle name="Normal 38 6 2 2 2 3" xfId="26209" xr:uid="{00000000-0005-0000-0000-0000A3460000}"/>
    <cellStyle name="Normal 38 6 2 2 3" xfId="13842" xr:uid="{00000000-0005-0000-0000-0000A4460000}"/>
    <cellStyle name="Normal 38 6 2 2 3 2" xfId="30386" xr:uid="{00000000-0005-0000-0000-0000A5460000}"/>
    <cellStyle name="Normal 38 6 2 2 4" xfId="22343" xr:uid="{00000000-0005-0000-0000-0000A6460000}"/>
    <cellStyle name="Normal 38 6 2 3" xfId="8324" xr:uid="{00000000-0005-0000-0000-0000A7460000}"/>
    <cellStyle name="Normal 38 6 2 3 2" xfId="17683" xr:uid="{00000000-0005-0000-0000-0000A8460000}"/>
    <cellStyle name="Normal 38 6 2 3 2 2" xfId="34257" xr:uid="{00000000-0005-0000-0000-0000A9460000}"/>
    <cellStyle name="Normal 38 6 2 3 3" xfId="26210" xr:uid="{00000000-0005-0000-0000-0000AA460000}"/>
    <cellStyle name="Normal 38 6 2 4" xfId="13841" xr:uid="{00000000-0005-0000-0000-0000AB460000}"/>
    <cellStyle name="Normal 38 6 2 4 2" xfId="30385" xr:uid="{00000000-0005-0000-0000-0000AC460000}"/>
    <cellStyle name="Normal 38 6 2 5" xfId="22342" xr:uid="{00000000-0005-0000-0000-0000AD460000}"/>
    <cellStyle name="Normal 38 6 3" xfId="4282" xr:uid="{00000000-0005-0000-0000-0000AE460000}"/>
    <cellStyle name="Normal 38 6 3 2" xfId="8325" xr:uid="{00000000-0005-0000-0000-0000AF460000}"/>
    <cellStyle name="Normal 38 6 3 2 2" xfId="17684" xr:uid="{00000000-0005-0000-0000-0000B0460000}"/>
    <cellStyle name="Normal 38 6 3 2 2 2" xfId="34258" xr:uid="{00000000-0005-0000-0000-0000B1460000}"/>
    <cellStyle name="Normal 38 6 3 2 3" xfId="26211" xr:uid="{00000000-0005-0000-0000-0000B2460000}"/>
    <cellStyle name="Normal 38 6 3 3" xfId="13843" xr:uid="{00000000-0005-0000-0000-0000B3460000}"/>
    <cellStyle name="Normal 38 6 3 3 2" xfId="30387" xr:uid="{00000000-0005-0000-0000-0000B4460000}"/>
    <cellStyle name="Normal 38 6 3 4" xfId="22344" xr:uid="{00000000-0005-0000-0000-0000B5460000}"/>
    <cellStyle name="Normal 38 6 4" xfId="8326" xr:uid="{00000000-0005-0000-0000-0000B6460000}"/>
    <cellStyle name="Normal 38 6 4 2" xfId="17685" xr:uid="{00000000-0005-0000-0000-0000B7460000}"/>
    <cellStyle name="Normal 38 6 4 2 2" xfId="34259" xr:uid="{00000000-0005-0000-0000-0000B8460000}"/>
    <cellStyle name="Normal 38 6 4 3" xfId="26212" xr:uid="{00000000-0005-0000-0000-0000B9460000}"/>
    <cellStyle name="Normal 38 6 5" xfId="13840" xr:uid="{00000000-0005-0000-0000-0000BA460000}"/>
    <cellStyle name="Normal 38 6 5 2" xfId="30384" xr:uid="{00000000-0005-0000-0000-0000BB460000}"/>
    <cellStyle name="Normal 38 6 6" xfId="22341" xr:uid="{00000000-0005-0000-0000-0000BC460000}"/>
    <cellStyle name="Normal 38 7" xfId="4283" xr:uid="{00000000-0005-0000-0000-0000BD460000}"/>
    <cellStyle name="Normal 38 7 2" xfId="4284" xr:uid="{00000000-0005-0000-0000-0000BE460000}"/>
    <cellStyle name="Normal 38 7 2 2" xfId="8327" xr:uid="{00000000-0005-0000-0000-0000BF460000}"/>
    <cellStyle name="Normal 38 7 2 2 2" xfId="17686" xr:uid="{00000000-0005-0000-0000-0000C0460000}"/>
    <cellStyle name="Normal 38 7 2 2 2 2" xfId="34260" xr:uid="{00000000-0005-0000-0000-0000C1460000}"/>
    <cellStyle name="Normal 38 7 2 2 3" xfId="26213" xr:uid="{00000000-0005-0000-0000-0000C2460000}"/>
    <cellStyle name="Normal 38 7 2 3" xfId="13845" xr:uid="{00000000-0005-0000-0000-0000C3460000}"/>
    <cellStyle name="Normal 38 7 2 3 2" xfId="30389" xr:uid="{00000000-0005-0000-0000-0000C4460000}"/>
    <cellStyle name="Normal 38 7 2 4" xfId="22346" xr:uid="{00000000-0005-0000-0000-0000C5460000}"/>
    <cellStyle name="Normal 38 7 3" xfId="8328" xr:uid="{00000000-0005-0000-0000-0000C6460000}"/>
    <cellStyle name="Normal 38 7 3 2" xfId="17687" xr:uid="{00000000-0005-0000-0000-0000C7460000}"/>
    <cellStyle name="Normal 38 7 3 2 2" xfId="34261" xr:uid="{00000000-0005-0000-0000-0000C8460000}"/>
    <cellStyle name="Normal 38 7 3 3" xfId="26214" xr:uid="{00000000-0005-0000-0000-0000C9460000}"/>
    <cellStyle name="Normal 38 7 4" xfId="13844" xr:uid="{00000000-0005-0000-0000-0000CA460000}"/>
    <cellStyle name="Normal 38 7 4 2" xfId="30388" xr:uid="{00000000-0005-0000-0000-0000CB460000}"/>
    <cellStyle name="Normal 38 7 5" xfId="22345" xr:uid="{00000000-0005-0000-0000-0000CC460000}"/>
    <cellStyle name="Normal 38 8" xfId="4285" xr:uid="{00000000-0005-0000-0000-0000CD460000}"/>
    <cellStyle name="Normal 38 8 2" xfId="8329" xr:uid="{00000000-0005-0000-0000-0000CE460000}"/>
    <cellStyle name="Normal 38 8 2 2" xfId="17688" xr:uid="{00000000-0005-0000-0000-0000CF460000}"/>
    <cellStyle name="Normal 38 8 2 2 2" xfId="34262" xr:uid="{00000000-0005-0000-0000-0000D0460000}"/>
    <cellStyle name="Normal 38 8 2 3" xfId="26215" xr:uid="{00000000-0005-0000-0000-0000D1460000}"/>
    <cellStyle name="Normal 38 8 3" xfId="13846" xr:uid="{00000000-0005-0000-0000-0000D2460000}"/>
    <cellStyle name="Normal 38 8 3 2" xfId="30390" xr:uid="{00000000-0005-0000-0000-0000D3460000}"/>
    <cellStyle name="Normal 38 8 4" xfId="22347" xr:uid="{00000000-0005-0000-0000-0000D4460000}"/>
    <cellStyle name="Normal 38 9" xfId="8330" xr:uid="{00000000-0005-0000-0000-0000D5460000}"/>
    <cellStyle name="Normal 38 9 2" xfId="17689" xr:uid="{00000000-0005-0000-0000-0000D6460000}"/>
    <cellStyle name="Normal 38 9 2 2" xfId="34263" xr:uid="{00000000-0005-0000-0000-0000D7460000}"/>
    <cellStyle name="Normal 38 9 3" xfId="26216" xr:uid="{00000000-0005-0000-0000-0000D8460000}"/>
    <cellStyle name="Normal 39" xfId="4286" xr:uid="{00000000-0005-0000-0000-0000D9460000}"/>
    <cellStyle name="Normal 39 10" xfId="13847" xr:uid="{00000000-0005-0000-0000-0000DA460000}"/>
    <cellStyle name="Normal 39 10 2" xfId="30391" xr:uid="{00000000-0005-0000-0000-0000DB460000}"/>
    <cellStyle name="Normal 39 11" xfId="22348" xr:uid="{00000000-0005-0000-0000-0000DC460000}"/>
    <cellStyle name="Normal 39 2" xfId="4287" xr:uid="{00000000-0005-0000-0000-0000DD460000}"/>
    <cellStyle name="Normal 39 2 2" xfId="4288" xr:uid="{00000000-0005-0000-0000-0000DE460000}"/>
    <cellStyle name="Normal 39 2 3" xfId="13848" xr:uid="{00000000-0005-0000-0000-0000DF460000}"/>
    <cellStyle name="Normal 39 2 3 2" xfId="30392" xr:uid="{00000000-0005-0000-0000-0000E0460000}"/>
    <cellStyle name="Normal 39 2 4" xfId="22349" xr:uid="{00000000-0005-0000-0000-0000E1460000}"/>
    <cellStyle name="Normal 39 3" xfId="4289" xr:uid="{00000000-0005-0000-0000-0000E2460000}"/>
    <cellStyle name="Normal 39 3 2" xfId="4290" xr:uid="{00000000-0005-0000-0000-0000E3460000}"/>
    <cellStyle name="Normal 39 3 2 2" xfId="4291" xr:uid="{00000000-0005-0000-0000-0000E4460000}"/>
    <cellStyle name="Normal 39 3 2 2 2" xfId="4292" xr:uid="{00000000-0005-0000-0000-0000E5460000}"/>
    <cellStyle name="Normal 39 3 2 2 2 2" xfId="8331" xr:uid="{00000000-0005-0000-0000-0000E6460000}"/>
    <cellStyle name="Normal 39 3 2 2 2 2 2" xfId="17690" xr:uid="{00000000-0005-0000-0000-0000E7460000}"/>
    <cellStyle name="Normal 39 3 2 2 2 2 2 2" xfId="34264" xr:uid="{00000000-0005-0000-0000-0000E8460000}"/>
    <cellStyle name="Normal 39 3 2 2 2 2 3" xfId="26217" xr:uid="{00000000-0005-0000-0000-0000E9460000}"/>
    <cellStyle name="Normal 39 3 2 2 2 3" xfId="13851" xr:uid="{00000000-0005-0000-0000-0000EA460000}"/>
    <cellStyle name="Normal 39 3 2 2 2 3 2" xfId="30395" xr:uid="{00000000-0005-0000-0000-0000EB460000}"/>
    <cellStyle name="Normal 39 3 2 2 2 4" xfId="22352" xr:uid="{00000000-0005-0000-0000-0000EC460000}"/>
    <cellStyle name="Normal 39 3 2 2 3" xfId="8332" xr:uid="{00000000-0005-0000-0000-0000ED460000}"/>
    <cellStyle name="Normal 39 3 2 2 3 2" xfId="17691" xr:uid="{00000000-0005-0000-0000-0000EE460000}"/>
    <cellStyle name="Normal 39 3 2 2 3 2 2" xfId="34265" xr:uid="{00000000-0005-0000-0000-0000EF460000}"/>
    <cellStyle name="Normal 39 3 2 2 3 3" xfId="26218" xr:uid="{00000000-0005-0000-0000-0000F0460000}"/>
    <cellStyle name="Normal 39 3 2 2 4" xfId="13850" xr:uid="{00000000-0005-0000-0000-0000F1460000}"/>
    <cellStyle name="Normal 39 3 2 2 4 2" xfId="30394" xr:uid="{00000000-0005-0000-0000-0000F2460000}"/>
    <cellStyle name="Normal 39 3 2 2 5" xfId="22351" xr:uid="{00000000-0005-0000-0000-0000F3460000}"/>
    <cellStyle name="Normal 39 3 2 3" xfId="4293" xr:uid="{00000000-0005-0000-0000-0000F4460000}"/>
    <cellStyle name="Normal 39 3 2 3 2" xfId="8333" xr:uid="{00000000-0005-0000-0000-0000F5460000}"/>
    <cellStyle name="Normal 39 3 2 3 2 2" xfId="17692" xr:uid="{00000000-0005-0000-0000-0000F6460000}"/>
    <cellStyle name="Normal 39 3 2 3 2 2 2" xfId="34266" xr:uid="{00000000-0005-0000-0000-0000F7460000}"/>
    <cellStyle name="Normal 39 3 2 3 2 3" xfId="26219" xr:uid="{00000000-0005-0000-0000-0000F8460000}"/>
    <cellStyle name="Normal 39 3 2 3 3" xfId="13852" xr:uid="{00000000-0005-0000-0000-0000F9460000}"/>
    <cellStyle name="Normal 39 3 2 3 3 2" xfId="30396" xr:uid="{00000000-0005-0000-0000-0000FA460000}"/>
    <cellStyle name="Normal 39 3 2 3 4" xfId="22353" xr:uid="{00000000-0005-0000-0000-0000FB460000}"/>
    <cellStyle name="Normal 39 3 2 4" xfId="8334" xr:uid="{00000000-0005-0000-0000-0000FC460000}"/>
    <cellStyle name="Normal 39 3 2 4 2" xfId="17693" xr:uid="{00000000-0005-0000-0000-0000FD460000}"/>
    <cellStyle name="Normal 39 3 2 4 2 2" xfId="34267" xr:uid="{00000000-0005-0000-0000-0000FE460000}"/>
    <cellStyle name="Normal 39 3 2 4 3" xfId="26220" xr:uid="{00000000-0005-0000-0000-0000FF460000}"/>
    <cellStyle name="Normal 39 3 2 5" xfId="13849" xr:uid="{00000000-0005-0000-0000-000000470000}"/>
    <cellStyle name="Normal 39 3 2 5 2" xfId="30393" xr:uid="{00000000-0005-0000-0000-000001470000}"/>
    <cellStyle name="Normal 39 3 2 6" xfId="22350" xr:uid="{00000000-0005-0000-0000-000002470000}"/>
    <cellStyle name="Normal 39 3 3" xfId="4294" xr:uid="{00000000-0005-0000-0000-000003470000}"/>
    <cellStyle name="Normal 39 3 3 2" xfId="4295" xr:uid="{00000000-0005-0000-0000-000004470000}"/>
    <cellStyle name="Normal 39 3 3 2 2" xfId="8335" xr:uid="{00000000-0005-0000-0000-000005470000}"/>
    <cellStyle name="Normal 39 3 3 2 2 2" xfId="17694" xr:uid="{00000000-0005-0000-0000-000006470000}"/>
    <cellStyle name="Normal 39 3 3 2 2 2 2" xfId="34268" xr:uid="{00000000-0005-0000-0000-000007470000}"/>
    <cellStyle name="Normal 39 3 3 2 2 3" xfId="26221" xr:uid="{00000000-0005-0000-0000-000008470000}"/>
    <cellStyle name="Normal 39 3 3 2 3" xfId="13854" xr:uid="{00000000-0005-0000-0000-000009470000}"/>
    <cellStyle name="Normal 39 3 3 2 3 2" xfId="30398" xr:uid="{00000000-0005-0000-0000-00000A470000}"/>
    <cellStyle name="Normal 39 3 3 2 4" xfId="22355" xr:uid="{00000000-0005-0000-0000-00000B470000}"/>
    <cellStyle name="Normal 39 3 3 3" xfId="8336" xr:uid="{00000000-0005-0000-0000-00000C470000}"/>
    <cellStyle name="Normal 39 3 3 3 2" xfId="17695" xr:uid="{00000000-0005-0000-0000-00000D470000}"/>
    <cellStyle name="Normal 39 3 3 3 2 2" xfId="34269" xr:uid="{00000000-0005-0000-0000-00000E470000}"/>
    <cellStyle name="Normal 39 3 3 3 3" xfId="26222" xr:uid="{00000000-0005-0000-0000-00000F470000}"/>
    <cellStyle name="Normal 39 3 3 4" xfId="13853" xr:uid="{00000000-0005-0000-0000-000010470000}"/>
    <cellStyle name="Normal 39 3 3 4 2" xfId="30397" xr:uid="{00000000-0005-0000-0000-000011470000}"/>
    <cellStyle name="Normal 39 3 3 5" xfId="22354" xr:uid="{00000000-0005-0000-0000-000012470000}"/>
    <cellStyle name="Normal 39 3 4" xfId="4296" xr:uid="{00000000-0005-0000-0000-000013470000}"/>
    <cellStyle name="Normal 39 3 4 2" xfId="8337" xr:uid="{00000000-0005-0000-0000-000014470000}"/>
    <cellStyle name="Normal 39 3 4 2 2" xfId="17696" xr:uid="{00000000-0005-0000-0000-000015470000}"/>
    <cellStyle name="Normal 39 3 4 2 2 2" xfId="34270" xr:uid="{00000000-0005-0000-0000-000016470000}"/>
    <cellStyle name="Normal 39 3 4 2 3" xfId="26223" xr:uid="{00000000-0005-0000-0000-000017470000}"/>
    <cellStyle name="Normal 39 3 4 3" xfId="13855" xr:uid="{00000000-0005-0000-0000-000018470000}"/>
    <cellStyle name="Normal 39 3 4 3 2" xfId="30399" xr:uid="{00000000-0005-0000-0000-000019470000}"/>
    <cellStyle name="Normal 39 3 4 4" xfId="22356" xr:uid="{00000000-0005-0000-0000-00001A470000}"/>
    <cellStyle name="Normal 39 3 5" xfId="4297" xr:uid="{00000000-0005-0000-0000-00001B470000}"/>
    <cellStyle name="Normal 39 3 5 2" xfId="13856" xr:uid="{00000000-0005-0000-0000-00001C470000}"/>
    <cellStyle name="Normal 39 3 5 2 2" xfId="30400" xr:uid="{00000000-0005-0000-0000-00001D470000}"/>
    <cellStyle name="Normal 39 3 5 3" xfId="22357" xr:uid="{00000000-0005-0000-0000-00001E470000}"/>
    <cellStyle name="Normal 39 4" xfId="4298" xr:uid="{00000000-0005-0000-0000-00001F470000}"/>
    <cellStyle name="Normal 39 4 2" xfId="4299" xr:uid="{00000000-0005-0000-0000-000020470000}"/>
    <cellStyle name="Normal 39 4 2 2" xfId="4300" xr:uid="{00000000-0005-0000-0000-000021470000}"/>
    <cellStyle name="Normal 39 4 2 2 2" xfId="4301" xr:uid="{00000000-0005-0000-0000-000022470000}"/>
    <cellStyle name="Normal 39 4 2 2 2 2" xfId="8338" xr:uid="{00000000-0005-0000-0000-000023470000}"/>
    <cellStyle name="Normal 39 4 2 2 2 2 2" xfId="17697" xr:uid="{00000000-0005-0000-0000-000024470000}"/>
    <cellStyle name="Normal 39 4 2 2 2 2 2 2" xfId="34271" xr:uid="{00000000-0005-0000-0000-000025470000}"/>
    <cellStyle name="Normal 39 4 2 2 2 2 3" xfId="26224" xr:uid="{00000000-0005-0000-0000-000026470000}"/>
    <cellStyle name="Normal 39 4 2 2 2 3" xfId="13860" xr:uid="{00000000-0005-0000-0000-000027470000}"/>
    <cellStyle name="Normal 39 4 2 2 2 3 2" xfId="30404" xr:uid="{00000000-0005-0000-0000-000028470000}"/>
    <cellStyle name="Normal 39 4 2 2 2 4" xfId="22361" xr:uid="{00000000-0005-0000-0000-000029470000}"/>
    <cellStyle name="Normal 39 4 2 2 3" xfId="8339" xr:uid="{00000000-0005-0000-0000-00002A470000}"/>
    <cellStyle name="Normal 39 4 2 2 3 2" xfId="17698" xr:uid="{00000000-0005-0000-0000-00002B470000}"/>
    <cellStyle name="Normal 39 4 2 2 3 2 2" xfId="34272" xr:uid="{00000000-0005-0000-0000-00002C470000}"/>
    <cellStyle name="Normal 39 4 2 2 3 3" xfId="26225" xr:uid="{00000000-0005-0000-0000-00002D470000}"/>
    <cellStyle name="Normal 39 4 2 2 4" xfId="13859" xr:uid="{00000000-0005-0000-0000-00002E470000}"/>
    <cellStyle name="Normal 39 4 2 2 4 2" xfId="30403" xr:uid="{00000000-0005-0000-0000-00002F470000}"/>
    <cellStyle name="Normal 39 4 2 2 5" xfId="22360" xr:uid="{00000000-0005-0000-0000-000030470000}"/>
    <cellStyle name="Normal 39 4 2 3" xfId="4302" xr:uid="{00000000-0005-0000-0000-000031470000}"/>
    <cellStyle name="Normal 39 4 2 3 2" xfId="8340" xr:uid="{00000000-0005-0000-0000-000032470000}"/>
    <cellStyle name="Normal 39 4 2 3 2 2" xfId="17699" xr:uid="{00000000-0005-0000-0000-000033470000}"/>
    <cellStyle name="Normal 39 4 2 3 2 2 2" xfId="34273" xr:uid="{00000000-0005-0000-0000-000034470000}"/>
    <cellStyle name="Normal 39 4 2 3 2 3" xfId="26226" xr:uid="{00000000-0005-0000-0000-000035470000}"/>
    <cellStyle name="Normal 39 4 2 3 3" xfId="13861" xr:uid="{00000000-0005-0000-0000-000036470000}"/>
    <cellStyle name="Normal 39 4 2 3 3 2" xfId="30405" xr:uid="{00000000-0005-0000-0000-000037470000}"/>
    <cellStyle name="Normal 39 4 2 3 4" xfId="22362" xr:uid="{00000000-0005-0000-0000-000038470000}"/>
    <cellStyle name="Normal 39 4 2 4" xfId="8341" xr:uid="{00000000-0005-0000-0000-000039470000}"/>
    <cellStyle name="Normal 39 4 2 4 2" xfId="17700" xr:uid="{00000000-0005-0000-0000-00003A470000}"/>
    <cellStyle name="Normal 39 4 2 4 2 2" xfId="34274" xr:uid="{00000000-0005-0000-0000-00003B470000}"/>
    <cellStyle name="Normal 39 4 2 4 3" xfId="26227" xr:uid="{00000000-0005-0000-0000-00003C470000}"/>
    <cellStyle name="Normal 39 4 2 5" xfId="13858" xr:uid="{00000000-0005-0000-0000-00003D470000}"/>
    <cellStyle name="Normal 39 4 2 5 2" xfId="30402" xr:uid="{00000000-0005-0000-0000-00003E470000}"/>
    <cellStyle name="Normal 39 4 2 6" xfId="22359" xr:uid="{00000000-0005-0000-0000-00003F470000}"/>
    <cellStyle name="Normal 39 4 3" xfId="4303" xr:uid="{00000000-0005-0000-0000-000040470000}"/>
    <cellStyle name="Normal 39 4 3 2" xfId="4304" xr:uid="{00000000-0005-0000-0000-000041470000}"/>
    <cellStyle name="Normal 39 4 3 2 2" xfId="8342" xr:uid="{00000000-0005-0000-0000-000042470000}"/>
    <cellStyle name="Normal 39 4 3 2 2 2" xfId="17701" xr:uid="{00000000-0005-0000-0000-000043470000}"/>
    <cellStyle name="Normal 39 4 3 2 2 2 2" xfId="34275" xr:uid="{00000000-0005-0000-0000-000044470000}"/>
    <cellStyle name="Normal 39 4 3 2 2 3" xfId="26228" xr:uid="{00000000-0005-0000-0000-000045470000}"/>
    <cellStyle name="Normal 39 4 3 2 3" xfId="13863" xr:uid="{00000000-0005-0000-0000-000046470000}"/>
    <cellStyle name="Normal 39 4 3 2 3 2" xfId="30407" xr:uid="{00000000-0005-0000-0000-000047470000}"/>
    <cellStyle name="Normal 39 4 3 2 4" xfId="22364" xr:uid="{00000000-0005-0000-0000-000048470000}"/>
    <cellStyle name="Normal 39 4 3 3" xfId="8343" xr:uid="{00000000-0005-0000-0000-000049470000}"/>
    <cellStyle name="Normal 39 4 3 3 2" xfId="17702" xr:uid="{00000000-0005-0000-0000-00004A470000}"/>
    <cellStyle name="Normal 39 4 3 3 2 2" xfId="34276" xr:uid="{00000000-0005-0000-0000-00004B470000}"/>
    <cellStyle name="Normal 39 4 3 3 3" xfId="26229" xr:uid="{00000000-0005-0000-0000-00004C470000}"/>
    <cellStyle name="Normal 39 4 3 4" xfId="13862" xr:uid="{00000000-0005-0000-0000-00004D470000}"/>
    <cellStyle name="Normal 39 4 3 4 2" xfId="30406" xr:uid="{00000000-0005-0000-0000-00004E470000}"/>
    <cellStyle name="Normal 39 4 3 5" xfId="22363" xr:uid="{00000000-0005-0000-0000-00004F470000}"/>
    <cellStyle name="Normal 39 4 4" xfId="4305" xr:uid="{00000000-0005-0000-0000-000050470000}"/>
    <cellStyle name="Normal 39 4 4 2" xfId="8344" xr:uid="{00000000-0005-0000-0000-000051470000}"/>
    <cellStyle name="Normal 39 4 4 2 2" xfId="17703" xr:uid="{00000000-0005-0000-0000-000052470000}"/>
    <cellStyle name="Normal 39 4 4 2 2 2" xfId="34277" xr:uid="{00000000-0005-0000-0000-000053470000}"/>
    <cellStyle name="Normal 39 4 4 2 3" xfId="26230" xr:uid="{00000000-0005-0000-0000-000054470000}"/>
    <cellStyle name="Normal 39 4 4 3" xfId="13864" xr:uid="{00000000-0005-0000-0000-000055470000}"/>
    <cellStyle name="Normal 39 4 4 3 2" xfId="30408" xr:uid="{00000000-0005-0000-0000-000056470000}"/>
    <cellStyle name="Normal 39 4 4 4" xfId="22365" xr:uid="{00000000-0005-0000-0000-000057470000}"/>
    <cellStyle name="Normal 39 4 5" xfId="8345" xr:uid="{00000000-0005-0000-0000-000058470000}"/>
    <cellStyle name="Normal 39 4 5 2" xfId="17704" xr:uid="{00000000-0005-0000-0000-000059470000}"/>
    <cellStyle name="Normal 39 4 5 2 2" xfId="34278" xr:uid="{00000000-0005-0000-0000-00005A470000}"/>
    <cellStyle name="Normal 39 4 5 3" xfId="26231" xr:uid="{00000000-0005-0000-0000-00005B470000}"/>
    <cellStyle name="Normal 39 4 6" xfId="13857" xr:uid="{00000000-0005-0000-0000-00005C470000}"/>
    <cellStyle name="Normal 39 4 6 2" xfId="30401" xr:uid="{00000000-0005-0000-0000-00005D470000}"/>
    <cellStyle name="Normal 39 4 7" xfId="22358" xr:uid="{00000000-0005-0000-0000-00005E470000}"/>
    <cellStyle name="Normal 39 5" xfId="4306" xr:uid="{00000000-0005-0000-0000-00005F470000}"/>
    <cellStyle name="Normal 39 5 2" xfId="4307" xr:uid="{00000000-0005-0000-0000-000060470000}"/>
    <cellStyle name="Normal 39 5 2 2" xfId="4308" xr:uid="{00000000-0005-0000-0000-000061470000}"/>
    <cellStyle name="Normal 39 5 2 2 2" xfId="4309" xr:uid="{00000000-0005-0000-0000-000062470000}"/>
    <cellStyle name="Normal 39 5 2 2 2 2" xfId="8346" xr:uid="{00000000-0005-0000-0000-000063470000}"/>
    <cellStyle name="Normal 39 5 2 2 2 2 2" xfId="17705" xr:uid="{00000000-0005-0000-0000-000064470000}"/>
    <cellStyle name="Normal 39 5 2 2 2 2 2 2" xfId="34279" xr:uid="{00000000-0005-0000-0000-000065470000}"/>
    <cellStyle name="Normal 39 5 2 2 2 2 3" xfId="26232" xr:uid="{00000000-0005-0000-0000-000066470000}"/>
    <cellStyle name="Normal 39 5 2 2 2 3" xfId="13868" xr:uid="{00000000-0005-0000-0000-000067470000}"/>
    <cellStyle name="Normal 39 5 2 2 2 3 2" xfId="30412" xr:uid="{00000000-0005-0000-0000-000068470000}"/>
    <cellStyle name="Normal 39 5 2 2 2 4" xfId="22369" xr:uid="{00000000-0005-0000-0000-000069470000}"/>
    <cellStyle name="Normal 39 5 2 2 3" xfId="8347" xr:uid="{00000000-0005-0000-0000-00006A470000}"/>
    <cellStyle name="Normal 39 5 2 2 3 2" xfId="17706" xr:uid="{00000000-0005-0000-0000-00006B470000}"/>
    <cellStyle name="Normal 39 5 2 2 3 2 2" xfId="34280" xr:uid="{00000000-0005-0000-0000-00006C470000}"/>
    <cellStyle name="Normal 39 5 2 2 3 3" xfId="26233" xr:uid="{00000000-0005-0000-0000-00006D470000}"/>
    <cellStyle name="Normal 39 5 2 2 4" xfId="13867" xr:uid="{00000000-0005-0000-0000-00006E470000}"/>
    <cellStyle name="Normal 39 5 2 2 4 2" xfId="30411" xr:uid="{00000000-0005-0000-0000-00006F470000}"/>
    <cellStyle name="Normal 39 5 2 2 5" xfId="22368" xr:uid="{00000000-0005-0000-0000-000070470000}"/>
    <cellStyle name="Normal 39 5 2 3" xfId="4310" xr:uid="{00000000-0005-0000-0000-000071470000}"/>
    <cellStyle name="Normal 39 5 2 3 2" xfId="8348" xr:uid="{00000000-0005-0000-0000-000072470000}"/>
    <cellStyle name="Normal 39 5 2 3 2 2" xfId="17707" xr:uid="{00000000-0005-0000-0000-000073470000}"/>
    <cellStyle name="Normal 39 5 2 3 2 2 2" xfId="34281" xr:uid="{00000000-0005-0000-0000-000074470000}"/>
    <cellStyle name="Normal 39 5 2 3 2 3" xfId="26234" xr:uid="{00000000-0005-0000-0000-000075470000}"/>
    <cellStyle name="Normal 39 5 2 3 3" xfId="13869" xr:uid="{00000000-0005-0000-0000-000076470000}"/>
    <cellStyle name="Normal 39 5 2 3 3 2" xfId="30413" xr:uid="{00000000-0005-0000-0000-000077470000}"/>
    <cellStyle name="Normal 39 5 2 3 4" xfId="22370" xr:uid="{00000000-0005-0000-0000-000078470000}"/>
    <cellStyle name="Normal 39 5 2 4" xfId="8349" xr:uid="{00000000-0005-0000-0000-000079470000}"/>
    <cellStyle name="Normal 39 5 2 4 2" xfId="17708" xr:uid="{00000000-0005-0000-0000-00007A470000}"/>
    <cellStyle name="Normal 39 5 2 4 2 2" xfId="34282" xr:uid="{00000000-0005-0000-0000-00007B470000}"/>
    <cellStyle name="Normal 39 5 2 4 3" xfId="26235" xr:uid="{00000000-0005-0000-0000-00007C470000}"/>
    <cellStyle name="Normal 39 5 2 5" xfId="13866" xr:uid="{00000000-0005-0000-0000-00007D470000}"/>
    <cellStyle name="Normal 39 5 2 5 2" xfId="30410" xr:uid="{00000000-0005-0000-0000-00007E470000}"/>
    <cellStyle name="Normal 39 5 2 6" xfId="22367" xr:uid="{00000000-0005-0000-0000-00007F470000}"/>
    <cellStyle name="Normal 39 5 3" xfId="4311" xr:uid="{00000000-0005-0000-0000-000080470000}"/>
    <cellStyle name="Normal 39 5 3 2" xfId="4312" xr:uid="{00000000-0005-0000-0000-000081470000}"/>
    <cellStyle name="Normal 39 5 3 2 2" xfId="8350" xr:uid="{00000000-0005-0000-0000-000082470000}"/>
    <cellStyle name="Normal 39 5 3 2 2 2" xfId="17709" xr:uid="{00000000-0005-0000-0000-000083470000}"/>
    <cellStyle name="Normal 39 5 3 2 2 2 2" xfId="34283" xr:uid="{00000000-0005-0000-0000-000084470000}"/>
    <cellStyle name="Normal 39 5 3 2 2 3" xfId="26236" xr:uid="{00000000-0005-0000-0000-000085470000}"/>
    <cellStyle name="Normal 39 5 3 2 3" xfId="13871" xr:uid="{00000000-0005-0000-0000-000086470000}"/>
    <cellStyle name="Normal 39 5 3 2 3 2" xfId="30415" xr:uid="{00000000-0005-0000-0000-000087470000}"/>
    <cellStyle name="Normal 39 5 3 2 4" xfId="22372" xr:uid="{00000000-0005-0000-0000-000088470000}"/>
    <cellStyle name="Normal 39 5 3 3" xfId="8351" xr:uid="{00000000-0005-0000-0000-000089470000}"/>
    <cellStyle name="Normal 39 5 3 3 2" xfId="17710" xr:uid="{00000000-0005-0000-0000-00008A470000}"/>
    <cellStyle name="Normal 39 5 3 3 2 2" xfId="34284" xr:uid="{00000000-0005-0000-0000-00008B470000}"/>
    <cellStyle name="Normal 39 5 3 3 3" xfId="26237" xr:uid="{00000000-0005-0000-0000-00008C470000}"/>
    <cellStyle name="Normal 39 5 3 4" xfId="13870" xr:uid="{00000000-0005-0000-0000-00008D470000}"/>
    <cellStyle name="Normal 39 5 3 4 2" xfId="30414" xr:uid="{00000000-0005-0000-0000-00008E470000}"/>
    <cellStyle name="Normal 39 5 3 5" xfId="22371" xr:uid="{00000000-0005-0000-0000-00008F470000}"/>
    <cellStyle name="Normal 39 5 4" xfId="4313" xr:uid="{00000000-0005-0000-0000-000090470000}"/>
    <cellStyle name="Normal 39 5 4 2" xfId="8352" xr:uid="{00000000-0005-0000-0000-000091470000}"/>
    <cellStyle name="Normal 39 5 4 2 2" xfId="17711" xr:uid="{00000000-0005-0000-0000-000092470000}"/>
    <cellStyle name="Normal 39 5 4 2 2 2" xfId="34285" xr:uid="{00000000-0005-0000-0000-000093470000}"/>
    <cellStyle name="Normal 39 5 4 2 3" xfId="26238" xr:uid="{00000000-0005-0000-0000-000094470000}"/>
    <cellStyle name="Normal 39 5 4 3" xfId="13872" xr:uid="{00000000-0005-0000-0000-000095470000}"/>
    <cellStyle name="Normal 39 5 4 3 2" xfId="30416" xr:uid="{00000000-0005-0000-0000-000096470000}"/>
    <cellStyle name="Normal 39 5 4 4" xfId="22373" xr:uid="{00000000-0005-0000-0000-000097470000}"/>
    <cellStyle name="Normal 39 5 5" xfId="8353" xr:uid="{00000000-0005-0000-0000-000098470000}"/>
    <cellStyle name="Normal 39 5 5 2" xfId="17712" xr:uid="{00000000-0005-0000-0000-000099470000}"/>
    <cellStyle name="Normal 39 5 5 2 2" xfId="34286" xr:uid="{00000000-0005-0000-0000-00009A470000}"/>
    <cellStyle name="Normal 39 5 5 3" xfId="26239" xr:uid="{00000000-0005-0000-0000-00009B470000}"/>
    <cellStyle name="Normal 39 5 6" xfId="13865" xr:uid="{00000000-0005-0000-0000-00009C470000}"/>
    <cellStyle name="Normal 39 5 6 2" xfId="30409" xr:uid="{00000000-0005-0000-0000-00009D470000}"/>
    <cellStyle name="Normal 39 5 7" xfId="22366" xr:uid="{00000000-0005-0000-0000-00009E470000}"/>
    <cellStyle name="Normal 39 6" xfId="4314" xr:uid="{00000000-0005-0000-0000-00009F470000}"/>
    <cellStyle name="Normal 39 6 2" xfId="4315" xr:uid="{00000000-0005-0000-0000-0000A0470000}"/>
    <cellStyle name="Normal 39 6 2 2" xfId="4316" xr:uid="{00000000-0005-0000-0000-0000A1470000}"/>
    <cellStyle name="Normal 39 6 2 2 2" xfId="8354" xr:uid="{00000000-0005-0000-0000-0000A2470000}"/>
    <cellStyle name="Normal 39 6 2 2 2 2" xfId="17713" xr:uid="{00000000-0005-0000-0000-0000A3470000}"/>
    <cellStyle name="Normal 39 6 2 2 2 2 2" xfId="34287" xr:uid="{00000000-0005-0000-0000-0000A4470000}"/>
    <cellStyle name="Normal 39 6 2 2 2 3" xfId="26240" xr:uid="{00000000-0005-0000-0000-0000A5470000}"/>
    <cellStyle name="Normal 39 6 2 2 3" xfId="13875" xr:uid="{00000000-0005-0000-0000-0000A6470000}"/>
    <cellStyle name="Normal 39 6 2 2 3 2" xfId="30419" xr:uid="{00000000-0005-0000-0000-0000A7470000}"/>
    <cellStyle name="Normal 39 6 2 2 4" xfId="22376" xr:uid="{00000000-0005-0000-0000-0000A8470000}"/>
    <cellStyle name="Normal 39 6 2 3" xfId="8355" xr:uid="{00000000-0005-0000-0000-0000A9470000}"/>
    <cellStyle name="Normal 39 6 2 3 2" xfId="17714" xr:uid="{00000000-0005-0000-0000-0000AA470000}"/>
    <cellStyle name="Normal 39 6 2 3 2 2" xfId="34288" xr:uid="{00000000-0005-0000-0000-0000AB470000}"/>
    <cellStyle name="Normal 39 6 2 3 3" xfId="26241" xr:uid="{00000000-0005-0000-0000-0000AC470000}"/>
    <cellStyle name="Normal 39 6 2 4" xfId="13874" xr:uid="{00000000-0005-0000-0000-0000AD470000}"/>
    <cellStyle name="Normal 39 6 2 4 2" xfId="30418" xr:uid="{00000000-0005-0000-0000-0000AE470000}"/>
    <cellStyle name="Normal 39 6 2 5" xfId="22375" xr:uid="{00000000-0005-0000-0000-0000AF470000}"/>
    <cellStyle name="Normal 39 6 3" xfId="4317" xr:uid="{00000000-0005-0000-0000-0000B0470000}"/>
    <cellStyle name="Normal 39 6 3 2" xfId="8356" xr:uid="{00000000-0005-0000-0000-0000B1470000}"/>
    <cellStyle name="Normal 39 6 3 2 2" xfId="17715" xr:uid="{00000000-0005-0000-0000-0000B2470000}"/>
    <cellStyle name="Normal 39 6 3 2 2 2" xfId="34289" xr:uid="{00000000-0005-0000-0000-0000B3470000}"/>
    <cellStyle name="Normal 39 6 3 2 3" xfId="26242" xr:uid="{00000000-0005-0000-0000-0000B4470000}"/>
    <cellStyle name="Normal 39 6 3 3" xfId="13876" xr:uid="{00000000-0005-0000-0000-0000B5470000}"/>
    <cellStyle name="Normal 39 6 3 3 2" xfId="30420" xr:uid="{00000000-0005-0000-0000-0000B6470000}"/>
    <cellStyle name="Normal 39 6 3 4" xfId="22377" xr:uid="{00000000-0005-0000-0000-0000B7470000}"/>
    <cellStyle name="Normal 39 6 4" xfId="8357" xr:uid="{00000000-0005-0000-0000-0000B8470000}"/>
    <cellStyle name="Normal 39 6 4 2" xfId="17716" xr:uid="{00000000-0005-0000-0000-0000B9470000}"/>
    <cellStyle name="Normal 39 6 4 2 2" xfId="34290" xr:uid="{00000000-0005-0000-0000-0000BA470000}"/>
    <cellStyle name="Normal 39 6 4 3" xfId="26243" xr:uid="{00000000-0005-0000-0000-0000BB470000}"/>
    <cellStyle name="Normal 39 6 5" xfId="13873" xr:uid="{00000000-0005-0000-0000-0000BC470000}"/>
    <cellStyle name="Normal 39 6 5 2" xfId="30417" xr:uid="{00000000-0005-0000-0000-0000BD470000}"/>
    <cellStyle name="Normal 39 6 6" xfId="22374" xr:uid="{00000000-0005-0000-0000-0000BE470000}"/>
    <cellStyle name="Normal 39 7" xfId="4318" xr:uid="{00000000-0005-0000-0000-0000BF470000}"/>
    <cellStyle name="Normal 39 7 2" xfId="4319" xr:uid="{00000000-0005-0000-0000-0000C0470000}"/>
    <cellStyle name="Normal 39 7 2 2" xfId="8358" xr:uid="{00000000-0005-0000-0000-0000C1470000}"/>
    <cellStyle name="Normal 39 7 2 2 2" xfId="17717" xr:uid="{00000000-0005-0000-0000-0000C2470000}"/>
    <cellStyle name="Normal 39 7 2 2 2 2" xfId="34291" xr:uid="{00000000-0005-0000-0000-0000C3470000}"/>
    <cellStyle name="Normal 39 7 2 2 3" xfId="26244" xr:uid="{00000000-0005-0000-0000-0000C4470000}"/>
    <cellStyle name="Normal 39 7 2 3" xfId="13878" xr:uid="{00000000-0005-0000-0000-0000C5470000}"/>
    <cellStyle name="Normal 39 7 2 3 2" xfId="30422" xr:uid="{00000000-0005-0000-0000-0000C6470000}"/>
    <cellStyle name="Normal 39 7 2 4" xfId="22379" xr:uid="{00000000-0005-0000-0000-0000C7470000}"/>
    <cellStyle name="Normal 39 7 3" xfId="8359" xr:uid="{00000000-0005-0000-0000-0000C8470000}"/>
    <cellStyle name="Normal 39 7 3 2" xfId="17718" xr:uid="{00000000-0005-0000-0000-0000C9470000}"/>
    <cellStyle name="Normal 39 7 3 2 2" xfId="34292" xr:uid="{00000000-0005-0000-0000-0000CA470000}"/>
    <cellStyle name="Normal 39 7 3 3" xfId="26245" xr:uid="{00000000-0005-0000-0000-0000CB470000}"/>
    <cellStyle name="Normal 39 7 4" xfId="13877" xr:uid="{00000000-0005-0000-0000-0000CC470000}"/>
    <cellStyle name="Normal 39 7 4 2" xfId="30421" xr:uid="{00000000-0005-0000-0000-0000CD470000}"/>
    <cellStyle name="Normal 39 7 5" xfId="22378" xr:uid="{00000000-0005-0000-0000-0000CE470000}"/>
    <cellStyle name="Normal 39 8" xfId="4320" xr:uid="{00000000-0005-0000-0000-0000CF470000}"/>
    <cellStyle name="Normal 39 8 2" xfId="8360" xr:uid="{00000000-0005-0000-0000-0000D0470000}"/>
    <cellStyle name="Normal 39 8 2 2" xfId="17719" xr:uid="{00000000-0005-0000-0000-0000D1470000}"/>
    <cellStyle name="Normal 39 8 2 2 2" xfId="34293" xr:uid="{00000000-0005-0000-0000-0000D2470000}"/>
    <cellStyle name="Normal 39 8 2 3" xfId="26246" xr:uid="{00000000-0005-0000-0000-0000D3470000}"/>
    <cellStyle name="Normal 39 8 3" xfId="13879" xr:uid="{00000000-0005-0000-0000-0000D4470000}"/>
    <cellStyle name="Normal 39 8 3 2" xfId="30423" xr:uid="{00000000-0005-0000-0000-0000D5470000}"/>
    <cellStyle name="Normal 39 8 4" xfId="22380" xr:uid="{00000000-0005-0000-0000-0000D6470000}"/>
    <cellStyle name="Normal 39 9" xfId="8361" xr:uid="{00000000-0005-0000-0000-0000D7470000}"/>
    <cellStyle name="Normal 39 9 2" xfId="17720" xr:uid="{00000000-0005-0000-0000-0000D8470000}"/>
    <cellStyle name="Normal 39 9 2 2" xfId="34294" xr:uid="{00000000-0005-0000-0000-0000D9470000}"/>
    <cellStyle name="Normal 39 9 3" xfId="26247" xr:uid="{00000000-0005-0000-0000-0000DA470000}"/>
    <cellStyle name="Normal 4" xfId="7" xr:uid="{00000000-0005-0000-0000-0000DB470000}"/>
    <cellStyle name="Normal 4 10" xfId="1718" xr:uid="{00000000-0005-0000-0000-0000DC470000}"/>
    <cellStyle name="Normal 4 11" xfId="2070" xr:uid="{00000000-0005-0000-0000-0000DD470000}"/>
    <cellStyle name="Normal 4 2" xfId="71" xr:uid="{00000000-0005-0000-0000-0000DE470000}"/>
    <cellStyle name="Normal 4 2 10" xfId="1676" xr:uid="{00000000-0005-0000-0000-0000DF470000}"/>
    <cellStyle name="Normal 4 2 2" xfId="224" xr:uid="{00000000-0005-0000-0000-0000E0470000}"/>
    <cellStyle name="Normal 4 2 2 2" xfId="225" xr:uid="{00000000-0005-0000-0000-0000E1470000}"/>
    <cellStyle name="Normal 4 2 2 2 2" xfId="226" xr:uid="{00000000-0005-0000-0000-0000E2470000}"/>
    <cellStyle name="Normal 4 2 2 2 2 2" xfId="227" xr:uid="{00000000-0005-0000-0000-0000E3470000}"/>
    <cellStyle name="Normal 4 2 2 2 2 2 2" xfId="19752" xr:uid="{00000000-0005-0000-0000-0000E4470000}"/>
    <cellStyle name="Normal 4 2 2 2 2 2 2 2" xfId="36328" xr:uid="{00000000-0005-0000-0000-0000E5470000}"/>
    <cellStyle name="Normal 4 2 2 2 2 2 3" xfId="28282" xr:uid="{00000000-0005-0000-0000-0000E6470000}"/>
    <cellStyle name="Normal 4 2 2 2 2 3" xfId="19751" xr:uid="{00000000-0005-0000-0000-0000E7470000}"/>
    <cellStyle name="Normal 4 2 2 2 2 3 2" xfId="36327" xr:uid="{00000000-0005-0000-0000-0000E8470000}"/>
    <cellStyle name="Normal 4 2 2 2 2 4" xfId="28281" xr:uid="{00000000-0005-0000-0000-0000E9470000}"/>
    <cellStyle name="Normal 4 2 2 2 3" xfId="228" xr:uid="{00000000-0005-0000-0000-0000EA470000}"/>
    <cellStyle name="Normal 4 2 2 2 3 2" xfId="229" xr:uid="{00000000-0005-0000-0000-0000EB470000}"/>
    <cellStyle name="Normal 4 2 2 2 3 2 2" xfId="19754" xr:uid="{00000000-0005-0000-0000-0000EC470000}"/>
    <cellStyle name="Normal 4 2 2 2 3 2 2 2" xfId="36330" xr:uid="{00000000-0005-0000-0000-0000ED470000}"/>
    <cellStyle name="Normal 4 2 2 2 3 2 3" xfId="28284" xr:uid="{00000000-0005-0000-0000-0000EE470000}"/>
    <cellStyle name="Normal 4 2 2 2 3 3" xfId="19753" xr:uid="{00000000-0005-0000-0000-0000EF470000}"/>
    <cellStyle name="Normal 4 2 2 2 3 3 2" xfId="36329" xr:uid="{00000000-0005-0000-0000-0000F0470000}"/>
    <cellStyle name="Normal 4 2 2 2 3 4" xfId="28283" xr:uid="{00000000-0005-0000-0000-0000F1470000}"/>
    <cellStyle name="Normal 4 2 2 2 4" xfId="230" xr:uid="{00000000-0005-0000-0000-0000F2470000}"/>
    <cellStyle name="Normal 4 2 2 2 4 2" xfId="19755" xr:uid="{00000000-0005-0000-0000-0000F3470000}"/>
    <cellStyle name="Normal 4 2 2 2 4 2 2" xfId="36331" xr:uid="{00000000-0005-0000-0000-0000F4470000}"/>
    <cellStyle name="Normal 4 2 2 2 4 3" xfId="28285" xr:uid="{00000000-0005-0000-0000-0000F5470000}"/>
    <cellStyle name="Normal 4 2 2 2 5" xfId="19750" xr:uid="{00000000-0005-0000-0000-0000F6470000}"/>
    <cellStyle name="Normal 4 2 2 2 5 2" xfId="36326" xr:uid="{00000000-0005-0000-0000-0000F7470000}"/>
    <cellStyle name="Normal 4 2 2 2 6" xfId="28280" xr:uid="{00000000-0005-0000-0000-0000F8470000}"/>
    <cellStyle name="Normal 4 2 2 3" xfId="231" xr:uid="{00000000-0005-0000-0000-0000F9470000}"/>
    <cellStyle name="Normal 4 2 2 3 2" xfId="232" xr:uid="{00000000-0005-0000-0000-0000FA470000}"/>
    <cellStyle name="Normal 4 2 2 3 2 2" xfId="19757" xr:uid="{00000000-0005-0000-0000-0000FB470000}"/>
    <cellStyle name="Normal 4 2 2 3 2 2 2" xfId="36333" xr:uid="{00000000-0005-0000-0000-0000FC470000}"/>
    <cellStyle name="Normal 4 2 2 3 2 3" xfId="28287" xr:uid="{00000000-0005-0000-0000-0000FD470000}"/>
    <cellStyle name="Normal 4 2 2 3 3" xfId="19756" xr:uid="{00000000-0005-0000-0000-0000FE470000}"/>
    <cellStyle name="Normal 4 2 2 3 3 2" xfId="36332" xr:uid="{00000000-0005-0000-0000-0000FF470000}"/>
    <cellStyle name="Normal 4 2 2 3 4" xfId="28286" xr:uid="{00000000-0005-0000-0000-000000480000}"/>
    <cellStyle name="Normal 4 2 2 4" xfId="233" xr:uid="{00000000-0005-0000-0000-000001480000}"/>
    <cellStyle name="Normal 4 2 2 4 2" xfId="234" xr:uid="{00000000-0005-0000-0000-000002480000}"/>
    <cellStyle name="Normal 4 2 2 4 2 2" xfId="19759" xr:uid="{00000000-0005-0000-0000-000003480000}"/>
    <cellStyle name="Normal 4 2 2 4 2 2 2" xfId="36335" xr:uid="{00000000-0005-0000-0000-000004480000}"/>
    <cellStyle name="Normal 4 2 2 4 2 3" xfId="28289" xr:uid="{00000000-0005-0000-0000-000005480000}"/>
    <cellStyle name="Normal 4 2 2 4 3" xfId="19758" xr:uid="{00000000-0005-0000-0000-000006480000}"/>
    <cellStyle name="Normal 4 2 2 4 3 2" xfId="36334" xr:uid="{00000000-0005-0000-0000-000007480000}"/>
    <cellStyle name="Normal 4 2 2 4 4" xfId="28288" xr:uid="{00000000-0005-0000-0000-000008480000}"/>
    <cellStyle name="Normal 4 2 2 5" xfId="235" xr:uid="{00000000-0005-0000-0000-000009480000}"/>
    <cellStyle name="Normal 4 2 2 5 2" xfId="236" xr:uid="{00000000-0005-0000-0000-00000A480000}"/>
    <cellStyle name="Normal 4 2 2 5 2 2" xfId="19761" xr:uid="{00000000-0005-0000-0000-00000B480000}"/>
    <cellStyle name="Normal 4 2 2 5 2 2 2" xfId="36337" xr:uid="{00000000-0005-0000-0000-00000C480000}"/>
    <cellStyle name="Normal 4 2 2 5 2 3" xfId="28291" xr:uid="{00000000-0005-0000-0000-00000D480000}"/>
    <cellStyle name="Normal 4 2 2 5 3" xfId="19760" xr:uid="{00000000-0005-0000-0000-00000E480000}"/>
    <cellStyle name="Normal 4 2 2 5 3 2" xfId="36336" xr:uid="{00000000-0005-0000-0000-00000F480000}"/>
    <cellStyle name="Normal 4 2 2 5 4" xfId="28290" xr:uid="{00000000-0005-0000-0000-000010480000}"/>
    <cellStyle name="Normal 4 2 2 6" xfId="237" xr:uid="{00000000-0005-0000-0000-000011480000}"/>
    <cellStyle name="Normal 4 2 2 6 2" xfId="19762" xr:uid="{00000000-0005-0000-0000-000012480000}"/>
    <cellStyle name="Normal 4 2 2 6 2 2" xfId="36338" xr:uid="{00000000-0005-0000-0000-000013480000}"/>
    <cellStyle name="Normal 4 2 2 6 3" xfId="28292" xr:uid="{00000000-0005-0000-0000-000014480000}"/>
    <cellStyle name="Normal 4 2 2 7" xfId="13880" xr:uid="{00000000-0005-0000-0000-000015480000}"/>
    <cellStyle name="Normal 4 2 2 7 2" xfId="30424" xr:uid="{00000000-0005-0000-0000-000016480000}"/>
    <cellStyle name="Normal 4 2 2 8" xfId="22381" xr:uid="{00000000-0005-0000-0000-000017480000}"/>
    <cellStyle name="Normal 4 2 3" xfId="238" xr:uid="{00000000-0005-0000-0000-000018480000}"/>
    <cellStyle name="Normal 4 2 3 2" xfId="239" xr:uid="{00000000-0005-0000-0000-000019480000}"/>
    <cellStyle name="Normal 4 2 3 2 2" xfId="240" xr:uid="{00000000-0005-0000-0000-00001A480000}"/>
    <cellStyle name="Normal 4 2 3 2 2 2" xfId="19764" xr:uid="{00000000-0005-0000-0000-00001B480000}"/>
    <cellStyle name="Normal 4 2 3 2 2 2 2" xfId="36340" xr:uid="{00000000-0005-0000-0000-00001C480000}"/>
    <cellStyle name="Normal 4 2 3 2 2 3" xfId="28294" xr:uid="{00000000-0005-0000-0000-00001D480000}"/>
    <cellStyle name="Normal 4 2 3 2 3" xfId="19763" xr:uid="{00000000-0005-0000-0000-00001E480000}"/>
    <cellStyle name="Normal 4 2 3 2 3 2" xfId="36339" xr:uid="{00000000-0005-0000-0000-00001F480000}"/>
    <cellStyle name="Normal 4 2 3 2 4" xfId="28293" xr:uid="{00000000-0005-0000-0000-000020480000}"/>
    <cellStyle name="Normal 4 2 3 3" xfId="241" xr:uid="{00000000-0005-0000-0000-000021480000}"/>
    <cellStyle name="Normal 4 2 3 3 2" xfId="242" xr:uid="{00000000-0005-0000-0000-000022480000}"/>
    <cellStyle name="Normal 4 2 3 3 2 2" xfId="19766" xr:uid="{00000000-0005-0000-0000-000023480000}"/>
    <cellStyle name="Normal 4 2 3 3 2 2 2" xfId="36342" xr:uid="{00000000-0005-0000-0000-000024480000}"/>
    <cellStyle name="Normal 4 2 3 3 2 3" xfId="28296" xr:uid="{00000000-0005-0000-0000-000025480000}"/>
    <cellStyle name="Normal 4 2 3 3 3" xfId="19765" xr:uid="{00000000-0005-0000-0000-000026480000}"/>
    <cellStyle name="Normal 4 2 3 3 3 2" xfId="36341" xr:uid="{00000000-0005-0000-0000-000027480000}"/>
    <cellStyle name="Normal 4 2 3 3 4" xfId="28295" xr:uid="{00000000-0005-0000-0000-000028480000}"/>
    <cellStyle name="Normal 4 2 3 4" xfId="243" xr:uid="{00000000-0005-0000-0000-000029480000}"/>
    <cellStyle name="Normal 4 2 3 4 2" xfId="19767" xr:uid="{00000000-0005-0000-0000-00002A480000}"/>
    <cellStyle name="Normal 4 2 3 4 2 2" xfId="36343" xr:uid="{00000000-0005-0000-0000-00002B480000}"/>
    <cellStyle name="Normal 4 2 3 4 3" xfId="28297" xr:uid="{00000000-0005-0000-0000-00002C480000}"/>
    <cellStyle name="Normal 4 2 3 5" xfId="4322" xr:uid="{00000000-0005-0000-0000-00002D480000}"/>
    <cellStyle name="Normal 4 2 4" xfId="244" xr:uid="{00000000-0005-0000-0000-00002E480000}"/>
    <cellStyle name="Normal 4 2 4 2" xfId="245" xr:uid="{00000000-0005-0000-0000-00002F480000}"/>
    <cellStyle name="Normal 4 2 4 2 2" xfId="19768" xr:uid="{00000000-0005-0000-0000-000030480000}"/>
    <cellStyle name="Normal 4 2 4 2 2 2" xfId="36344" xr:uid="{00000000-0005-0000-0000-000031480000}"/>
    <cellStyle name="Normal 4 2 4 2 3" xfId="28298" xr:uid="{00000000-0005-0000-0000-000032480000}"/>
    <cellStyle name="Normal 4 2 4 3" xfId="6612" xr:uid="{00000000-0005-0000-0000-000033480000}"/>
    <cellStyle name="Normal 4 2 5" xfId="246" xr:uid="{00000000-0005-0000-0000-000034480000}"/>
    <cellStyle name="Normal 4 2 5 2" xfId="247" xr:uid="{00000000-0005-0000-0000-000035480000}"/>
    <cellStyle name="Normal 4 2 5 2 2" xfId="19770" xr:uid="{00000000-0005-0000-0000-000036480000}"/>
    <cellStyle name="Normal 4 2 5 2 2 2" xfId="36346" xr:uid="{00000000-0005-0000-0000-000037480000}"/>
    <cellStyle name="Normal 4 2 5 2 3" xfId="28300" xr:uid="{00000000-0005-0000-0000-000038480000}"/>
    <cellStyle name="Normal 4 2 5 3" xfId="19769" xr:uid="{00000000-0005-0000-0000-000039480000}"/>
    <cellStyle name="Normal 4 2 5 3 2" xfId="36345" xr:uid="{00000000-0005-0000-0000-00003A480000}"/>
    <cellStyle name="Normal 4 2 5 4" xfId="28299" xr:uid="{00000000-0005-0000-0000-00003B480000}"/>
    <cellStyle name="Normal 4 2 6" xfId="248" xr:uid="{00000000-0005-0000-0000-00003C480000}"/>
    <cellStyle name="Normal 4 2 6 2" xfId="249" xr:uid="{00000000-0005-0000-0000-00003D480000}"/>
    <cellStyle name="Normal 4 2 6 2 2" xfId="19772" xr:uid="{00000000-0005-0000-0000-00003E480000}"/>
    <cellStyle name="Normal 4 2 6 2 2 2" xfId="36348" xr:uid="{00000000-0005-0000-0000-00003F480000}"/>
    <cellStyle name="Normal 4 2 6 2 3" xfId="28302" xr:uid="{00000000-0005-0000-0000-000040480000}"/>
    <cellStyle name="Normal 4 2 6 3" xfId="19771" xr:uid="{00000000-0005-0000-0000-000041480000}"/>
    <cellStyle name="Normal 4 2 6 3 2" xfId="36347" xr:uid="{00000000-0005-0000-0000-000042480000}"/>
    <cellStyle name="Normal 4 2 6 4" xfId="28301" xr:uid="{00000000-0005-0000-0000-000043480000}"/>
    <cellStyle name="Normal 4 2 7" xfId="250" xr:uid="{00000000-0005-0000-0000-000044480000}"/>
    <cellStyle name="Normal 4 2 7 2" xfId="19773" xr:uid="{00000000-0005-0000-0000-000045480000}"/>
    <cellStyle name="Normal 4 2 7 2 2" xfId="36349" xr:uid="{00000000-0005-0000-0000-000046480000}"/>
    <cellStyle name="Normal 4 2 7 3" xfId="28303" xr:uid="{00000000-0005-0000-0000-000047480000}"/>
    <cellStyle name="Normal 4 2 8" xfId="381" xr:uid="{00000000-0005-0000-0000-000048480000}"/>
    <cellStyle name="Normal 4 2 9" xfId="1719" xr:uid="{00000000-0005-0000-0000-000049480000}"/>
    <cellStyle name="Normal 4 3" xfId="251" xr:uid="{00000000-0005-0000-0000-00004A480000}"/>
    <cellStyle name="Normal 4 3 2" xfId="252" xr:uid="{00000000-0005-0000-0000-00004B480000}"/>
    <cellStyle name="Normal 4 3 2 2" xfId="253" xr:uid="{00000000-0005-0000-0000-00004C480000}"/>
    <cellStyle name="Normal 4 3 2 2 2" xfId="254" xr:uid="{00000000-0005-0000-0000-00004D480000}"/>
    <cellStyle name="Normal 4 3 2 2 2 2" xfId="19775" xr:uid="{00000000-0005-0000-0000-00004E480000}"/>
    <cellStyle name="Normal 4 3 2 2 2 2 2" xfId="36351" xr:uid="{00000000-0005-0000-0000-00004F480000}"/>
    <cellStyle name="Normal 4 3 2 2 2 3" xfId="28305" xr:uid="{00000000-0005-0000-0000-000050480000}"/>
    <cellStyle name="Normal 4 3 2 2 3" xfId="19774" xr:uid="{00000000-0005-0000-0000-000051480000}"/>
    <cellStyle name="Normal 4 3 2 2 3 2" xfId="36350" xr:uid="{00000000-0005-0000-0000-000052480000}"/>
    <cellStyle name="Normal 4 3 2 2 4" xfId="28304" xr:uid="{00000000-0005-0000-0000-000053480000}"/>
    <cellStyle name="Normal 4 3 2 3" xfId="255" xr:uid="{00000000-0005-0000-0000-000054480000}"/>
    <cellStyle name="Normal 4 3 2 3 2" xfId="256" xr:uid="{00000000-0005-0000-0000-000055480000}"/>
    <cellStyle name="Normal 4 3 2 3 2 2" xfId="19777" xr:uid="{00000000-0005-0000-0000-000056480000}"/>
    <cellStyle name="Normal 4 3 2 3 2 2 2" xfId="36353" xr:uid="{00000000-0005-0000-0000-000057480000}"/>
    <cellStyle name="Normal 4 3 2 3 2 3" xfId="28307" xr:uid="{00000000-0005-0000-0000-000058480000}"/>
    <cellStyle name="Normal 4 3 2 3 3" xfId="19776" xr:uid="{00000000-0005-0000-0000-000059480000}"/>
    <cellStyle name="Normal 4 3 2 3 3 2" xfId="36352" xr:uid="{00000000-0005-0000-0000-00005A480000}"/>
    <cellStyle name="Normal 4 3 2 3 4" xfId="28306" xr:uid="{00000000-0005-0000-0000-00005B480000}"/>
    <cellStyle name="Normal 4 3 2 4" xfId="257" xr:uid="{00000000-0005-0000-0000-00005C480000}"/>
    <cellStyle name="Normal 4 3 2 4 2" xfId="19778" xr:uid="{00000000-0005-0000-0000-00005D480000}"/>
    <cellStyle name="Normal 4 3 2 4 2 2" xfId="36354" xr:uid="{00000000-0005-0000-0000-00005E480000}"/>
    <cellStyle name="Normal 4 3 2 4 3" xfId="28308" xr:uid="{00000000-0005-0000-0000-00005F480000}"/>
    <cellStyle name="Normal 4 3 2 5" xfId="4324" xr:uid="{00000000-0005-0000-0000-000060480000}"/>
    <cellStyle name="Normal 4 3 3" xfId="258" xr:uid="{00000000-0005-0000-0000-000061480000}"/>
    <cellStyle name="Normal 4 3 3 2" xfId="259" xr:uid="{00000000-0005-0000-0000-000062480000}"/>
    <cellStyle name="Normal 4 3 3 2 2" xfId="19780" xr:uid="{00000000-0005-0000-0000-000063480000}"/>
    <cellStyle name="Normal 4 3 3 2 2 2" xfId="36356" xr:uid="{00000000-0005-0000-0000-000064480000}"/>
    <cellStyle name="Normal 4 3 3 2 3" xfId="28310" xr:uid="{00000000-0005-0000-0000-000065480000}"/>
    <cellStyle name="Normal 4 3 3 3" xfId="19779" xr:uid="{00000000-0005-0000-0000-000066480000}"/>
    <cellStyle name="Normal 4 3 3 3 2" xfId="36355" xr:uid="{00000000-0005-0000-0000-000067480000}"/>
    <cellStyle name="Normal 4 3 3 4" xfId="28309" xr:uid="{00000000-0005-0000-0000-000068480000}"/>
    <cellStyle name="Normal 4 3 4" xfId="260" xr:uid="{00000000-0005-0000-0000-000069480000}"/>
    <cellStyle name="Normal 4 3 4 2" xfId="261" xr:uid="{00000000-0005-0000-0000-00006A480000}"/>
    <cellStyle name="Normal 4 3 4 2 2" xfId="19782" xr:uid="{00000000-0005-0000-0000-00006B480000}"/>
    <cellStyle name="Normal 4 3 4 2 2 2" xfId="36358" xr:uid="{00000000-0005-0000-0000-00006C480000}"/>
    <cellStyle name="Normal 4 3 4 2 3" xfId="28312" xr:uid="{00000000-0005-0000-0000-00006D480000}"/>
    <cellStyle name="Normal 4 3 4 3" xfId="19781" xr:uid="{00000000-0005-0000-0000-00006E480000}"/>
    <cellStyle name="Normal 4 3 4 3 2" xfId="36357" xr:uid="{00000000-0005-0000-0000-00006F480000}"/>
    <cellStyle name="Normal 4 3 4 4" xfId="28311" xr:uid="{00000000-0005-0000-0000-000070480000}"/>
    <cellStyle name="Normal 4 3 5" xfId="262" xr:uid="{00000000-0005-0000-0000-000071480000}"/>
    <cellStyle name="Normal 4 3 5 2" xfId="263" xr:uid="{00000000-0005-0000-0000-000072480000}"/>
    <cellStyle name="Normal 4 3 5 2 2" xfId="19784" xr:uid="{00000000-0005-0000-0000-000073480000}"/>
    <cellStyle name="Normal 4 3 5 2 2 2" xfId="36360" xr:uid="{00000000-0005-0000-0000-000074480000}"/>
    <cellStyle name="Normal 4 3 5 2 3" xfId="28314" xr:uid="{00000000-0005-0000-0000-000075480000}"/>
    <cellStyle name="Normal 4 3 5 3" xfId="19783" xr:uid="{00000000-0005-0000-0000-000076480000}"/>
    <cellStyle name="Normal 4 3 5 3 2" xfId="36359" xr:uid="{00000000-0005-0000-0000-000077480000}"/>
    <cellStyle name="Normal 4 3 5 4" xfId="28313" xr:uid="{00000000-0005-0000-0000-000078480000}"/>
    <cellStyle name="Normal 4 3 6" xfId="264" xr:uid="{00000000-0005-0000-0000-000079480000}"/>
    <cellStyle name="Normal 4 3 6 2" xfId="19785" xr:uid="{00000000-0005-0000-0000-00007A480000}"/>
    <cellStyle name="Normal 4 3 6 2 2" xfId="36361" xr:uid="{00000000-0005-0000-0000-00007B480000}"/>
    <cellStyle name="Normal 4 3 6 3" xfId="28315" xr:uid="{00000000-0005-0000-0000-00007C480000}"/>
    <cellStyle name="Normal 4 3 7" xfId="4323" xr:uid="{00000000-0005-0000-0000-00007D480000}"/>
    <cellStyle name="Normal 4 4" xfId="265" xr:uid="{00000000-0005-0000-0000-00007E480000}"/>
    <cellStyle name="Normal 4 4 2" xfId="266" xr:uid="{00000000-0005-0000-0000-00007F480000}"/>
    <cellStyle name="Normal 4 4 2 2" xfId="267" xr:uid="{00000000-0005-0000-0000-000080480000}"/>
    <cellStyle name="Normal 4 4 2 2 2" xfId="19786" xr:uid="{00000000-0005-0000-0000-000081480000}"/>
    <cellStyle name="Normal 4 4 2 2 2 2" xfId="36362" xr:uid="{00000000-0005-0000-0000-000082480000}"/>
    <cellStyle name="Normal 4 4 2 2 3" xfId="28316" xr:uid="{00000000-0005-0000-0000-000083480000}"/>
    <cellStyle name="Normal 4 4 2 3" xfId="8362" xr:uid="{00000000-0005-0000-0000-000084480000}"/>
    <cellStyle name="Normal 4 4 3" xfId="268" xr:uid="{00000000-0005-0000-0000-000085480000}"/>
    <cellStyle name="Normal 4 4 3 2" xfId="269" xr:uid="{00000000-0005-0000-0000-000086480000}"/>
    <cellStyle name="Normal 4 4 3 2 2" xfId="19788" xr:uid="{00000000-0005-0000-0000-000087480000}"/>
    <cellStyle name="Normal 4 4 3 2 2 2" xfId="36364" xr:uid="{00000000-0005-0000-0000-000088480000}"/>
    <cellStyle name="Normal 4 4 3 2 3" xfId="28318" xr:uid="{00000000-0005-0000-0000-000089480000}"/>
    <cellStyle name="Normal 4 4 3 3" xfId="19787" xr:uid="{00000000-0005-0000-0000-00008A480000}"/>
    <cellStyle name="Normal 4 4 3 3 2" xfId="36363" xr:uid="{00000000-0005-0000-0000-00008B480000}"/>
    <cellStyle name="Normal 4 4 3 4" xfId="28317" xr:uid="{00000000-0005-0000-0000-00008C480000}"/>
    <cellStyle name="Normal 4 4 4" xfId="270" xr:uid="{00000000-0005-0000-0000-00008D480000}"/>
    <cellStyle name="Normal 4 4 4 2" xfId="19789" xr:uid="{00000000-0005-0000-0000-00008E480000}"/>
    <cellStyle name="Normal 4 4 4 2 2" xfId="36365" xr:uid="{00000000-0005-0000-0000-00008F480000}"/>
    <cellStyle name="Normal 4 4 4 3" xfId="28319" xr:uid="{00000000-0005-0000-0000-000090480000}"/>
    <cellStyle name="Normal 4 4 5" xfId="6613" xr:uid="{00000000-0005-0000-0000-000091480000}"/>
    <cellStyle name="Normal 4 5" xfId="271" xr:uid="{00000000-0005-0000-0000-000092480000}"/>
    <cellStyle name="Normal 4 5 2" xfId="272" xr:uid="{00000000-0005-0000-0000-000093480000}"/>
    <cellStyle name="Normal 4 5 2 2" xfId="19790" xr:uid="{00000000-0005-0000-0000-000094480000}"/>
    <cellStyle name="Normal 4 5 2 2 2" xfId="36366" xr:uid="{00000000-0005-0000-0000-000095480000}"/>
    <cellStyle name="Normal 4 5 2 3" xfId="28320" xr:uid="{00000000-0005-0000-0000-000096480000}"/>
    <cellStyle name="Normal 4 5 3" xfId="4321" xr:uid="{00000000-0005-0000-0000-000097480000}"/>
    <cellStyle name="Normal 4 6" xfId="273" xr:uid="{00000000-0005-0000-0000-000098480000}"/>
    <cellStyle name="Normal 4 6 2" xfId="274" xr:uid="{00000000-0005-0000-0000-000099480000}"/>
    <cellStyle name="Normal 4 6 2 2" xfId="19792" xr:uid="{00000000-0005-0000-0000-00009A480000}"/>
    <cellStyle name="Normal 4 6 2 2 2" xfId="36368" xr:uid="{00000000-0005-0000-0000-00009B480000}"/>
    <cellStyle name="Normal 4 6 2 3" xfId="28322" xr:uid="{00000000-0005-0000-0000-00009C480000}"/>
    <cellStyle name="Normal 4 6 3" xfId="19791" xr:uid="{00000000-0005-0000-0000-00009D480000}"/>
    <cellStyle name="Normal 4 6 3 2" xfId="36367" xr:uid="{00000000-0005-0000-0000-00009E480000}"/>
    <cellStyle name="Normal 4 6 4" xfId="28321" xr:uid="{00000000-0005-0000-0000-00009F480000}"/>
    <cellStyle name="Normal 4 7" xfId="275" xr:uid="{00000000-0005-0000-0000-0000A0480000}"/>
    <cellStyle name="Normal 4 7 2" xfId="276" xr:uid="{00000000-0005-0000-0000-0000A1480000}"/>
    <cellStyle name="Normal 4 7 2 2" xfId="19794" xr:uid="{00000000-0005-0000-0000-0000A2480000}"/>
    <cellStyle name="Normal 4 7 2 2 2" xfId="36370" xr:uid="{00000000-0005-0000-0000-0000A3480000}"/>
    <cellStyle name="Normal 4 7 2 3" xfId="28324" xr:uid="{00000000-0005-0000-0000-0000A4480000}"/>
    <cellStyle name="Normal 4 7 3" xfId="19793" xr:uid="{00000000-0005-0000-0000-0000A5480000}"/>
    <cellStyle name="Normal 4 7 3 2" xfId="36369" xr:uid="{00000000-0005-0000-0000-0000A6480000}"/>
    <cellStyle name="Normal 4 7 4" xfId="28323" xr:uid="{00000000-0005-0000-0000-0000A7480000}"/>
    <cellStyle name="Normal 4 8" xfId="277" xr:uid="{00000000-0005-0000-0000-0000A8480000}"/>
    <cellStyle name="Normal 4 8 2" xfId="19795" xr:uid="{00000000-0005-0000-0000-0000A9480000}"/>
    <cellStyle name="Normal 4 8 2 2" xfId="36371" xr:uid="{00000000-0005-0000-0000-0000AA480000}"/>
    <cellStyle name="Normal 4 8 3" xfId="28325" xr:uid="{00000000-0005-0000-0000-0000AB480000}"/>
    <cellStyle name="Normal 4 9" xfId="28" xr:uid="{00000000-0005-0000-0000-0000AC480000}"/>
    <cellStyle name="Normal 40" xfId="4325" xr:uid="{00000000-0005-0000-0000-0000AD480000}"/>
    <cellStyle name="Normal 40 10" xfId="13881" xr:uid="{00000000-0005-0000-0000-0000AE480000}"/>
    <cellStyle name="Normal 40 10 2" xfId="30425" xr:uid="{00000000-0005-0000-0000-0000AF480000}"/>
    <cellStyle name="Normal 40 11" xfId="22382" xr:uid="{00000000-0005-0000-0000-0000B0480000}"/>
    <cellStyle name="Normal 40 2" xfId="4326" xr:uid="{00000000-0005-0000-0000-0000B1480000}"/>
    <cellStyle name="Normal 40 2 2" xfId="4327" xr:uid="{00000000-0005-0000-0000-0000B2480000}"/>
    <cellStyle name="Normal 40 2 3" xfId="13882" xr:uid="{00000000-0005-0000-0000-0000B3480000}"/>
    <cellStyle name="Normal 40 2 3 2" xfId="30426" xr:uid="{00000000-0005-0000-0000-0000B4480000}"/>
    <cellStyle name="Normal 40 2 4" xfId="22383" xr:uid="{00000000-0005-0000-0000-0000B5480000}"/>
    <cellStyle name="Normal 40 3" xfId="4328" xr:uid="{00000000-0005-0000-0000-0000B6480000}"/>
    <cellStyle name="Normal 40 3 2" xfId="4329" xr:uid="{00000000-0005-0000-0000-0000B7480000}"/>
    <cellStyle name="Normal 40 3 2 2" xfId="4330" xr:uid="{00000000-0005-0000-0000-0000B8480000}"/>
    <cellStyle name="Normal 40 3 2 2 2" xfId="4331" xr:uid="{00000000-0005-0000-0000-0000B9480000}"/>
    <cellStyle name="Normal 40 3 2 2 2 2" xfId="8363" xr:uid="{00000000-0005-0000-0000-0000BA480000}"/>
    <cellStyle name="Normal 40 3 2 2 2 2 2" xfId="17721" xr:uid="{00000000-0005-0000-0000-0000BB480000}"/>
    <cellStyle name="Normal 40 3 2 2 2 2 2 2" xfId="34295" xr:uid="{00000000-0005-0000-0000-0000BC480000}"/>
    <cellStyle name="Normal 40 3 2 2 2 2 3" xfId="26248" xr:uid="{00000000-0005-0000-0000-0000BD480000}"/>
    <cellStyle name="Normal 40 3 2 2 2 3" xfId="13885" xr:uid="{00000000-0005-0000-0000-0000BE480000}"/>
    <cellStyle name="Normal 40 3 2 2 2 3 2" xfId="30429" xr:uid="{00000000-0005-0000-0000-0000BF480000}"/>
    <cellStyle name="Normal 40 3 2 2 2 4" xfId="22386" xr:uid="{00000000-0005-0000-0000-0000C0480000}"/>
    <cellStyle name="Normal 40 3 2 2 3" xfId="8364" xr:uid="{00000000-0005-0000-0000-0000C1480000}"/>
    <cellStyle name="Normal 40 3 2 2 3 2" xfId="17722" xr:uid="{00000000-0005-0000-0000-0000C2480000}"/>
    <cellStyle name="Normal 40 3 2 2 3 2 2" xfId="34296" xr:uid="{00000000-0005-0000-0000-0000C3480000}"/>
    <cellStyle name="Normal 40 3 2 2 3 3" xfId="26249" xr:uid="{00000000-0005-0000-0000-0000C4480000}"/>
    <cellStyle name="Normal 40 3 2 2 4" xfId="13884" xr:uid="{00000000-0005-0000-0000-0000C5480000}"/>
    <cellStyle name="Normal 40 3 2 2 4 2" xfId="30428" xr:uid="{00000000-0005-0000-0000-0000C6480000}"/>
    <cellStyle name="Normal 40 3 2 2 5" xfId="22385" xr:uid="{00000000-0005-0000-0000-0000C7480000}"/>
    <cellStyle name="Normal 40 3 2 3" xfId="4332" xr:uid="{00000000-0005-0000-0000-0000C8480000}"/>
    <cellStyle name="Normal 40 3 2 3 2" xfId="8365" xr:uid="{00000000-0005-0000-0000-0000C9480000}"/>
    <cellStyle name="Normal 40 3 2 3 2 2" xfId="17723" xr:uid="{00000000-0005-0000-0000-0000CA480000}"/>
    <cellStyle name="Normal 40 3 2 3 2 2 2" xfId="34297" xr:uid="{00000000-0005-0000-0000-0000CB480000}"/>
    <cellStyle name="Normal 40 3 2 3 2 3" xfId="26250" xr:uid="{00000000-0005-0000-0000-0000CC480000}"/>
    <cellStyle name="Normal 40 3 2 3 3" xfId="13886" xr:uid="{00000000-0005-0000-0000-0000CD480000}"/>
    <cellStyle name="Normal 40 3 2 3 3 2" xfId="30430" xr:uid="{00000000-0005-0000-0000-0000CE480000}"/>
    <cellStyle name="Normal 40 3 2 3 4" xfId="22387" xr:uid="{00000000-0005-0000-0000-0000CF480000}"/>
    <cellStyle name="Normal 40 3 2 4" xfId="8366" xr:uid="{00000000-0005-0000-0000-0000D0480000}"/>
    <cellStyle name="Normal 40 3 2 4 2" xfId="17724" xr:uid="{00000000-0005-0000-0000-0000D1480000}"/>
    <cellStyle name="Normal 40 3 2 4 2 2" xfId="34298" xr:uid="{00000000-0005-0000-0000-0000D2480000}"/>
    <cellStyle name="Normal 40 3 2 4 3" xfId="26251" xr:uid="{00000000-0005-0000-0000-0000D3480000}"/>
    <cellStyle name="Normal 40 3 2 5" xfId="13883" xr:uid="{00000000-0005-0000-0000-0000D4480000}"/>
    <cellStyle name="Normal 40 3 2 5 2" xfId="30427" xr:uid="{00000000-0005-0000-0000-0000D5480000}"/>
    <cellStyle name="Normal 40 3 2 6" xfId="22384" xr:uid="{00000000-0005-0000-0000-0000D6480000}"/>
    <cellStyle name="Normal 40 3 3" xfId="4333" xr:uid="{00000000-0005-0000-0000-0000D7480000}"/>
    <cellStyle name="Normal 40 3 3 2" xfId="4334" xr:uid="{00000000-0005-0000-0000-0000D8480000}"/>
    <cellStyle name="Normal 40 3 3 2 2" xfId="8367" xr:uid="{00000000-0005-0000-0000-0000D9480000}"/>
    <cellStyle name="Normal 40 3 3 2 2 2" xfId="17725" xr:uid="{00000000-0005-0000-0000-0000DA480000}"/>
    <cellStyle name="Normal 40 3 3 2 2 2 2" xfId="34299" xr:uid="{00000000-0005-0000-0000-0000DB480000}"/>
    <cellStyle name="Normal 40 3 3 2 2 3" xfId="26252" xr:uid="{00000000-0005-0000-0000-0000DC480000}"/>
    <cellStyle name="Normal 40 3 3 2 3" xfId="13888" xr:uid="{00000000-0005-0000-0000-0000DD480000}"/>
    <cellStyle name="Normal 40 3 3 2 3 2" xfId="30432" xr:uid="{00000000-0005-0000-0000-0000DE480000}"/>
    <cellStyle name="Normal 40 3 3 2 4" xfId="22389" xr:uid="{00000000-0005-0000-0000-0000DF480000}"/>
    <cellStyle name="Normal 40 3 3 3" xfId="8368" xr:uid="{00000000-0005-0000-0000-0000E0480000}"/>
    <cellStyle name="Normal 40 3 3 3 2" xfId="17726" xr:uid="{00000000-0005-0000-0000-0000E1480000}"/>
    <cellStyle name="Normal 40 3 3 3 2 2" xfId="34300" xr:uid="{00000000-0005-0000-0000-0000E2480000}"/>
    <cellStyle name="Normal 40 3 3 3 3" xfId="26253" xr:uid="{00000000-0005-0000-0000-0000E3480000}"/>
    <cellStyle name="Normal 40 3 3 4" xfId="13887" xr:uid="{00000000-0005-0000-0000-0000E4480000}"/>
    <cellStyle name="Normal 40 3 3 4 2" xfId="30431" xr:uid="{00000000-0005-0000-0000-0000E5480000}"/>
    <cellStyle name="Normal 40 3 3 5" xfId="22388" xr:uid="{00000000-0005-0000-0000-0000E6480000}"/>
    <cellStyle name="Normal 40 3 4" xfId="4335" xr:uid="{00000000-0005-0000-0000-0000E7480000}"/>
    <cellStyle name="Normal 40 3 4 2" xfId="8369" xr:uid="{00000000-0005-0000-0000-0000E8480000}"/>
    <cellStyle name="Normal 40 3 4 2 2" xfId="17727" xr:uid="{00000000-0005-0000-0000-0000E9480000}"/>
    <cellStyle name="Normal 40 3 4 2 2 2" xfId="34301" xr:uid="{00000000-0005-0000-0000-0000EA480000}"/>
    <cellStyle name="Normal 40 3 4 2 3" xfId="26254" xr:uid="{00000000-0005-0000-0000-0000EB480000}"/>
    <cellStyle name="Normal 40 3 4 3" xfId="13889" xr:uid="{00000000-0005-0000-0000-0000EC480000}"/>
    <cellStyle name="Normal 40 3 4 3 2" xfId="30433" xr:uid="{00000000-0005-0000-0000-0000ED480000}"/>
    <cellStyle name="Normal 40 3 4 4" xfId="22390" xr:uid="{00000000-0005-0000-0000-0000EE480000}"/>
    <cellStyle name="Normal 40 3 5" xfId="4336" xr:uid="{00000000-0005-0000-0000-0000EF480000}"/>
    <cellStyle name="Normal 40 3 5 2" xfId="13890" xr:uid="{00000000-0005-0000-0000-0000F0480000}"/>
    <cellStyle name="Normal 40 3 5 2 2" xfId="30434" xr:uid="{00000000-0005-0000-0000-0000F1480000}"/>
    <cellStyle name="Normal 40 3 5 3" xfId="22391" xr:uid="{00000000-0005-0000-0000-0000F2480000}"/>
    <cellStyle name="Normal 40 4" xfId="4337" xr:uid="{00000000-0005-0000-0000-0000F3480000}"/>
    <cellStyle name="Normal 40 4 2" xfId="4338" xr:uid="{00000000-0005-0000-0000-0000F4480000}"/>
    <cellStyle name="Normal 40 4 2 2" xfId="4339" xr:uid="{00000000-0005-0000-0000-0000F5480000}"/>
    <cellStyle name="Normal 40 4 2 2 2" xfId="4340" xr:uid="{00000000-0005-0000-0000-0000F6480000}"/>
    <cellStyle name="Normal 40 4 2 2 2 2" xfId="8370" xr:uid="{00000000-0005-0000-0000-0000F7480000}"/>
    <cellStyle name="Normal 40 4 2 2 2 2 2" xfId="17728" xr:uid="{00000000-0005-0000-0000-0000F8480000}"/>
    <cellStyle name="Normal 40 4 2 2 2 2 2 2" xfId="34302" xr:uid="{00000000-0005-0000-0000-0000F9480000}"/>
    <cellStyle name="Normal 40 4 2 2 2 2 3" xfId="26255" xr:uid="{00000000-0005-0000-0000-0000FA480000}"/>
    <cellStyle name="Normal 40 4 2 2 2 3" xfId="13894" xr:uid="{00000000-0005-0000-0000-0000FB480000}"/>
    <cellStyle name="Normal 40 4 2 2 2 3 2" xfId="30438" xr:uid="{00000000-0005-0000-0000-0000FC480000}"/>
    <cellStyle name="Normal 40 4 2 2 2 4" xfId="22395" xr:uid="{00000000-0005-0000-0000-0000FD480000}"/>
    <cellStyle name="Normal 40 4 2 2 3" xfId="8371" xr:uid="{00000000-0005-0000-0000-0000FE480000}"/>
    <cellStyle name="Normal 40 4 2 2 3 2" xfId="17729" xr:uid="{00000000-0005-0000-0000-0000FF480000}"/>
    <cellStyle name="Normal 40 4 2 2 3 2 2" xfId="34303" xr:uid="{00000000-0005-0000-0000-000000490000}"/>
    <cellStyle name="Normal 40 4 2 2 3 3" xfId="26256" xr:uid="{00000000-0005-0000-0000-000001490000}"/>
    <cellStyle name="Normal 40 4 2 2 4" xfId="13893" xr:uid="{00000000-0005-0000-0000-000002490000}"/>
    <cellStyle name="Normal 40 4 2 2 4 2" xfId="30437" xr:uid="{00000000-0005-0000-0000-000003490000}"/>
    <cellStyle name="Normal 40 4 2 2 5" xfId="22394" xr:uid="{00000000-0005-0000-0000-000004490000}"/>
    <cellStyle name="Normal 40 4 2 3" xfId="4341" xr:uid="{00000000-0005-0000-0000-000005490000}"/>
    <cellStyle name="Normal 40 4 2 3 2" xfId="8372" xr:uid="{00000000-0005-0000-0000-000006490000}"/>
    <cellStyle name="Normal 40 4 2 3 2 2" xfId="17730" xr:uid="{00000000-0005-0000-0000-000007490000}"/>
    <cellStyle name="Normal 40 4 2 3 2 2 2" xfId="34304" xr:uid="{00000000-0005-0000-0000-000008490000}"/>
    <cellStyle name="Normal 40 4 2 3 2 3" xfId="26257" xr:uid="{00000000-0005-0000-0000-000009490000}"/>
    <cellStyle name="Normal 40 4 2 3 3" xfId="13895" xr:uid="{00000000-0005-0000-0000-00000A490000}"/>
    <cellStyle name="Normal 40 4 2 3 3 2" xfId="30439" xr:uid="{00000000-0005-0000-0000-00000B490000}"/>
    <cellStyle name="Normal 40 4 2 3 4" xfId="22396" xr:uid="{00000000-0005-0000-0000-00000C490000}"/>
    <cellStyle name="Normal 40 4 2 4" xfId="8373" xr:uid="{00000000-0005-0000-0000-00000D490000}"/>
    <cellStyle name="Normal 40 4 2 4 2" xfId="17731" xr:uid="{00000000-0005-0000-0000-00000E490000}"/>
    <cellStyle name="Normal 40 4 2 4 2 2" xfId="34305" xr:uid="{00000000-0005-0000-0000-00000F490000}"/>
    <cellStyle name="Normal 40 4 2 4 3" xfId="26258" xr:uid="{00000000-0005-0000-0000-000010490000}"/>
    <cellStyle name="Normal 40 4 2 5" xfId="13892" xr:uid="{00000000-0005-0000-0000-000011490000}"/>
    <cellStyle name="Normal 40 4 2 5 2" xfId="30436" xr:uid="{00000000-0005-0000-0000-000012490000}"/>
    <cellStyle name="Normal 40 4 2 6" xfId="22393" xr:uid="{00000000-0005-0000-0000-000013490000}"/>
    <cellStyle name="Normal 40 4 3" xfId="4342" xr:uid="{00000000-0005-0000-0000-000014490000}"/>
    <cellStyle name="Normal 40 4 3 2" xfId="4343" xr:uid="{00000000-0005-0000-0000-000015490000}"/>
    <cellStyle name="Normal 40 4 3 2 2" xfId="8374" xr:uid="{00000000-0005-0000-0000-000016490000}"/>
    <cellStyle name="Normal 40 4 3 2 2 2" xfId="17732" xr:uid="{00000000-0005-0000-0000-000017490000}"/>
    <cellStyle name="Normal 40 4 3 2 2 2 2" xfId="34306" xr:uid="{00000000-0005-0000-0000-000018490000}"/>
    <cellStyle name="Normal 40 4 3 2 2 3" xfId="26259" xr:uid="{00000000-0005-0000-0000-000019490000}"/>
    <cellStyle name="Normal 40 4 3 2 3" xfId="13897" xr:uid="{00000000-0005-0000-0000-00001A490000}"/>
    <cellStyle name="Normal 40 4 3 2 3 2" xfId="30441" xr:uid="{00000000-0005-0000-0000-00001B490000}"/>
    <cellStyle name="Normal 40 4 3 2 4" xfId="22398" xr:uid="{00000000-0005-0000-0000-00001C490000}"/>
    <cellStyle name="Normal 40 4 3 3" xfId="8375" xr:uid="{00000000-0005-0000-0000-00001D490000}"/>
    <cellStyle name="Normal 40 4 3 3 2" xfId="17733" xr:uid="{00000000-0005-0000-0000-00001E490000}"/>
    <cellStyle name="Normal 40 4 3 3 2 2" xfId="34307" xr:uid="{00000000-0005-0000-0000-00001F490000}"/>
    <cellStyle name="Normal 40 4 3 3 3" xfId="26260" xr:uid="{00000000-0005-0000-0000-000020490000}"/>
    <cellStyle name="Normal 40 4 3 4" xfId="13896" xr:uid="{00000000-0005-0000-0000-000021490000}"/>
    <cellStyle name="Normal 40 4 3 4 2" xfId="30440" xr:uid="{00000000-0005-0000-0000-000022490000}"/>
    <cellStyle name="Normal 40 4 3 5" xfId="22397" xr:uid="{00000000-0005-0000-0000-000023490000}"/>
    <cellStyle name="Normal 40 4 4" xfId="4344" xr:uid="{00000000-0005-0000-0000-000024490000}"/>
    <cellStyle name="Normal 40 4 4 2" xfId="8376" xr:uid="{00000000-0005-0000-0000-000025490000}"/>
    <cellStyle name="Normal 40 4 4 2 2" xfId="17734" xr:uid="{00000000-0005-0000-0000-000026490000}"/>
    <cellStyle name="Normal 40 4 4 2 2 2" xfId="34308" xr:uid="{00000000-0005-0000-0000-000027490000}"/>
    <cellStyle name="Normal 40 4 4 2 3" xfId="26261" xr:uid="{00000000-0005-0000-0000-000028490000}"/>
    <cellStyle name="Normal 40 4 4 3" xfId="13898" xr:uid="{00000000-0005-0000-0000-000029490000}"/>
    <cellStyle name="Normal 40 4 4 3 2" xfId="30442" xr:uid="{00000000-0005-0000-0000-00002A490000}"/>
    <cellStyle name="Normal 40 4 4 4" xfId="22399" xr:uid="{00000000-0005-0000-0000-00002B490000}"/>
    <cellStyle name="Normal 40 4 5" xfId="8377" xr:uid="{00000000-0005-0000-0000-00002C490000}"/>
    <cellStyle name="Normal 40 4 5 2" xfId="17735" xr:uid="{00000000-0005-0000-0000-00002D490000}"/>
    <cellStyle name="Normal 40 4 5 2 2" xfId="34309" xr:uid="{00000000-0005-0000-0000-00002E490000}"/>
    <cellStyle name="Normal 40 4 5 3" xfId="26262" xr:uid="{00000000-0005-0000-0000-00002F490000}"/>
    <cellStyle name="Normal 40 4 6" xfId="13891" xr:uid="{00000000-0005-0000-0000-000030490000}"/>
    <cellStyle name="Normal 40 4 6 2" xfId="30435" xr:uid="{00000000-0005-0000-0000-000031490000}"/>
    <cellStyle name="Normal 40 4 7" xfId="22392" xr:uid="{00000000-0005-0000-0000-000032490000}"/>
    <cellStyle name="Normal 40 5" xfId="4345" xr:uid="{00000000-0005-0000-0000-000033490000}"/>
    <cellStyle name="Normal 40 5 2" xfId="4346" xr:uid="{00000000-0005-0000-0000-000034490000}"/>
    <cellStyle name="Normal 40 5 2 2" xfId="4347" xr:uid="{00000000-0005-0000-0000-000035490000}"/>
    <cellStyle name="Normal 40 5 2 2 2" xfId="4348" xr:uid="{00000000-0005-0000-0000-000036490000}"/>
    <cellStyle name="Normal 40 5 2 2 2 2" xfId="8378" xr:uid="{00000000-0005-0000-0000-000037490000}"/>
    <cellStyle name="Normal 40 5 2 2 2 2 2" xfId="17736" xr:uid="{00000000-0005-0000-0000-000038490000}"/>
    <cellStyle name="Normal 40 5 2 2 2 2 2 2" xfId="34310" xr:uid="{00000000-0005-0000-0000-000039490000}"/>
    <cellStyle name="Normal 40 5 2 2 2 2 3" xfId="26263" xr:uid="{00000000-0005-0000-0000-00003A490000}"/>
    <cellStyle name="Normal 40 5 2 2 2 3" xfId="13902" xr:uid="{00000000-0005-0000-0000-00003B490000}"/>
    <cellStyle name="Normal 40 5 2 2 2 3 2" xfId="30446" xr:uid="{00000000-0005-0000-0000-00003C490000}"/>
    <cellStyle name="Normal 40 5 2 2 2 4" xfId="22403" xr:uid="{00000000-0005-0000-0000-00003D490000}"/>
    <cellStyle name="Normal 40 5 2 2 3" xfId="8379" xr:uid="{00000000-0005-0000-0000-00003E490000}"/>
    <cellStyle name="Normal 40 5 2 2 3 2" xfId="17737" xr:uid="{00000000-0005-0000-0000-00003F490000}"/>
    <cellStyle name="Normal 40 5 2 2 3 2 2" xfId="34311" xr:uid="{00000000-0005-0000-0000-000040490000}"/>
    <cellStyle name="Normal 40 5 2 2 3 3" xfId="26264" xr:uid="{00000000-0005-0000-0000-000041490000}"/>
    <cellStyle name="Normal 40 5 2 2 4" xfId="13901" xr:uid="{00000000-0005-0000-0000-000042490000}"/>
    <cellStyle name="Normal 40 5 2 2 4 2" xfId="30445" xr:uid="{00000000-0005-0000-0000-000043490000}"/>
    <cellStyle name="Normal 40 5 2 2 5" xfId="22402" xr:uid="{00000000-0005-0000-0000-000044490000}"/>
    <cellStyle name="Normal 40 5 2 3" xfId="4349" xr:uid="{00000000-0005-0000-0000-000045490000}"/>
    <cellStyle name="Normal 40 5 2 3 2" xfId="8380" xr:uid="{00000000-0005-0000-0000-000046490000}"/>
    <cellStyle name="Normal 40 5 2 3 2 2" xfId="17738" xr:uid="{00000000-0005-0000-0000-000047490000}"/>
    <cellStyle name="Normal 40 5 2 3 2 2 2" xfId="34312" xr:uid="{00000000-0005-0000-0000-000048490000}"/>
    <cellStyle name="Normal 40 5 2 3 2 3" xfId="26265" xr:uid="{00000000-0005-0000-0000-000049490000}"/>
    <cellStyle name="Normal 40 5 2 3 3" xfId="13903" xr:uid="{00000000-0005-0000-0000-00004A490000}"/>
    <cellStyle name="Normal 40 5 2 3 3 2" xfId="30447" xr:uid="{00000000-0005-0000-0000-00004B490000}"/>
    <cellStyle name="Normal 40 5 2 3 4" xfId="22404" xr:uid="{00000000-0005-0000-0000-00004C490000}"/>
    <cellStyle name="Normal 40 5 2 4" xfId="8381" xr:uid="{00000000-0005-0000-0000-00004D490000}"/>
    <cellStyle name="Normal 40 5 2 4 2" xfId="17739" xr:uid="{00000000-0005-0000-0000-00004E490000}"/>
    <cellStyle name="Normal 40 5 2 4 2 2" xfId="34313" xr:uid="{00000000-0005-0000-0000-00004F490000}"/>
    <cellStyle name="Normal 40 5 2 4 3" xfId="26266" xr:uid="{00000000-0005-0000-0000-000050490000}"/>
    <cellStyle name="Normal 40 5 2 5" xfId="13900" xr:uid="{00000000-0005-0000-0000-000051490000}"/>
    <cellStyle name="Normal 40 5 2 5 2" xfId="30444" xr:uid="{00000000-0005-0000-0000-000052490000}"/>
    <cellStyle name="Normal 40 5 2 6" xfId="22401" xr:uid="{00000000-0005-0000-0000-000053490000}"/>
    <cellStyle name="Normal 40 5 3" xfId="4350" xr:uid="{00000000-0005-0000-0000-000054490000}"/>
    <cellStyle name="Normal 40 5 3 2" xfId="4351" xr:uid="{00000000-0005-0000-0000-000055490000}"/>
    <cellStyle name="Normal 40 5 3 2 2" xfId="8382" xr:uid="{00000000-0005-0000-0000-000056490000}"/>
    <cellStyle name="Normal 40 5 3 2 2 2" xfId="17740" xr:uid="{00000000-0005-0000-0000-000057490000}"/>
    <cellStyle name="Normal 40 5 3 2 2 2 2" xfId="34314" xr:uid="{00000000-0005-0000-0000-000058490000}"/>
    <cellStyle name="Normal 40 5 3 2 2 3" xfId="26267" xr:uid="{00000000-0005-0000-0000-000059490000}"/>
    <cellStyle name="Normal 40 5 3 2 3" xfId="13905" xr:uid="{00000000-0005-0000-0000-00005A490000}"/>
    <cellStyle name="Normal 40 5 3 2 3 2" xfId="30449" xr:uid="{00000000-0005-0000-0000-00005B490000}"/>
    <cellStyle name="Normal 40 5 3 2 4" xfId="22406" xr:uid="{00000000-0005-0000-0000-00005C490000}"/>
    <cellStyle name="Normal 40 5 3 3" xfId="8383" xr:uid="{00000000-0005-0000-0000-00005D490000}"/>
    <cellStyle name="Normal 40 5 3 3 2" xfId="17741" xr:uid="{00000000-0005-0000-0000-00005E490000}"/>
    <cellStyle name="Normal 40 5 3 3 2 2" xfId="34315" xr:uid="{00000000-0005-0000-0000-00005F490000}"/>
    <cellStyle name="Normal 40 5 3 3 3" xfId="26268" xr:uid="{00000000-0005-0000-0000-000060490000}"/>
    <cellStyle name="Normal 40 5 3 4" xfId="13904" xr:uid="{00000000-0005-0000-0000-000061490000}"/>
    <cellStyle name="Normal 40 5 3 4 2" xfId="30448" xr:uid="{00000000-0005-0000-0000-000062490000}"/>
    <cellStyle name="Normal 40 5 3 5" xfId="22405" xr:uid="{00000000-0005-0000-0000-000063490000}"/>
    <cellStyle name="Normal 40 5 4" xfId="4352" xr:uid="{00000000-0005-0000-0000-000064490000}"/>
    <cellStyle name="Normal 40 5 4 2" xfId="8384" xr:uid="{00000000-0005-0000-0000-000065490000}"/>
    <cellStyle name="Normal 40 5 4 2 2" xfId="17742" xr:uid="{00000000-0005-0000-0000-000066490000}"/>
    <cellStyle name="Normal 40 5 4 2 2 2" xfId="34316" xr:uid="{00000000-0005-0000-0000-000067490000}"/>
    <cellStyle name="Normal 40 5 4 2 3" xfId="26269" xr:uid="{00000000-0005-0000-0000-000068490000}"/>
    <cellStyle name="Normal 40 5 4 3" xfId="13906" xr:uid="{00000000-0005-0000-0000-000069490000}"/>
    <cellStyle name="Normal 40 5 4 3 2" xfId="30450" xr:uid="{00000000-0005-0000-0000-00006A490000}"/>
    <cellStyle name="Normal 40 5 4 4" xfId="22407" xr:uid="{00000000-0005-0000-0000-00006B490000}"/>
    <cellStyle name="Normal 40 5 5" xfId="8385" xr:uid="{00000000-0005-0000-0000-00006C490000}"/>
    <cellStyle name="Normal 40 5 5 2" xfId="17743" xr:uid="{00000000-0005-0000-0000-00006D490000}"/>
    <cellStyle name="Normal 40 5 5 2 2" xfId="34317" xr:uid="{00000000-0005-0000-0000-00006E490000}"/>
    <cellStyle name="Normal 40 5 5 3" xfId="26270" xr:uid="{00000000-0005-0000-0000-00006F490000}"/>
    <cellStyle name="Normal 40 5 6" xfId="13899" xr:uid="{00000000-0005-0000-0000-000070490000}"/>
    <cellStyle name="Normal 40 5 6 2" xfId="30443" xr:uid="{00000000-0005-0000-0000-000071490000}"/>
    <cellStyle name="Normal 40 5 7" xfId="22400" xr:uid="{00000000-0005-0000-0000-000072490000}"/>
    <cellStyle name="Normal 40 6" xfId="4353" xr:uid="{00000000-0005-0000-0000-000073490000}"/>
    <cellStyle name="Normal 40 6 2" xfId="4354" xr:uid="{00000000-0005-0000-0000-000074490000}"/>
    <cellStyle name="Normal 40 6 2 2" xfId="4355" xr:uid="{00000000-0005-0000-0000-000075490000}"/>
    <cellStyle name="Normal 40 6 2 2 2" xfId="8386" xr:uid="{00000000-0005-0000-0000-000076490000}"/>
    <cellStyle name="Normal 40 6 2 2 2 2" xfId="17744" xr:uid="{00000000-0005-0000-0000-000077490000}"/>
    <cellStyle name="Normal 40 6 2 2 2 2 2" xfId="34318" xr:uid="{00000000-0005-0000-0000-000078490000}"/>
    <cellStyle name="Normal 40 6 2 2 2 3" xfId="26271" xr:uid="{00000000-0005-0000-0000-000079490000}"/>
    <cellStyle name="Normal 40 6 2 2 3" xfId="13909" xr:uid="{00000000-0005-0000-0000-00007A490000}"/>
    <cellStyle name="Normal 40 6 2 2 3 2" xfId="30453" xr:uid="{00000000-0005-0000-0000-00007B490000}"/>
    <cellStyle name="Normal 40 6 2 2 4" xfId="22410" xr:uid="{00000000-0005-0000-0000-00007C490000}"/>
    <cellStyle name="Normal 40 6 2 3" xfId="8387" xr:uid="{00000000-0005-0000-0000-00007D490000}"/>
    <cellStyle name="Normal 40 6 2 3 2" xfId="17745" xr:uid="{00000000-0005-0000-0000-00007E490000}"/>
    <cellStyle name="Normal 40 6 2 3 2 2" xfId="34319" xr:uid="{00000000-0005-0000-0000-00007F490000}"/>
    <cellStyle name="Normal 40 6 2 3 3" xfId="26272" xr:uid="{00000000-0005-0000-0000-000080490000}"/>
    <cellStyle name="Normal 40 6 2 4" xfId="13908" xr:uid="{00000000-0005-0000-0000-000081490000}"/>
    <cellStyle name="Normal 40 6 2 4 2" xfId="30452" xr:uid="{00000000-0005-0000-0000-000082490000}"/>
    <cellStyle name="Normal 40 6 2 5" xfId="22409" xr:uid="{00000000-0005-0000-0000-000083490000}"/>
    <cellStyle name="Normal 40 6 3" xfId="4356" xr:uid="{00000000-0005-0000-0000-000084490000}"/>
    <cellStyle name="Normal 40 6 3 2" xfId="8388" xr:uid="{00000000-0005-0000-0000-000085490000}"/>
    <cellStyle name="Normal 40 6 3 2 2" xfId="17746" xr:uid="{00000000-0005-0000-0000-000086490000}"/>
    <cellStyle name="Normal 40 6 3 2 2 2" xfId="34320" xr:uid="{00000000-0005-0000-0000-000087490000}"/>
    <cellStyle name="Normal 40 6 3 2 3" xfId="26273" xr:uid="{00000000-0005-0000-0000-000088490000}"/>
    <cellStyle name="Normal 40 6 3 3" xfId="13910" xr:uid="{00000000-0005-0000-0000-000089490000}"/>
    <cellStyle name="Normal 40 6 3 3 2" xfId="30454" xr:uid="{00000000-0005-0000-0000-00008A490000}"/>
    <cellStyle name="Normal 40 6 3 4" xfId="22411" xr:uid="{00000000-0005-0000-0000-00008B490000}"/>
    <cellStyle name="Normal 40 6 4" xfId="8389" xr:uid="{00000000-0005-0000-0000-00008C490000}"/>
    <cellStyle name="Normal 40 6 4 2" xfId="17747" xr:uid="{00000000-0005-0000-0000-00008D490000}"/>
    <cellStyle name="Normal 40 6 4 2 2" xfId="34321" xr:uid="{00000000-0005-0000-0000-00008E490000}"/>
    <cellStyle name="Normal 40 6 4 3" xfId="26274" xr:uid="{00000000-0005-0000-0000-00008F490000}"/>
    <cellStyle name="Normal 40 6 5" xfId="13907" xr:uid="{00000000-0005-0000-0000-000090490000}"/>
    <cellStyle name="Normal 40 6 5 2" xfId="30451" xr:uid="{00000000-0005-0000-0000-000091490000}"/>
    <cellStyle name="Normal 40 6 6" xfId="22408" xr:uid="{00000000-0005-0000-0000-000092490000}"/>
    <cellStyle name="Normal 40 7" xfId="4357" xr:uid="{00000000-0005-0000-0000-000093490000}"/>
    <cellStyle name="Normal 40 7 2" xfId="4358" xr:uid="{00000000-0005-0000-0000-000094490000}"/>
    <cellStyle name="Normal 40 7 2 2" xfId="8390" xr:uid="{00000000-0005-0000-0000-000095490000}"/>
    <cellStyle name="Normal 40 7 2 2 2" xfId="17748" xr:uid="{00000000-0005-0000-0000-000096490000}"/>
    <cellStyle name="Normal 40 7 2 2 2 2" xfId="34322" xr:uid="{00000000-0005-0000-0000-000097490000}"/>
    <cellStyle name="Normal 40 7 2 2 3" xfId="26275" xr:uid="{00000000-0005-0000-0000-000098490000}"/>
    <cellStyle name="Normal 40 7 2 3" xfId="13912" xr:uid="{00000000-0005-0000-0000-000099490000}"/>
    <cellStyle name="Normal 40 7 2 3 2" xfId="30456" xr:uid="{00000000-0005-0000-0000-00009A490000}"/>
    <cellStyle name="Normal 40 7 2 4" xfId="22413" xr:uid="{00000000-0005-0000-0000-00009B490000}"/>
    <cellStyle name="Normal 40 7 3" xfId="8391" xr:uid="{00000000-0005-0000-0000-00009C490000}"/>
    <cellStyle name="Normal 40 7 3 2" xfId="17749" xr:uid="{00000000-0005-0000-0000-00009D490000}"/>
    <cellStyle name="Normal 40 7 3 2 2" xfId="34323" xr:uid="{00000000-0005-0000-0000-00009E490000}"/>
    <cellStyle name="Normal 40 7 3 3" xfId="26276" xr:uid="{00000000-0005-0000-0000-00009F490000}"/>
    <cellStyle name="Normal 40 7 4" xfId="13911" xr:uid="{00000000-0005-0000-0000-0000A0490000}"/>
    <cellStyle name="Normal 40 7 4 2" xfId="30455" xr:uid="{00000000-0005-0000-0000-0000A1490000}"/>
    <cellStyle name="Normal 40 7 5" xfId="22412" xr:uid="{00000000-0005-0000-0000-0000A2490000}"/>
    <cellStyle name="Normal 40 8" xfId="4359" xr:uid="{00000000-0005-0000-0000-0000A3490000}"/>
    <cellStyle name="Normal 40 8 2" xfId="8392" xr:uid="{00000000-0005-0000-0000-0000A4490000}"/>
    <cellStyle name="Normal 40 8 2 2" xfId="17750" xr:uid="{00000000-0005-0000-0000-0000A5490000}"/>
    <cellStyle name="Normal 40 8 2 2 2" xfId="34324" xr:uid="{00000000-0005-0000-0000-0000A6490000}"/>
    <cellStyle name="Normal 40 8 2 3" xfId="26277" xr:uid="{00000000-0005-0000-0000-0000A7490000}"/>
    <cellStyle name="Normal 40 8 3" xfId="13913" xr:uid="{00000000-0005-0000-0000-0000A8490000}"/>
    <cellStyle name="Normal 40 8 3 2" xfId="30457" xr:uid="{00000000-0005-0000-0000-0000A9490000}"/>
    <cellStyle name="Normal 40 8 4" xfId="22414" xr:uid="{00000000-0005-0000-0000-0000AA490000}"/>
    <cellStyle name="Normal 40 9" xfId="8393" xr:uid="{00000000-0005-0000-0000-0000AB490000}"/>
    <cellStyle name="Normal 40 9 2" xfId="17751" xr:uid="{00000000-0005-0000-0000-0000AC490000}"/>
    <cellStyle name="Normal 40 9 2 2" xfId="34325" xr:uid="{00000000-0005-0000-0000-0000AD490000}"/>
    <cellStyle name="Normal 40 9 3" xfId="26278" xr:uid="{00000000-0005-0000-0000-0000AE490000}"/>
    <cellStyle name="Normal 41" xfId="4360" xr:uid="{00000000-0005-0000-0000-0000AF490000}"/>
    <cellStyle name="Normal 41 10" xfId="13914" xr:uid="{00000000-0005-0000-0000-0000B0490000}"/>
    <cellStyle name="Normal 41 10 2" xfId="30458" xr:uid="{00000000-0005-0000-0000-0000B1490000}"/>
    <cellStyle name="Normal 41 11" xfId="22415" xr:uid="{00000000-0005-0000-0000-0000B2490000}"/>
    <cellStyle name="Normal 41 2" xfId="4361" xr:uid="{00000000-0005-0000-0000-0000B3490000}"/>
    <cellStyle name="Normal 41 2 2" xfId="4362" xr:uid="{00000000-0005-0000-0000-0000B4490000}"/>
    <cellStyle name="Normal 41 2 3" xfId="13915" xr:uid="{00000000-0005-0000-0000-0000B5490000}"/>
    <cellStyle name="Normal 41 2 3 2" xfId="30459" xr:uid="{00000000-0005-0000-0000-0000B6490000}"/>
    <cellStyle name="Normal 41 2 4" xfId="22416" xr:uid="{00000000-0005-0000-0000-0000B7490000}"/>
    <cellStyle name="Normal 41 3" xfId="4363" xr:uid="{00000000-0005-0000-0000-0000B8490000}"/>
    <cellStyle name="Normal 41 3 2" xfId="4364" xr:uid="{00000000-0005-0000-0000-0000B9490000}"/>
    <cellStyle name="Normal 41 3 2 2" xfId="4365" xr:uid="{00000000-0005-0000-0000-0000BA490000}"/>
    <cellStyle name="Normal 41 3 2 2 2" xfId="4366" xr:uid="{00000000-0005-0000-0000-0000BB490000}"/>
    <cellStyle name="Normal 41 3 2 2 2 2" xfId="8394" xr:uid="{00000000-0005-0000-0000-0000BC490000}"/>
    <cellStyle name="Normal 41 3 2 2 2 2 2" xfId="17752" xr:uid="{00000000-0005-0000-0000-0000BD490000}"/>
    <cellStyle name="Normal 41 3 2 2 2 2 2 2" xfId="34326" xr:uid="{00000000-0005-0000-0000-0000BE490000}"/>
    <cellStyle name="Normal 41 3 2 2 2 2 3" xfId="26279" xr:uid="{00000000-0005-0000-0000-0000BF490000}"/>
    <cellStyle name="Normal 41 3 2 2 2 3" xfId="13918" xr:uid="{00000000-0005-0000-0000-0000C0490000}"/>
    <cellStyle name="Normal 41 3 2 2 2 3 2" xfId="30462" xr:uid="{00000000-0005-0000-0000-0000C1490000}"/>
    <cellStyle name="Normal 41 3 2 2 2 4" xfId="22419" xr:uid="{00000000-0005-0000-0000-0000C2490000}"/>
    <cellStyle name="Normal 41 3 2 2 3" xfId="8395" xr:uid="{00000000-0005-0000-0000-0000C3490000}"/>
    <cellStyle name="Normal 41 3 2 2 3 2" xfId="17753" xr:uid="{00000000-0005-0000-0000-0000C4490000}"/>
    <cellStyle name="Normal 41 3 2 2 3 2 2" xfId="34327" xr:uid="{00000000-0005-0000-0000-0000C5490000}"/>
    <cellStyle name="Normal 41 3 2 2 3 3" xfId="26280" xr:uid="{00000000-0005-0000-0000-0000C6490000}"/>
    <cellStyle name="Normal 41 3 2 2 4" xfId="13917" xr:uid="{00000000-0005-0000-0000-0000C7490000}"/>
    <cellStyle name="Normal 41 3 2 2 4 2" xfId="30461" xr:uid="{00000000-0005-0000-0000-0000C8490000}"/>
    <cellStyle name="Normal 41 3 2 2 5" xfId="22418" xr:uid="{00000000-0005-0000-0000-0000C9490000}"/>
    <cellStyle name="Normal 41 3 2 3" xfId="4367" xr:uid="{00000000-0005-0000-0000-0000CA490000}"/>
    <cellStyle name="Normal 41 3 2 3 2" xfId="8396" xr:uid="{00000000-0005-0000-0000-0000CB490000}"/>
    <cellStyle name="Normal 41 3 2 3 2 2" xfId="17754" xr:uid="{00000000-0005-0000-0000-0000CC490000}"/>
    <cellStyle name="Normal 41 3 2 3 2 2 2" xfId="34328" xr:uid="{00000000-0005-0000-0000-0000CD490000}"/>
    <cellStyle name="Normal 41 3 2 3 2 3" xfId="26281" xr:uid="{00000000-0005-0000-0000-0000CE490000}"/>
    <cellStyle name="Normal 41 3 2 3 3" xfId="13919" xr:uid="{00000000-0005-0000-0000-0000CF490000}"/>
    <cellStyle name="Normal 41 3 2 3 3 2" xfId="30463" xr:uid="{00000000-0005-0000-0000-0000D0490000}"/>
    <cellStyle name="Normal 41 3 2 3 4" xfId="22420" xr:uid="{00000000-0005-0000-0000-0000D1490000}"/>
    <cellStyle name="Normal 41 3 2 4" xfId="8397" xr:uid="{00000000-0005-0000-0000-0000D2490000}"/>
    <cellStyle name="Normal 41 3 2 4 2" xfId="17755" xr:uid="{00000000-0005-0000-0000-0000D3490000}"/>
    <cellStyle name="Normal 41 3 2 4 2 2" xfId="34329" xr:uid="{00000000-0005-0000-0000-0000D4490000}"/>
    <cellStyle name="Normal 41 3 2 4 3" xfId="26282" xr:uid="{00000000-0005-0000-0000-0000D5490000}"/>
    <cellStyle name="Normal 41 3 2 5" xfId="13916" xr:uid="{00000000-0005-0000-0000-0000D6490000}"/>
    <cellStyle name="Normal 41 3 2 5 2" xfId="30460" xr:uid="{00000000-0005-0000-0000-0000D7490000}"/>
    <cellStyle name="Normal 41 3 2 6" xfId="22417" xr:uid="{00000000-0005-0000-0000-0000D8490000}"/>
    <cellStyle name="Normal 41 3 3" xfId="4368" xr:uid="{00000000-0005-0000-0000-0000D9490000}"/>
    <cellStyle name="Normal 41 3 3 2" xfId="4369" xr:uid="{00000000-0005-0000-0000-0000DA490000}"/>
    <cellStyle name="Normal 41 3 3 2 2" xfId="8398" xr:uid="{00000000-0005-0000-0000-0000DB490000}"/>
    <cellStyle name="Normal 41 3 3 2 2 2" xfId="17756" xr:uid="{00000000-0005-0000-0000-0000DC490000}"/>
    <cellStyle name="Normal 41 3 3 2 2 2 2" xfId="34330" xr:uid="{00000000-0005-0000-0000-0000DD490000}"/>
    <cellStyle name="Normal 41 3 3 2 2 3" xfId="26283" xr:uid="{00000000-0005-0000-0000-0000DE490000}"/>
    <cellStyle name="Normal 41 3 3 2 3" xfId="13921" xr:uid="{00000000-0005-0000-0000-0000DF490000}"/>
    <cellStyle name="Normal 41 3 3 2 3 2" xfId="30465" xr:uid="{00000000-0005-0000-0000-0000E0490000}"/>
    <cellStyle name="Normal 41 3 3 2 4" xfId="22422" xr:uid="{00000000-0005-0000-0000-0000E1490000}"/>
    <cellStyle name="Normal 41 3 3 3" xfId="8399" xr:uid="{00000000-0005-0000-0000-0000E2490000}"/>
    <cellStyle name="Normal 41 3 3 3 2" xfId="17757" xr:uid="{00000000-0005-0000-0000-0000E3490000}"/>
    <cellStyle name="Normal 41 3 3 3 2 2" xfId="34331" xr:uid="{00000000-0005-0000-0000-0000E4490000}"/>
    <cellStyle name="Normal 41 3 3 3 3" xfId="26284" xr:uid="{00000000-0005-0000-0000-0000E5490000}"/>
    <cellStyle name="Normal 41 3 3 4" xfId="13920" xr:uid="{00000000-0005-0000-0000-0000E6490000}"/>
    <cellStyle name="Normal 41 3 3 4 2" xfId="30464" xr:uid="{00000000-0005-0000-0000-0000E7490000}"/>
    <cellStyle name="Normal 41 3 3 5" xfId="22421" xr:uid="{00000000-0005-0000-0000-0000E8490000}"/>
    <cellStyle name="Normal 41 3 4" xfId="4370" xr:uid="{00000000-0005-0000-0000-0000E9490000}"/>
    <cellStyle name="Normal 41 3 4 2" xfId="8400" xr:uid="{00000000-0005-0000-0000-0000EA490000}"/>
    <cellStyle name="Normal 41 3 4 2 2" xfId="17758" xr:uid="{00000000-0005-0000-0000-0000EB490000}"/>
    <cellStyle name="Normal 41 3 4 2 2 2" xfId="34332" xr:uid="{00000000-0005-0000-0000-0000EC490000}"/>
    <cellStyle name="Normal 41 3 4 2 3" xfId="26285" xr:uid="{00000000-0005-0000-0000-0000ED490000}"/>
    <cellStyle name="Normal 41 3 4 3" xfId="13922" xr:uid="{00000000-0005-0000-0000-0000EE490000}"/>
    <cellStyle name="Normal 41 3 4 3 2" xfId="30466" xr:uid="{00000000-0005-0000-0000-0000EF490000}"/>
    <cellStyle name="Normal 41 3 4 4" xfId="22423" xr:uid="{00000000-0005-0000-0000-0000F0490000}"/>
    <cellStyle name="Normal 41 3 5" xfId="4371" xr:uid="{00000000-0005-0000-0000-0000F1490000}"/>
    <cellStyle name="Normal 41 3 5 2" xfId="13923" xr:uid="{00000000-0005-0000-0000-0000F2490000}"/>
    <cellStyle name="Normal 41 3 5 2 2" xfId="30467" xr:uid="{00000000-0005-0000-0000-0000F3490000}"/>
    <cellStyle name="Normal 41 3 5 3" xfId="22424" xr:uid="{00000000-0005-0000-0000-0000F4490000}"/>
    <cellStyle name="Normal 41 4" xfId="4372" xr:uid="{00000000-0005-0000-0000-0000F5490000}"/>
    <cellStyle name="Normal 41 4 2" xfId="4373" xr:uid="{00000000-0005-0000-0000-0000F6490000}"/>
    <cellStyle name="Normal 41 4 2 2" xfId="4374" xr:uid="{00000000-0005-0000-0000-0000F7490000}"/>
    <cellStyle name="Normal 41 4 2 2 2" xfId="4375" xr:uid="{00000000-0005-0000-0000-0000F8490000}"/>
    <cellStyle name="Normal 41 4 2 2 2 2" xfId="8401" xr:uid="{00000000-0005-0000-0000-0000F9490000}"/>
    <cellStyle name="Normal 41 4 2 2 2 2 2" xfId="17759" xr:uid="{00000000-0005-0000-0000-0000FA490000}"/>
    <cellStyle name="Normal 41 4 2 2 2 2 2 2" xfId="34333" xr:uid="{00000000-0005-0000-0000-0000FB490000}"/>
    <cellStyle name="Normal 41 4 2 2 2 2 3" xfId="26286" xr:uid="{00000000-0005-0000-0000-0000FC490000}"/>
    <cellStyle name="Normal 41 4 2 2 2 3" xfId="13927" xr:uid="{00000000-0005-0000-0000-0000FD490000}"/>
    <cellStyle name="Normal 41 4 2 2 2 3 2" xfId="30471" xr:uid="{00000000-0005-0000-0000-0000FE490000}"/>
    <cellStyle name="Normal 41 4 2 2 2 4" xfId="22428" xr:uid="{00000000-0005-0000-0000-0000FF490000}"/>
    <cellStyle name="Normal 41 4 2 2 3" xfId="8402" xr:uid="{00000000-0005-0000-0000-0000004A0000}"/>
    <cellStyle name="Normal 41 4 2 2 3 2" xfId="17760" xr:uid="{00000000-0005-0000-0000-0000014A0000}"/>
    <cellStyle name="Normal 41 4 2 2 3 2 2" xfId="34334" xr:uid="{00000000-0005-0000-0000-0000024A0000}"/>
    <cellStyle name="Normal 41 4 2 2 3 3" xfId="26287" xr:uid="{00000000-0005-0000-0000-0000034A0000}"/>
    <cellStyle name="Normal 41 4 2 2 4" xfId="13926" xr:uid="{00000000-0005-0000-0000-0000044A0000}"/>
    <cellStyle name="Normal 41 4 2 2 4 2" xfId="30470" xr:uid="{00000000-0005-0000-0000-0000054A0000}"/>
    <cellStyle name="Normal 41 4 2 2 5" xfId="22427" xr:uid="{00000000-0005-0000-0000-0000064A0000}"/>
    <cellStyle name="Normal 41 4 2 3" xfId="4376" xr:uid="{00000000-0005-0000-0000-0000074A0000}"/>
    <cellStyle name="Normal 41 4 2 3 2" xfId="8403" xr:uid="{00000000-0005-0000-0000-0000084A0000}"/>
    <cellStyle name="Normal 41 4 2 3 2 2" xfId="17761" xr:uid="{00000000-0005-0000-0000-0000094A0000}"/>
    <cellStyle name="Normal 41 4 2 3 2 2 2" xfId="34335" xr:uid="{00000000-0005-0000-0000-00000A4A0000}"/>
    <cellStyle name="Normal 41 4 2 3 2 3" xfId="26288" xr:uid="{00000000-0005-0000-0000-00000B4A0000}"/>
    <cellStyle name="Normal 41 4 2 3 3" xfId="13928" xr:uid="{00000000-0005-0000-0000-00000C4A0000}"/>
    <cellStyle name="Normal 41 4 2 3 3 2" xfId="30472" xr:uid="{00000000-0005-0000-0000-00000D4A0000}"/>
    <cellStyle name="Normal 41 4 2 3 4" xfId="22429" xr:uid="{00000000-0005-0000-0000-00000E4A0000}"/>
    <cellStyle name="Normal 41 4 2 4" xfId="8404" xr:uid="{00000000-0005-0000-0000-00000F4A0000}"/>
    <cellStyle name="Normal 41 4 2 4 2" xfId="17762" xr:uid="{00000000-0005-0000-0000-0000104A0000}"/>
    <cellStyle name="Normal 41 4 2 4 2 2" xfId="34336" xr:uid="{00000000-0005-0000-0000-0000114A0000}"/>
    <cellStyle name="Normal 41 4 2 4 3" xfId="26289" xr:uid="{00000000-0005-0000-0000-0000124A0000}"/>
    <cellStyle name="Normal 41 4 2 5" xfId="13925" xr:uid="{00000000-0005-0000-0000-0000134A0000}"/>
    <cellStyle name="Normal 41 4 2 5 2" xfId="30469" xr:uid="{00000000-0005-0000-0000-0000144A0000}"/>
    <cellStyle name="Normal 41 4 2 6" xfId="22426" xr:uid="{00000000-0005-0000-0000-0000154A0000}"/>
    <cellStyle name="Normal 41 4 3" xfId="4377" xr:uid="{00000000-0005-0000-0000-0000164A0000}"/>
    <cellStyle name="Normal 41 4 3 2" xfId="4378" xr:uid="{00000000-0005-0000-0000-0000174A0000}"/>
    <cellStyle name="Normal 41 4 3 2 2" xfId="8405" xr:uid="{00000000-0005-0000-0000-0000184A0000}"/>
    <cellStyle name="Normal 41 4 3 2 2 2" xfId="17763" xr:uid="{00000000-0005-0000-0000-0000194A0000}"/>
    <cellStyle name="Normal 41 4 3 2 2 2 2" xfId="34337" xr:uid="{00000000-0005-0000-0000-00001A4A0000}"/>
    <cellStyle name="Normal 41 4 3 2 2 3" xfId="26290" xr:uid="{00000000-0005-0000-0000-00001B4A0000}"/>
    <cellStyle name="Normal 41 4 3 2 3" xfId="13930" xr:uid="{00000000-0005-0000-0000-00001C4A0000}"/>
    <cellStyle name="Normal 41 4 3 2 3 2" xfId="30474" xr:uid="{00000000-0005-0000-0000-00001D4A0000}"/>
    <cellStyle name="Normal 41 4 3 2 4" xfId="22431" xr:uid="{00000000-0005-0000-0000-00001E4A0000}"/>
    <cellStyle name="Normal 41 4 3 3" xfId="8406" xr:uid="{00000000-0005-0000-0000-00001F4A0000}"/>
    <cellStyle name="Normal 41 4 3 3 2" xfId="17764" xr:uid="{00000000-0005-0000-0000-0000204A0000}"/>
    <cellStyle name="Normal 41 4 3 3 2 2" xfId="34338" xr:uid="{00000000-0005-0000-0000-0000214A0000}"/>
    <cellStyle name="Normal 41 4 3 3 3" xfId="26291" xr:uid="{00000000-0005-0000-0000-0000224A0000}"/>
    <cellStyle name="Normal 41 4 3 4" xfId="13929" xr:uid="{00000000-0005-0000-0000-0000234A0000}"/>
    <cellStyle name="Normal 41 4 3 4 2" xfId="30473" xr:uid="{00000000-0005-0000-0000-0000244A0000}"/>
    <cellStyle name="Normal 41 4 3 5" xfId="22430" xr:uid="{00000000-0005-0000-0000-0000254A0000}"/>
    <cellStyle name="Normal 41 4 4" xfId="4379" xr:uid="{00000000-0005-0000-0000-0000264A0000}"/>
    <cellStyle name="Normal 41 4 4 2" xfId="8407" xr:uid="{00000000-0005-0000-0000-0000274A0000}"/>
    <cellStyle name="Normal 41 4 4 2 2" xfId="17765" xr:uid="{00000000-0005-0000-0000-0000284A0000}"/>
    <cellStyle name="Normal 41 4 4 2 2 2" xfId="34339" xr:uid="{00000000-0005-0000-0000-0000294A0000}"/>
    <cellStyle name="Normal 41 4 4 2 3" xfId="26292" xr:uid="{00000000-0005-0000-0000-00002A4A0000}"/>
    <cellStyle name="Normal 41 4 4 3" xfId="13931" xr:uid="{00000000-0005-0000-0000-00002B4A0000}"/>
    <cellStyle name="Normal 41 4 4 3 2" xfId="30475" xr:uid="{00000000-0005-0000-0000-00002C4A0000}"/>
    <cellStyle name="Normal 41 4 4 4" xfId="22432" xr:uid="{00000000-0005-0000-0000-00002D4A0000}"/>
    <cellStyle name="Normal 41 4 5" xfId="8408" xr:uid="{00000000-0005-0000-0000-00002E4A0000}"/>
    <cellStyle name="Normal 41 4 5 2" xfId="17766" xr:uid="{00000000-0005-0000-0000-00002F4A0000}"/>
    <cellStyle name="Normal 41 4 5 2 2" xfId="34340" xr:uid="{00000000-0005-0000-0000-0000304A0000}"/>
    <cellStyle name="Normal 41 4 5 3" xfId="26293" xr:uid="{00000000-0005-0000-0000-0000314A0000}"/>
    <cellStyle name="Normal 41 4 6" xfId="13924" xr:uid="{00000000-0005-0000-0000-0000324A0000}"/>
    <cellStyle name="Normal 41 4 6 2" xfId="30468" xr:uid="{00000000-0005-0000-0000-0000334A0000}"/>
    <cellStyle name="Normal 41 4 7" xfId="22425" xr:uid="{00000000-0005-0000-0000-0000344A0000}"/>
    <cellStyle name="Normal 41 5" xfId="4380" xr:uid="{00000000-0005-0000-0000-0000354A0000}"/>
    <cellStyle name="Normal 41 5 2" xfId="4381" xr:uid="{00000000-0005-0000-0000-0000364A0000}"/>
    <cellStyle name="Normal 41 5 2 2" xfId="4382" xr:uid="{00000000-0005-0000-0000-0000374A0000}"/>
    <cellStyle name="Normal 41 5 2 2 2" xfId="4383" xr:uid="{00000000-0005-0000-0000-0000384A0000}"/>
    <cellStyle name="Normal 41 5 2 2 2 2" xfId="8409" xr:uid="{00000000-0005-0000-0000-0000394A0000}"/>
    <cellStyle name="Normal 41 5 2 2 2 2 2" xfId="17767" xr:uid="{00000000-0005-0000-0000-00003A4A0000}"/>
    <cellStyle name="Normal 41 5 2 2 2 2 2 2" xfId="34341" xr:uid="{00000000-0005-0000-0000-00003B4A0000}"/>
    <cellStyle name="Normal 41 5 2 2 2 2 3" xfId="26294" xr:uid="{00000000-0005-0000-0000-00003C4A0000}"/>
    <cellStyle name="Normal 41 5 2 2 2 3" xfId="13935" xr:uid="{00000000-0005-0000-0000-00003D4A0000}"/>
    <cellStyle name="Normal 41 5 2 2 2 3 2" xfId="30479" xr:uid="{00000000-0005-0000-0000-00003E4A0000}"/>
    <cellStyle name="Normal 41 5 2 2 2 4" xfId="22436" xr:uid="{00000000-0005-0000-0000-00003F4A0000}"/>
    <cellStyle name="Normal 41 5 2 2 3" xfId="8410" xr:uid="{00000000-0005-0000-0000-0000404A0000}"/>
    <cellStyle name="Normal 41 5 2 2 3 2" xfId="17768" xr:uid="{00000000-0005-0000-0000-0000414A0000}"/>
    <cellStyle name="Normal 41 5 2 2 3 2 2" xfId="34342" xr:uid="{00000000-0005-0000-0000-0000424A0000}"/>
    <cellStyle name="Normal 41 5 2 2 3 3" xfId="26295" xr:uid="{00000000-0005-0000-0000-0000434A0000}"/>
    <cellStyle name="Normal 41 5 2 2 4" xfId="13934" xr:uid="{00000000-0005-0000-0000-0000444A0000}"/>
    <cellStyle name="Normal 41 5 2 2 4 2" xfId="30478" xr:uid="{00000000-0005-0000-0000-0000454A0000}"/>
    <cellStyle name="Normal 41 5 2 2 5" xfId="22435" xr:uid="{00000000-0005-0000-0000-0000464A0000}"/>
    <cellStyle name="Normal 41 5 2 3" xfId="4384" xr:uid="{00000000-0005-0000-0000-0000474A0000}"/>
    <cellStyle name="Normal 41 5 2 3 2" xfId="8411" xr:uid="{00000000-0005-0000-0000-0000484A0000}"/>
    <cellStyle name="Normal 41 5 2 3 2 2" xfId="17769" xr:uid="{00000000-0005-0000-0000-0000494A0000}"/>
    <cellStyle name="Normal 41 5 2 3 2 2 2" xfId="34343" xr:uid="{00000000-0005-0000-0000-00004A4A0000}"/>
    <cellStyle name="Normal 41 5 2 3 2 3" xfId="26296" xr:uid="{00000000-0005-0000-0000-00004B4A0000}"/>
    <cellStyle name="Normal 41 5 2 3 3" xfId="13936" xr:uid="{00000000-0005-0000-0000-00004C4A0000}"/>
    <cellStyle name="Normal 41 5 2 3 3 2" xfId="30480" xr:uid="{00000000-0005-0000-0000-00004D4A0000}"/>
    <cellStyle name="Normal 41 5 2 3 4" xfId="22437" xr:uid="{00000000-0005-0000-0000-00004E4A0000}"/>
    <cellStyle name="Normal 41 5 2 4" xfId="8412" xr:uid="{00000000-0005-0000-0000-00004F4A0000}"/>
    <cellStyle name="Normal 41 5 2 4 2" xfId="17770" xr:uid="{00000000-0005-0000-0000-0000504A0000}"/>
    <cellStyle name="Normal 41 5 2 4 2 2" xfId="34344" xr:uid="{00000000-0005-0000-0000-0000514A0000}"/>
    <cellStyle name="Normal 41 5 2 4 3" xfId="26297" xr:uid="{00000000-0005-0000-0000-0000524A0000}"/>
    <cellStyle name="Normal 41 5 2 5" xfId="13933" xr:uid="{00000000-0005-0000-0000-0000534A0000}"/>
    <cellStyle name="Normal 41 5 2 5 2" xfId="30477" xr:uid="{00000000-0005-0000-0000-0000544A0000}"/>
    <cellStyle name="Normal 41 5 2 6" xfId="22434" xr:uid="{00000000-0005-0000-0000-0000554A0000}"/>
    <cellStyle name="Normal 41 5 3" xfId="4385" xr:uid="{00000000-0005-0000-0000-0000564A0000}"/>
    <cellStyle name="Normal 41 5 3 2" xfId="4386" xr:uid="{00000000-0005-0000-0000-0000574A0000}"/>
    <cellStyle name="Normal 41 5 3 2 2" xfId="8413" xr:uid="{00000000-0005-0000-0000-0000584A0000}"/>
    <cellStyle name="Normal 41 5 3 2 2 2" xfId="17771" xr:uid="{00000000-0005-0000-0000-0000594A0000}"/>
    <cellStyle name="Normal 41 5 3 2 2 2 2" xfId="34345" xr:uid="{00000000-0005-0000-0000-00005A4A0000}"/>
    <cellStyle name="Normal 41 5 3 2 2 3" xfId="26298" xr:uid="{00000000-0005-0000-0000-00005B4A0000}"/>
    <cellStyle name="Normal 41 5 3 2 3" xfId="13938" xr:uid="{00000000-0005-0000-0000-00005C4A0000}"/>
    <cellStyle name="Normal 41 5 3 2 3 2" xfId="30482" xr:uid="{00000000-0005-0000-0000-00005D4A0000}"/>
    <cellStyle name="Normal 41 5 3 2 4" xfId="22439" xr:uid="{00000000-0005-0000-0000-00005E4A0000}"/>
    <cellStyle name="Normal 41 5 3 3" xfId="8414" xr:uid="{00000000-0005-0000-0000-00005F4A0000}"/>
    <cellStyle name="Normal 41 5 3 3 2" xfId="17772" xr:uid="{00000000-0005-0000-0000-0000604A0000}"/>
    <cellStyle name="Normal 41 5 3 3 2 2" xfId="34346" xr:uid="{00000000-0005-0000-0000-0000614A0000}"/>
    <cellStyle name="Normal 41 5 3 3 3" xfId="26299" xr:uid="{00000000-0005-0000-0000-0000624A0000}"/>
    <cellStyle name="Normal 41 5 3 4" xfId="13937" xr:uid="{00000000-0005-0000-0000-0000634A0000}"/>
    <cellStyle name="Normal 41 5 3 4 2" xfId="30481" xr:uid="{00000000-0005-0000-0000-0000644A0000}"/>
    <cellStyle name="Normal 41 5 3 5" xfId="22438" xr:uid="{00000000-0005-0000-0000-0000654A0000}"/>
    <cellStyle name="Normal 41 5 4" xfId="4387" xr:uid="{00000000-0005-0000-0000-0000664A0000}"/>
    <cellStyle name="Normal 41 5 4 2" xfId="8415" xr:uid="{00000000-0005-0000-0000-0000674A0000}"/>
    <cellStyle name="Normal 41 5 4 2 2" xfId="17773" xr:uid="{00000000-0005-0000-0000-0000684A0000}"/>
    <cellStyle name="Normal 41 5 4 2 2 2" xfId="34347" xr:uid="{00000000-0005-0000-0000-0000694A0000}"/>
    <cellStyle name="Normal 41 5 4 2 3" xfId="26300" xr:uid="{00000000-0005-0000-0000-00006A4A0000}"/>
    <cellStyle name="Normal 41 5 4 3" xfId="13939" xr:uid="{00000000-0005-0000-0000-00006B4A0000}"/>
    <cellStyle name="Normal 41 5 4 3 2" xfId="30483" xr:uid="{00000000-0005-0000-0000-00006C4A0000}"/>
    <cellStyle name="Normal 41 5 4 4" xfId="22440" xr:uid="{00000000-0005-0000-0000-00006D4A0000}"/>
    <cellStyle name="Normal 41 5 5" xfId="8416" xr:uid="{00000000-0005-0000-0000-00006E4A0000}"/>
    <cellStyle name="Normal 41 5 5 2" xfId="17774" xr:uid="{00000000-0005-0000-0000-00006F4A0000}"/>
    <cellStyle name="Normal 41 5 5 2 2" xfId="34348" xr:uid="{00000000-0005-0000-0000-0000704A0000}"/>
    <cellStyle name="Normal 41 5 5 3" xfId="26301" xr:uid="{00000000-0005-0000-0000-0000714A0000}"/>
    <cellStyle name="Normal 41 5 6" xfId="13932" xr:uid="{00000000-0005-0000-0000-0000724A0000}"/>
    <cellStyle name="Normal 41 5 6 2" xfId="30476" xr:uid="{00000000-0005-0000-0000-0000734A0000}"/>
    <cellStyle name="Normal 41 5 7" xfId="22433" xr:uid="{00000000-0005-0000-0000-0000744A0000}"/>
    <cellStyle name="Normal 41 6" xfId="4388" xr:uid="{00000000-0005-0000-0000-0000754A0000}"/>
    <cellStyle name="Normal 41 6 2" xfId="4389" xr:uid="{00000000-0005-0000-0000-0000764A0000}"/>
    <cellStyle name="Normal 41 6 2 2" xfId="4390" xr:uid="{00000000-0005-0000-0000-0000774A0000}"/>
    <cellStyle name="Normal 41 6 2 2 2" xfId="8417" xr:uid="{00000000-0005-0000-0000-0000784A0000}"/>
    <cellStyle name="Normal 41 6 2 2 2 2" xfId="17775" xr:uid="{00000000-0005-0000-0000-0000794A0000}"/>
    <cellStyle name="Normal 41 6 2 2 2 2 2" xfId="34349" xr:uid="{00000000-0005-0000-0000-00007A4A0000}"/>
    <cellStyle name="Normal 41 6 2 2 2 3" xfId="26302" xr:uid="{00000000-0005-0000-0000-00007B4A0000}"/>
    <cellStyle name="Normal 41 6 2 2 3" xfId="13942" xr:uid="{00000000-0005-0000-0000-00007C4A0000}"/>
    <cellStyle name="Normal 41 6 2 2 3 2" xfId="30486" xr:uid="{00000000-0005-0000-0000-00007D4A0000}"/>
    <cellStyle name="Normal 41 6 2 2 4" xfId="22443" xr:uid="{00000000-0005-0000-0000-00007E4A0000}"/>
    <cellStyle name="Normal 41 6 2 3" xfId="8418" xr:uid="{00000000-0005-0000-0000-00007F4A0000}"/>
    <cellStyle name="Normal 41 6 2 3 2" xfId="17776" xr:uid="{00000000-0005-0000-0000-0000804A0000}"/>
    <cellStyle name="Normal 41 6 2 3 2 2" xfId="34350" xr:uid="{00000000-0005-0000-0000-0000814A0000}"/>
    <cellStyle name="Normal 41 6 2 3 3" xfId="26303" xr:uid="{00000000-0005-0000-0000-0000824A0000}"/>
    <cellStyle name="Normal 41 6 2 4" xfId="13941" xr:uid="{00000000-0005-0000-0000-0000834A0000}"/>
    <cellStyle name="Normal 41 6 2 4 2" xfId="30485" xr:uid="{00000000-0005-0000-0000-0000844A0000}"/>
    <cellStyle name="Normal 41 6 2 5" xfId="22442" xr:uid="{00000000-0005-0000-0000-0000854A0000}"/>
    <cellStyle name="Normal 41 6 3" xfId="4391" xr:uid="{00000000-0005-0000-0000-0000864A0000}"/>
    <cellStyle name="Normal 41 6 3 2" xfId="8419" xr:uid="{00000000-0005-0000-0000-0000874A0000}"/>
    <cellStyle name="Normal 41 6 3 2 2" xfId="17777" xr:uid="{00000000-0005-0000-0000-0000884A0000}"/>
    <cellStyle name="Normal 41 6 3 2 2 2" xfId="34351" xr:uid="{00000000-0005-0000-0000-0000894A0000}"/>
    <cellStyle name="Normal 41 6 3 2 3" xfId="26304" xr:uid="{00000000-0005-0000-0000-00008A4A0000}"/>
    <cellStyle name="Normal 41 6 3 3" xfId="13943" xr:uid="{00000000-0005-0000-0000-00008B4A0000}"/>
    <cellStyle name="Normal 41 6 3 3 2" xfId="30487" xr:uid="{00000000-0005-0000-0000-00008C4A0000}"/>
    <cellStyle name="Normal 41 6 3 4" xfId="22444" xr:uid="{00000000-0005-0000-0000-00008D4A0000}"/>
    <cellStyle name="Normal 41 6 4" xfId="8420" xr:uid="{00000000-0005-0000-0000-00008E4A0000}"/>
    <cellStyle name="Normal 41 6 4 2" xfId="17778" xr:uid="{00000000-0005-0000-0000-00008F4A0000}"/>
    <cellStyle name="Normal 41 6 4 2 2" xfId="34352" xr:uid="{00000000-0005-0000-0000-0000904A0000}"/>
    <cellStyle name="Normal 41 6 4 3" xfId="26305" xr:uid="{00000000-0005-0000-0000-0000914A0000}"/>
    <cellStyle name="Normal 41 6 5" xfId="13940" xr:uid="{00000000-0005-0000-0000-0000924A0000}"/>
    <cellStyle name="Normal 41 6 5 2" xfId="30484" xr:uid="{00000000-0005-0000-0000-0000934A0000}"/>
    <cellStyle name="Normal 41 6 6" xfId="22441" xr:uid="{00000000-0005-0000-0000-0000944A0000}"/>
    <cellStyle name="Normal 41 7" xfId="4392" xr:uid="{00000000-0005-0000-0000-0000954A0000}"/>
    <cellStyle name="Normal 41 7 2" xfId="4393" xr:uid="{00000000-0005-0000-0000-0000964A0000}"/>
    <cellStyle name="Normal 41 7 2 2" xfId="8421" xr:uid="{00000000-0005-0000-0000-0000974A0000}"/>
    <cellStyle name="Normal 41 7 2 2 2" xfId="17779" xr:uid="{00000000-0005-0000-0000-0000984A0000}"/>
    <cellStyle name="Normal 41 7 2 2 2 2" xfId="34353" xr:uid="{00000000-0005-0000-0000-0000994A0000}"/>
    <cellStyle name="Normal 41 7 2 2 3" xfId="26306" xr:uid="{00000000-0005-0000-0000-00009A4A0000}"/>
    <cellStyle name="Normal 41 7 2 3" xfId="13945" xr:uid="{00000000-0005-0000-0000-00009B4A0000}"/>
    <cellStyle name="Normal 41 7 2 3 2" xfId="30489" xr:uid="{00000000-0005-0000-0000-00009C4A0000}"/>
    <cellStyle name="Normal 41 7 2 4" xfId="22446" xr:uid="{00000000-0005-0000-0000-00009D4A0000}"/>
    <cellStyle name="Normal 41 7 3" xfId="8422" xr:uid="{00000000-0005-0000-0000-00009E4A0000}"/>
    <cellStyle name="Normal 41 7 3 2" xfId="17780" xr:uid="{00000000-0005-0000-0000-00009F4A0000}"/>
    <cellStyle name="Normal 41 7 3 2 2" xfId="34354" xr:uid="{00000000-0005-0000-0000-0000A04A0000}"/>
    <cellStyle name="Normal 41 7 3 3" xfId="26307" xr:uid="{00000000-0005-0000-0000-0000A14A0000}"/>
    <cellStyle name="Normal 41 7 4" xfId="13944" xr:uid="{00000000-0005-0000-0000-0000A24A0000}"/>
    <cellStyle name="Normal 41 7 4 2" xfId="30488" xr:uid="{00000000-0005-0000-0000-0000A34A0000}"/>
    <cellStyle name="Normal 41 7 5" xfId="22445" xr:uid="{00000000-0005-0000-0000-0000A44A0000}"/>
    <cellStyle name="Normal 41 8" xfId="4394" xr:uid="{00000000-0005-0000-0000-0000A54A0000}"/>
    <cellStyle name="Normal 41 8 2" xfId="8423" xr:uid="{00000000-0005-0000-0000-0000A64A0000}"/>
    <cellStyle name="Normal 41 8 2 2" xfId="17781" xr:uid="{00000000-0005-0000-0000-0000A74A0000}"/>
    <cellStyle name="Normal 41 8 2 2 2" xfId="34355" xr:uid="{00000000-0005-0000-0000-0000A84A0000}"/>
    <cellStyle name="Normal 41 8 2 3" xfId="26308" xr:uid="{00000000-0005-0000-0000-0000A94A0000}"/>
    <cellStyle name="Normal 41 8 3" xfId="13946" xr:uid="{00000000-0005-0000-0000-0000AA4A0000}"/>
    <cellStyle name="Normal 41 8 3 2" xfId="30490" xr:uid="{00000000-0005-0000-0000-0000AB4A0000}"/>
    <cellStyle name="Normal 41 8 4" xfId="22447" xr:uid="{00000000-0005-0000-0000-0000AC4A0000}"/>
    <cellStyle name="Normal 41 9" xfId="8424" xr:uid="{00000000-0005-0000-0000-0000AD4A0000}"/>
    <cellStyle name="Normal 41 9 2" xfId="17782" xr:uid="{00000000-0005-0000-0000-0000AE4A0000}"/>
    <cellStyle name="Normal 41 9 2 2" xfId="34356" xr:uid="{00000000-0005-0000-0000-0000AF4A0000}"/>
    <cellStyle name="Normal 41 9 3" xfId="26309" xr:uid="{00000000-0005-0000-0000-0000B04A0000}"/>
    <cellStyle name="Normal 42" xfId="4395" xr:uid="{00000000-0005-0000-0000-0000B14A0000}"/>
    <cellStyle name="Normal 42 10" xfId="13947" xr:uid="{00000000-0005-0000-0000-0000B24A0000}"/>
    <cellStyle name="Normal 42 10 2" xfId="30491" xr:uid="{00000000-0005-0000-0000-0000B34A0000}"/>
    <cellStyle name="Normal 42 11" xfId="22448" xr:uid="{00000000-0005-0000-0000-0000B44A0000}"/>
    <cellStyle name="Normal 42 2" xfId="4396" xr:uid="{00000000-0005-0000-0000-0000B54A0000}"/>
    <cellStyle name="Normal 42 2 2" xfId="4397" xr:uid="{00000000-0005-0000-0000-0000B64A0000}"/>
    <cellStyle name="Normal 42 2 3" xfId="13948" xr:uid="{00000000-0005-0000-0000-0000B74A0000}"/>
    <cellStyle name="Normal 42 2 3 2" xfId="30492" xr:uid="{00000000-0005-0000-0000-0000B84A0000}"/>
    <cellStyle name="Normal 42 2 4" xfId="22449" xr:uid="{00000000-0005-0000-0000-0000B94A0000}"/>
    <cellStyle name="Normal 42 3" xfId="4398" xr:uid="{00000000-0005-0000-0000-0000BA4A0000}"/>
    <cellStyle name="Normal 42 3 2" xfId="4399" xr:uid="{00000000-0005-0000-0000-0000BB4A0000}"/>
    <cellStyle name="Normal 42 3 2 2" xfId="4400" xr:uid="{00000000-0005-0000-0000-0000BC4A0000}"/>
    <cellStyle name="Normal 42 3 2 2 2" xfId="4401" xr:uid="{00000000-0005-0000-0000-0000BD4A0000}"/>
    <cellStyle name="Normal 42 3 2 2 2 2" xfId="8425" xr:uid="{00000000-0005-0000-0000-0000BE4A0000}"/>
    <cellStyle name="Normal 42 3 2 2 2 2 2" xfId="17783" xr:uid="{00000000-0005-0000-0000-0000BF4A0000}"/>
    <cellStyle name="Normal 42 3 2 2 2 2 2 2" xfId="34357" xr:uid="{00000000-0005-0000-0000-0000C04A0000}"/>
    <cellStyle name="Normal 42 3 2 2 2 2 3" xfId="26310" xr:uid="{00000000-0005-0000-0000-0000C14A0000}"/>
    <cellStyle name="Normal 42 3 2 2 2 3" xfId="13951" xr:uid="{00000000-0005-0000-0000-0000C24A0000}"/>
    <cellStyle name="Normal 42 3 2 2 2 3 2" xfId="30495" xr:uid="{00000000-0005-0000-0000-0000C34A0000}"/>
    <cellStyle name="Normal 42 3 2 2 2 4" xfId="22452" xr:uid="{00000000-0005-0000-0000-0000C44A0000}"/>
    <cellStyle name="Normal 42 3 2 2 3" xfId="8426" xr:uid="{00000000-0005-0000-0000-0000C54A0000}"/>
    <cellStyle name="Normal 42 3 2 2 3 2" xfId="17784" xr:uid="{00000000-0005-0000-0000-0000C64A0000}"/>
    <cellStyle name="Normal 42 3 2 2 3 2 2" xfId="34358" xr:uid="{00000000-0005-0000-0000-0000C74A0000}"/>
    <cellStyle name="Normal 42 3 2 2 3 3" xfId="26311" xr:uid="{00000000-0005-0000-0000-0000C84A0000}"/>
    <cellStyle name="Normal 42 3 2 2 4" xfId="13950" xr:uid="{00000000-0005-0000-0000-0000C94A0000}"/>
    <cellStyle name="Normal 42 3 2 2 4 2" xfId="30494" xr:uid="{00000000-0005-0000-0000-0000CA4A0000}"/>
    <cellStyle name="Normal 42 3 2 2 5" xfId="22451" xr:uid="{00000000-0005-0000-0000-0000CB4A0000}"/>
    <cellStyle name="Normal 42 3 2 3" xfId="4402" xr:uid="{00000000-0005-0000-0000-0000CC4A0000}"/>
    <cellStyle name="Normal 42 3 2 3 2" xfId="8427" xr:uid="{00000000-0005-0000-0000-0000CD4A0000}"/>
    <cellStyle name="Normal 42 3 2 3 2 2" xfId="17785" xr:uid="{00000000-0005-0000-0000-0000CE4A0000}"/>
    <cellStyle name="Normal 42 3 2 3 2 2 2" xfId="34359" xr:uid="{00000000-0005-0000-0000-0000CF4A0000}"/>
    <cellStyle name="Normal 42 3 2 3 2 3" xfId="26312" xr:uid="{00000000-0005-0000-0000-0000D04A0000}"/>
    <cellStyle name="Normal 42 3 2 3 3" xfId="13952" xr:uid="{00000000-0005-0000-0000-0000D14A0000}"/>
    <cellStyle name="Normal 42 3 2 3 3 2" xfId="30496" xr:uid="{00000000-0005-0000-0000-0000D24A0000}"/>
    <cellStyle name="Normal 42 3 2 3 4" xfId="22453" xr:uid="{00000000-0005-0000-0000-0000D34A0000}"/>
    <cellStyle name="Normal 42 3 2 4" xfId="8428" xr:uid="{00000000-0005-0000-0000-0000D44A0000}"/>
    <cellStyle name="Normal 42 3 2 4 2" xfId="17786" xr:uid="{00000000-0005-0000-0000-0000D54A0000}"/>
    <cellStyle name="Normal 42 3 2 4 2 2" xfId="34360" xr:uid="{00000000-0005-0000-0000-0000D64A0000}"/>
    <cellStyle name="Normal 42 3 2 4 3" xfId="26313" xr:uid="{00000000-0005-0000-0000-0000D74A0000}"/>
    <cellStyle name="Normal 42 3 2 5" xfId="13949" xr:uid="{00000000-0005-0000-0000-0000D84A0000}"/>
    <cellStyle name="Normal 42 3 2 5 2" xfId="30493" xr:uid="{00000000-0005-0000-0000-0000D94A0000}"/>
    <cellStyle name="Normal 42 3 2 6" xfId="22450" xr:uid="{00000000-0005-0000-0000-0000DA4A0000}"/>
    <cellStyle name="Normal 42 3 3" xfId="4403" xr:uid="{00000000-0005-0000-0000-0000DB4A0000}"/>
    <cellStyle name="Normal 42 3 3 2" xfId="4404" xr:uid="{00000000-0005-0000-0000-0000DC4A0000}"/>
    <cellStyle name="Normal 42 3 3 2 2" xfId="8429" xr:uid="{00000000-0005-0000-0000-0000DD4A0000}"/>
    <cellStyle name="Normal 42 3 3 2 2 2" xfId="17787" xr:uid="{00000000-0005-0000-0000-0000DE4A0000}"/>
    <cellStyle name="Normal 42 3 3 2 2 2 2" xfId="34361" xr:uid="{00000000-0005-0000-0000-0000DF4A0000}"/>
    <cellStyle name="Normal 42 3 3 2 2 3" xfId="26314" xr:uid="{00000000-0005-0000-0000-0000E04A0000}"/>
    <cellStyle name="Normal 42 3 3 2 3" xfId="13954" xr:uid="{00000000-0005-0000-0000-0000E14A0000}"/>
    <cellStyle name="Normal 42 3 3 2 3 2" xfId="30498" xr:uid="{00000000-0005-0000-0000-0000E24A0000}"/>
    <cellStyle name="Normal 42 3 3 2 4" xfId="22455" xr:uid="{00000000-0005-0000-0000-0000E34A0000}"/>
    <cellStyle name="Normal 42 3 3 3" xfId="8430" xr:uid="{00000000-0005-0000-0000-0000E44A0000}"/>
    <cellStyle name="Normal 42 3 3 3 2" xfId="17788" xr:uid="{00000000-0005-0000-0000-0000E54A0000}"/>
    <cellStyle name="Normal 42 3 3 3 2 2" xfId="34362" xr:uid="{00000000-0005-0000-0000-0000E64A0000}"/>
    <cellStyle name="Normal 42 3 3 3 3" xfId="26315" xr:uid="{00000000-0005-0000-0000-0000E74A0000}"/>
    <cellStyle name="Normal 42 3 3 4" xfId="13953" xr:uid="{00000000-0005-0000-0000-0000E84A0000}"/>
    <cellStyle name="Normal 42 3 3 4 2" xfId="30497" xr:uid="{00000000-0005-0000-0000-0000E94A0000}"/>
    <cellStyle name="Normal 42 3 3 5" xfId="22454" xr:uid="{00000000-0005-0000-0000-0000EA4A0000}"/>
    <cellStyle name="Normal 42 3 4" xfId="4405" xr:uid="{00000000-0005-0000-0000-0000EB4A0000}"/>
    <cellStyle name="Normal 42 3 4 2" xfId="8431" xr:uid="{00000000-0005-0000-0000-0000EC4A0000}"/>
    <cellStyle name="Normal 42 3 4 2 2" xfId="17789" xr:uid="{00000000-0005-0000-0000-0000ED4A0000}"/>
    <cellStyle name="Normal 42 3 4 2 2 2" xfId="34363" xr:uid="{00000000-0005-0000-0000-0000EE4A0000}"/>
    <cellStyle name="Normal 42 3 4 2 3" xfId="26316" xr:uid="{00000000-0005-0000-0000-0000EF4A0000}"/>
    <cellStyle name="Normal 42 3 4 3" xfId="13955" xr:uid="{00000000-0005-0000-0000-0000F04A0000}"/>
    <cellStyle name="Normal 42 3 4 3 2" xfId="30499" xr:uid="{00000000-0005-0000-0000-0000F14A0000}"/>
    <cellStyle name="Normal 42 3 4 4" xfId="22456" xr:uid="{00000000-0005-0000-0000-0000F24A0000}"/>
    <cellStyle name="Normal 42 3 5" xfId="4406" xr:uid="{00000000-0005-0000-0000-0000F34A0000}"/>
    <cellStyle name="Normal 42 3 5 2" xfId="13956" xr:uid="{00000000-0005-0000-0000-0000F44A0000}"/>
    <cellStyle name="Normal 42 3 5 2 2" xfId="30500" xr:uid="{00000000-0005-0000-0000-0000F54A0000}"/>
    <cellStyle name="Normal 42 3 5 3" xfId="22457" xr:uid="{00000000-0005-0000-0000-0000F64A0000}"/>
    <cellStyle name="Normal 42 4" xfId="4407" xr:uid="{00000000-0005-0000-0000-0000F74A0000}"/>
    <cellStyle name="Normal 42 4 2" xfId="4408" xr:uid="{00000000-0005-0000-0000-0000F84A0000}"/>
    <cellStyle name="Normal 42 4 2 2" xfId="4409" xr:uid="{00000000-0005-0000-0000-0000F94A0000}"/>
    <cellStyle name="Normal 42 4 2 2 2" xfId="4410" xr:uid="{00000000-0005-0000-0000-0000FA4A0000}"/>
    <cellStyle name="Normal 42 4 2 2 2 2" xfId="8432" xr:uid="{00000000-0005-0000-0000-0000FB4A0000}"/>
    <cellStyle name="Normal 42 4 2 2 2 2 2" xfId="17790" xr:uid="{00000000-0005-0000-0000-0000FC4A0000}"/>
    <cellStyle name="Normal 42 4 2 2 2 2 2 2" xfId="34364" xr:uid="{00000000-0005-0000-0000-0000FD4A0000}"/>
    <cellStyle name="Normal 42 4 2 2 2 2 3" xfId="26317" xr:uid="{00000000-0005-0000-0000-0000FE4A0000}"/>
    <cellStyle name="Normal 42 4 2 2 2 3" xfId="13960" xr:uid="{00000000-0005-0000-0000-0000FF4A0000}"/>
    <cellStyle name="Normal 42 4 2 2 2 3 2" xfId="30504" xr:uid="{00000000-0005-0000-0000-0000004B0000}"/>
    <cellStyle name="Normal 42 4 2 2 2 4" xfId="22461" xr:uid="{00000000-0005-0000-0000-0000014B0000}"/>
    <cellStyle name="Normal 42 4 2 2 3" xfId="8433" xr:uid="{00000000-0005-0000-0000-0000024B0000}"/>
    <cellStyle name="Normal 42 4 2 2 3 2" xfId="17791" xr:uid="{00000000-0005-0000-0000-0000034B0000}"/>
    <cellStyle name="Normal 42 4 2 2 3 2 2" xfId="34365" xr:uid="{00000000-0005-0000-0000-0000044B0000}"/>
    <cellStyle name="Normal 42 4 2 2 3 3" xfId="26318" xr:uid="{00000000-0005-0000-0000-0000054B0000}"/>
    <cellStyle name="Normal 42 4 2 2 4" xfId="13959" xr:uid="{00000000-0005-0000-0000-0000064B0000}"/>
    <cellStyle name="Normal 42 4 2 2 4 2" xfId="30503" xr:uid="{00000000-0005-0000-0000-0000074B0000}"/>
    <cellStyle name="Normal 42 4 2 2 5" xfId="22460" xr:uid="{00000000-0005-0000-0000-0000084B0000}"/>
    <cellStyle name="Normal 42 4 2 3" xfId="4411" xr:uid="{00000000-0005-0000-0000-0000094B0000}"/>
    <cellStyle name="Normal 42 4 2 3 2" xfId="8434" xr:uid="{00000000-0005-0000-0000-00000A4B0000}"/>
    <cellStyle name="Normal 42 4 2 3 2 2" xfId="17792" xr:uid="{00000000-0005-0000-0000-00000B4B0000}"/>
    <cellStyle name="Normal 42 4 2 3 2 2 2" xfId="34366" xr:uid="{00000000-0005-0000-0000-00000C4B0000}"/>
    <cellStyle name="Normal 42 4 2 3 2 3" xfId="26319" xr:uid="{00000000-0005-0000-0000-00000D4B0000}"/>
    <cellStyle name="Normal 42 4 2 3 3" xfId="13961" xr:uid="{00000000-0005-0000-0000-00000E4B0000}"/>
    <cellStyle name="Normal 42 4 2 3 3 2" xfId="30505" xr:uid="{00000000-0005-0000-0000-00000F4B0000}"/>
    <cellStyle name="Normal 42 4 2 3 4" xfId="22462" xr:uid="{00000000-0005-0000-0000-0000104B0000}"/>
    <cellStyle name="Normal 42 4 2 4" xfId="8435" xr:uid="{00000000-0005-0000-0000-0000114B0000}"/>
    <cellStyle name="Normal 42 4 2 4 2" xfId="17793" xr:uid="{00000000-0005-0000-0000-0000124B0000}"/>
    <cellStyle name="Normal 42 4 2 4 2 2" xfId="34367" xr:uid="{00000000-0005-0000-0000-0000134B0000}"/>
    <cellStyle name="Normal 42 4 2 4 3" xfId="26320" xr:uid="{00000000-0005-0000-0000-0000144B0000}"/>
    <cellStyle name="Normal 42 4 2 5" xfId="13958" xr:uid="{00000000-0005-0000-0000-0000154B0000}"/>
    <cellStyle name="Normal 42 4 2 5 2" xfId="30502" xr:uid="{00000000-0005-0000-0000-0000164B0000}"/>
    <cellStyle name="Normal 42 4 2 6" xfId="22459" xr:uid="{00000000-0005-0000-0000-0000174B0000}"/>
    <cellStyle name="Normal 42 4 3" xfId="4412" xr:uid="{00000000-0005-0000-0000-0000184B0000}"/>
    <cellStyle name="Normal 42 4 3 2" xfId="4413" xr:uid="{00000000-0005-0000-0000-0000194B0000}"/>
    <cellStyle name="Normal 42 4 3 2 2" xfId="8436" xr:uid="{00000000-0005-0000-0000-00001A4B0000}"/>
    <cellStyle name="Normal 42 4 3 2 2 2" xfId="17794" xr:uid="{00000000-0005-0000-0000-00001B4B0000}"/>
    <cellStyle name="Normal 42 4 3 2 2 2 2" xfId="34368" xr:uid="{00000000-0005-0000-0000-00001C4B0000}"/>
    <cellStyle name="Normal 42 4 3 2 2 3" xfId="26321" xr:uid="{00000000-0005-0000-0000-00001D4B0000}"/>
    <cellStyle name="Normal 42 4 3 2 3" xfId="13963" xr:uid="{00000000-0005-0000-0000-00001E4B0000}"/>
    <cellStyle name="Normal 42 4 3 2 3 2" xfId="30507" xr:uid="{00000000-0005-0000-0000-00001F4B0000}"/>
    <cellStyle name="Normal 42 4 3 2 4" xfId="22464" xr:uid="{00000000-0005-0000-0000-0000204B0000}"/>
    <cellStyle name="Normal 42 4 3 3" xfId="8437" xr:uid="{00000000-0005-0000-0000-0000214B0000}"/>
    <cellStyle name="Normal 42 4 3 3 2" xfId="17795" xr:uid="{00000000-0005-0000-0000-0000224B0000}"/>
    <cellStyle name="Normal 42 4 3 3 2 2" xfId="34369" xr:uid="{00000000-0005-0000-0000-0000234B0000}"/>
    <cellStyle name="Normal 42 4 3 3 3" xfId="26322" xr:uid="{00000000-0005-0000-0000-0000244B0000}"/>
    <cellStyle name="Normal 42 4 3 4" xfId="13962" xr:uid="{00000000-0005-0000-0000-0000254B0000}"/>
    <cellStyle name="Normal 42 4 3 4 2" xfId="30506" xr:uid="{00000000-0005-0000-0000-0000264B0000}"/>
    <cellStyle name="Normal 42 4 3 5" xfId="22463" xr:uid="{00000000-0005-0000-0000-0000274B0000}"/>
    <cellStyle name="Normal 42 4 4" xfId="4414" xr:uid="{00000000-0005-0000-0000-0000284B0000}"/>
    <cellStyle name="Normal 42 4 4 2" xfId="8438" xr:uid="{00000000-0005-0000-0000-0000294B0000}"/>
    <cellStyle name="Normal 42 4 4 2 2" xfId="17796" xr:uid="{00000000-0005-0000-0000-00002A4B0000}"/>
    <cellStyle name="Normal 42 4 4 2 2 2" xfId="34370" xr:uid="{00000000-0005-0000-0000-00002B4B0000}"/>
    <cellStyle name="Normal 42 4 4 2 3" xfId="26323" xr:uid="{00000000-0005-0000-0000-00002C4B0000}"/>
    <cellStyle name="Normal 42 4 4 3" xfId="13964" xr:uid="{00000000-0005-0000-0000-00002D4B0000}"/>
    <cellStyle name="Normal 42 4 4 3 2" xfId="30508" xr:uid="{00000000-0005-0000-0000-00002E4B0000}"/>
    <cellStyle name="Normal 42 4 4 4" xfId="22465" xr:uid="{00000000-0005-0000-0000-00002F4B0000}"/>
    <cellStyle name="Normal 42 4 5" xfId="8439" xr:uid="{00000000-0005-0000-0000-0000304B0000}"/>
    <cellStyle name="Normal 42 4 5 2" xfId="17797" xr:uid="{00000000-0005-0000-0000-0000314B0000}"/>
    <cellStyle name="Normal 42 4 5 2 2" xfId="34371" xr:uid="{00000000-0005-0000-0000-0000324B0000}"/>
    <cellStyle name="Normal 42 4 5 3" xfId="26324" xr:uid="{00000000-0005-0000-0000-0000334B0000}"/>
    <cellStyle name="Normal 42 4 6" xfId="13957" xr:uid="{00000000-0005-0000-0000-0000344B0000}"/>
    <cellStyle name="Normal 42 4 6 2" xfId="30501" xr:uid="{00000000-0005-0000-0000-0000354B0000}"/>
    <cellStyle name="Normal 42 4 7" xfId="22458" xr:uid="{00000000-0005-0000-0000-0000364B0000}"/>
    <cellStyle name="Normal 42 5" xfId="4415" xr:uid="{00000000-0005-0000-0000-0000374B0000}"/>
    <cellStyle name="Normal 42 5 2" xfId="4416" xr:uid="{00000000-0005-0000-0000-0000384B0000}"/>
    <cellStyle name="Normal 42 5 2 2" xfId="4417" xr:uid="{00000000-0005-0000-0000-0000394B0000}"/>
    <cellStyle name="Normal 42 5 2 2 2" xfId="4418" xr:uid="{00000000-0005-0000-0000-00003A4B0000}"/>
    <cellStyle name="Normal 42 5 2 2 2 2" xfId="8440" xr:uid="{00000000-0005-0000-0000-00003B4B0000}"/>
    <cellStyle name="Normal 42 5 2 2 2 2 2" xfId="17798" xr:uid="{00000000-0005-0000-0000-00003C4B0000}"/>
    <cellStyle name="Normal 42 5 2 2 2 2 2 2" xfId="34372" xr:uid="{00000000-0005-0000-0000-00003D4B0000}"/>
    <cellStyle name="Normal 42 5 2 2 2 2 3" xfId="26325" xr:uid="{00000000-0005-0000-0000-00003E4B0000}"/>
    <cellStyle name="Normal 42 5 2 2 2 3" xfId="13968" xr:uid="{00000000-0005-0000-0000-00003F4B0000}"/>
    <cellStyle name="Normal 42 5 2 2 2 3 2" xfId="30512" xr:uid="{00000000-0005-0000-0000-0000404B0000}"/>
    <cellStyle name="Normal 42 5 2 2 2 4" xfId="22469" xr:uid="{00000000-0005-0000-0000-0000414B0000}"/>
    <cellStyle name="Normal 42 5 2 2 3" xfId="8441" xr:uid="{00000000-0005-0000-0000-0000424B0000}"/>
    <cellStyle name="Normal 42 5 2 2 3 2" xfId="17799" xr:uid="{00000000-0005-0000-0000-0000434B0000}"/>
    <cellStyle name="Normal 42 5 2 2 3 2 2" xfId="34373" xr:uid="{00000000-0005-0000-0000-0000444B0000}"/>
    <cellStyle name="Normal 42 5 2 2 3 3" xfId="26326" xr:uid="{00000000-0005-0000-0000-0000454B0000}"/>
    <cellStyle name="Normal 42 5 2 2 4" xfId="13967" xr:uid="{00000000-0005-0000-0000-0000464B0000}"/>
    <cellStyle name="Normal 42 5 2 2 4 2" xfId="30511" xr:uid="{00000000-0005-0000-0000-0000474B0000}"/>
    <cellStyle name="Normal 42 5 2 2 5" xfId="22468" xr:uid="{00000000-0005-0000-0000-0000484B0000}"/>
    <cellStyle name="Normal 42 5 2 3" xfId="4419" xr:uid="{00000000-0005-0000-0000-0000494B0000}"/>
    <cellStyle name="Normal 42 5 2 3 2" xfId="8442" xr:uid="{00000000-0005-0000-0000-00004A4B0000}"/>
    <cellStyle name="Normal 42 5 2 3 2 2" xfId="17800" xr:uid="{00000000-0005-0000-0000-00004B4B0000}"/>
    <cellStyle name="Normal 42 5 2 3 2 2 2" xfId="34374" xr:uid="{00000000-0005-0000-0000-00004C4B0000}"/>
    <cellStyle name="Normal 42 5 2 3 2 3" xfId="26327" xr:uid="{00000000-0005-0000-0000-00004D4B0000}"/>
    <cellStyle name="Normal 42 5 2 3 3" xfId="13969" xr:uid="{00000000-0005-0000-0000-00004E4B0000}"/>
    <cellStyle name="Normal 42 5 2 3 3 2" xfId="30513" xr:uid="{00000000-0005-0000-0000-00004F4B0000}"/>
    <cellStyle name="Normal 42 5 2 3 4" xfId="22470" xr:uid="{00000000-0005-0000-0000-0000504B0000}"/>
    <cellStyle name="Normal 42 5 2 4" xfId="8443" xr:uid="{00000000-0005-0000-0000-0000514B0000}"/>
    <cellStyle name="Normal 42 5 2 4 2" xfId="17801" xr:uid="{00000000-0005-0000-0000-0000524B0000}"/>
    <cellStyle name="Normal 42 5 2 4 2 2" xfId="34375" xr:uid="{00000000-0005-0000-0000-0000534B0000}"/>
    <cellStyle name="Normal 42 5 2 4 3" xfId="26328" xr:uid="{00000000-0005-0000-0000-0000544B0000}"/>
    <cellStyle name="Normal 42 5 2 5" xfId="13966" xr:uid="{00000000-0005-0000-0000-0000554B0000}"/>
    <cellStyle name="Normal 42 5 2 5 2" xfId="30510" xr:uid="{00000000-0005-0000-0000-0000564B0000}"/>
    <cellStyle name="Normal 42 5 2 6" xfId="22467" xr:uid="{00000000-0005-0000-0000-0000574B0000}"/>
    <cellStyle name="Normal 42 5 3" xfId="4420" xr:uid="{00000000-0005-0000-0000-0000584B0000}"/>
    <cellStyle name="Normal 42 5 3 2" xfId="4421" xr:uid="{00000000-0005-0000-0000-0000594B0000}"/>
    <cellStyle name="Normal 42 5 3 2 2" xfId="8444" xr:uid="{00000000-0005-0000-0000-00005A4B0000}"/>
    <cellStyle name="Normal 42 5 3 2 2 2" xfId="17802" xr:uid="{00000000-0005-0000-0000-00005B4B0000}"/>
    <cellStyle name="Normal 42 5 3 2 2 2 2" xfId="34376" xr:uid="{00000000-0005-0000-0000-00005C4B0000}"/>
    <cellStyle name="Normal 42 5 3 2 2 3" xfId="26329" xr:uid="{00000000-0005-0000-0000-00005D4B0000}"/>
    <cellStyle name="Normal 42 5 3 2 3" xfId="13971" xr:uid="{00000000-0005-0000-0000-00005E4B0000}"/>
    <cellStyle name="Normal 42 5 3 2 3 2" xfId="30515" xr:uid="{00000000-0005-0000-0000-00005F4B0000}"/>
    <cellStyle name="Normal 42 5 3 2 4" xfId="22472" xr:uid="{00000000-0005-0000-0000-0000604B0000}"/>
    <cellStyle name="Normal 42 5 3 3" xfId="8445" xr:uid="{00000000-0005-0000-0000-0000614B0000}"/>
    <cellStyle name="Normal 42 5 3 3 2" xfId="17803" xr:uid="{00000000-0005-0000-0000-0000624B0000}"/>
    <cellStyle name="Normal 42 5 3 3 2 2" xfId="34377" xr:uid="{00000000-0005-0000-0000-0000634B0000}"/>
    <cellStyle name="Normal 42 5 3 3 3" xfId="26330" xr:uid="{00000000-0005-0000-0000-0000644B0000}"/>
    <cellStyle name="Normal 42 5 3 4" xfId="13970" xr:uid="{00000000-0005-0000-0000-0000654B0000}"/>
    <cellStyle name="Normal 42 5 3 4 2" xfId="30514" xr:uid="{00000000-0005-0000-0000-0000664B0000}"/>
    <cellStyle name="Normal 42 5 3 5" xfId="22471" xr:uid="{00000000-0005-0000-0000-0000674B0000}"/>
    <cellStyle name="Normal 42 5 4" xfId="4422" xr:uid="{00000000-0005-0000-0000-0000684B0000}"/>
    <cellStyle name="Normal 42 5 4 2" xfId="8446" xr:uid="{00000000-0005-0000-0000-0000694B0000}"/>
    <cellStyle name="Normal 42 5 4 2 2" xfId="17804" xr:uid="{00000000-0005-0000-0000-00006A4B0000}"/>
    <cellStyle name="Normal 42 5 4 2 2 2" xfId="34378" xr:uid="{00000000-0005-0000-0000-00006B4B0000}"/>
    <cellStyle name="Normal 42 5 4 2 3" xfId="26331" xr:uid="{00000000-0005-0000-0000-00006C4B0000}"/>
    <cellStyle name="Normal 42 5 4 3" xfId="13972" xr:uid="{00000000-0005-0000-0000-00006D4B0000}"/>
    <cellStyle name="Normal 42 5 4 3 2" xfId="30516" xr:uid="{00000000-0005-0000-0000-00006E4B0000}"/>
    <cellStyle name="Normal 42 5 4 4" xfId="22473" xr:uid="{00000000-0005-0000-0000-00006F4B0000}"/>
    <cellStyle name="Normal 42 5 5" xfId="8447" xr:uid="{00000000-0005-0000-0000-0000704B0000}"/>
    <cellStyle name="Normal 42 5 5 2" xfId="17805" xr:uid="{00000000-0005-0000-0000-0000714B0000}"/>
    <cellStyle name="Normal 42 5 5 2 2" xfId="34379" xr:uid="{00000000-0005-0000-0000-0000724B0000}"/>
    <cellStyle name="Normal 42 5 5 3" xfId="26332" xr:uid="{00000000-0005-0000-0000-0000734B0000}"/>
    <cellStyle name="Normal 42 5 6" xfId="13965" xr:uid="{00000000-0005-0000-0000-0000744B0000}"/>
    <cellStyle name="Normal 42 5 6 2" xfId="30509" xr:uid="{00000000-0005-0000-0000-0000754B0000}"/>
    <cellStyle name="Normal 42 5 7" xfId="22466" xr:uid="{00000000-0005-0000-0000-0000764B0000}"/>
    <cellStyle name="Normal 42 6" xfId="4423" xr:uid="{00000000-0005-0000-0000-0000774B0000}"/>
    <cellStyle name="Normal 42 6 2" xfId="4424" xr:uid="{00000000-0005-0000-0000-0000784B0000}"/>
    <cellStyle name="Normal 42 6 2 2" xfId="4425" xr:uid="{00000000-0005-0000-0000-0000794B0000}"/>
    <cellStyle name="Normal 42 6 2 2 2" xfId="8448" xr:uid="{00000000-0005-0000-0000-00007A4B0000}"/>
    <cellStyle name="Normal 42 6 2 2 2 2" xfId="17806" xr:uid="{00000000-0005-0000-0000-00007B4B0000}"/>
    <cellStyle name="Normal 42 6 2 2 2 2 2" xfId="34380" xr:uid="{00000000-0005-0000-0000-00007C4B0000}"/>
    <cellStyle name="Normal 42 6 2 2 2 3" xfId="26333" xr:uid="{00000000-0005-0000-0000-00007D4B0000}"/>
    <cellStyle name="Normal 42 6 2 2 3" xfId="13975" xr:uid="{00000000-0005-0000-0000-00007E4B0000}"/>
    <cellStyle name="Normal 42 6 2 2 3 2" xfId="30519" xr:uid="{00000000-0005-0000-0000-00007F4B0000}"/>
    <cellStyle name="Normal 42 6 2 2 4" xfId="22476" xr:uid="{00000000-0005-0000-0000-0000804B0000}"/>
    <cellStyle name="Normal 42 6 2 3" xfId="8449" xr:uid="{00000000-0005-0000-0000-0000814B0000}"/>
    <cellStyle name="Normal 42 6 2 3 2" xfId="17807" xr:uid="{00000000-0005-0000-0000-0000824B0000}"/>
    <cellStyle name="Normal 42 6 2 3 2 2" xfId="34381" xr:uid="{00000000-0005-0000-0000-0000834B0000}"/>
    <cellStyle name="Normal 42 6 2 3 3" xfId="26334" xr:uid="{00000000-0005-0000-0000-0000844B0000}"/>
    <cellStyle name="Normal 42 6 2 4" xfId="13974" xr:uid="{00000000-0005-0000-0000-0000854B0000}"/>
    <cellStyle name="Normal 42 6 2 4 2" xfId="30518" xr:uid="{00000000-0005-0000-0000-0000864B0000}"/>
    <cellStyle name="Normal 42 6 2 5" xfId="22475" xr:uid="{00000000-0005-0000-0000-0000874B0000}"/>
    <cellStyle name="Normal 42 6 3" xfId="4426" xr:uid="{00000000-0005-0000-0000-0000884B0000}"/>
    <cellStyle name="Normal 42 6 3 2" xfId="8450" xr:uid="{00000000-0005-0000-0000-0000894B0000}"/>
    <cellStyle name="Normal 42 6 3 2 2" xfId="17808" xr:uid="{00000000-0005-0000-0000-00008A4B0000}"/>
    <cellStyle name="Normal 42 6 3 2 2 2" xfId="34382" xr:uid="{00000000-0005-0000-0000-00008B4B0000}"/>
    <cellStyle name="Normal 42 6 3 2 3" xfId="26335" xr:uid="{00000000-0005-0000-0000-00008C4B0000}"/>
    <cellStyle name="Normal 42 6 3 3" xfId="13976" xr:uid="{00000000-0005-0000-0000-00008D4B0000}"/>
    <cellStyle name="Normal 42 6 3 3 2" xfId="30520" xr:uid="{00000000-0005-0000-0000-00008E4B0000}"/>
    <cellStyle name="Normal 42 6 3 4" xfId="22477" xr:uid="{00000000-0005-0000-0000-00008F4B0000}"/>
    <cellStyle name="Normal 42 6 4" xfId="8451" xr:uid="{00000000-0005-0000-0000-0000904B0000}"/>
    <cellStyle name="Normal 42 6 4 2" xfId="17809" xr:uid="{00000000-0005-0000-0000-0000914B0000}"/>
    <cellStyle name="Normal 42 6 4 2 2" xfId="34383" xr:uid="{00000000-0005-0000-0000-0000924B0000}"/>
    <cellStyle name="Normal 42 6 4 3" xfId="26336" xr:uid="{00000000-0005-0000-0000-0000934B0000}"/>
    <cellStyle name="Normal 42 6 5" xfId="13973" xr:uid="{00000000-0005-0000-0000-0000944B0000}"/>
    <cellStyle name="Normal 42 6 5 2" xfId="30517" xr:uid="{00000000-0005-0000-0000-0000954B0000}"/>
    <cellStyle name="Normal 42 6 6" xfId="22474" xr:uid="{00000000-0005-0000-0000-0000964B0000}"/>
    <cellStyle name="Normal 42 7" xfId="4427" xr:uid="{00000000-0005-0000-0000-0000974B0000}"/>
    <cellStyle name="Normal 42 7 2" xfId="4428" xr:uid="{00000000-0005-0000-0000-0000984B0000}"/>
    <cellStyle name="Normal 42 7 2 2" xfId="8452" xr:uid="{00000000-0005-0000-0000-0000994B0000}"/>
    <cellStyle name="Normal 42 7 2 2 2" xfId="17810" xr:uid="{00000000-0005-0000-0000-00009A4B0000}"/>
    <cellStyle name="Normal 42 7 2 2 2 2" xfId="34384" xr:uid="{00000000-0005-0000-0000-00009B4B0000}"/>
    <cellStyle name="Normal 42 7 2 2 3" xfId="26337" xr:uid="{00000000-0005-0000-0000-00009C4B0000}"/>
    <cellStyle name="Normal 42 7 2 3" xfId="13978" xr:uid="{00000000-0005-0000-0000-00009D4B0000}"/>
    <cellStyle name="Normal 42 7 2 3 2" xfId="30522" xr:uid="{00000000-0005-0000-0000-00009E4B0000}"/>
    <cellStyle name="Normal 42 7 2 4" xfId="22479" xr:uid="{00000000-0005-0000-0000-00009F4B0000}"/>
    <cellStyle name="Normal 42 7 3" xfId="8453" xr:uid="{00000000-0005-0000-0000-0000A04B0000}"/>
    <cellStyle name="Normal 42 7 3 2" xfId="17811" xr:uid="{00000000-0005-0000-0000-0000A14B0000}"/>
    <cellStyle name="Normal 42 7 3 2 2" xfId="34385" xr:uid="{00000000-0005-0000-0000-0000A24B0000}"/>
    <cellStyle name="Normal 42 7 3 3" xfId="26338" xr:uid="{00000000-0005-0000-0000-0000A34B0000}"/>
    <cellStyle name="Normal 42 7 4" xfId="13977" xr:uid="{00000000-0005-0000-0000-0000A44B0000}"/>
    <cellStyle name="Normal 42 7 4 2" xfId="30521" xr:uid="{00000000-0005-0000-0000-0000A54B0000}"/>
    <cellStyle name="Normal 42 7 5" xfId="22478" xr:uid="{00000000-0005-0000-0000-0000A64B0000}"/>
    <cellStyle name="Normal 42 8" xfId="4429" xr:uid="{00000000-0005-0000-0000-0000A74B0000}"/>
    <cellStyle name="Normal 42 8 2" xfId="8454" xr:uid="{00000000-0005-0000-0000-0000A84B0000}"/>
    <cellStyle name="Normal 42 8 2 2" xfId="17812" xr:uid="{00000000-0005-0000-0000-0000A94B0000}"/>
    <cellStyle name="Normal 42 8 2 2 2" xfId="34386" xr:uid="{00000000-0005-0000-0000-0000AA4B0000}"/>
    <cellStyle name="Normal 42 8 2 3" xfId="26339" xr:uid="{00000000-0005-0000-0000-0000AB4B0000}"/>
    <cellStyle name="Normal 42 8 3" xfId="13979" xr:uid="{00000000-0005-0000-0000-0000AC4B0000}"/>
    <cellStyle name="Normal 42 8 3 2" xfId="30523" xr:uid="{00000000-0005-0000-0000-0000AD4B0000}"/>
    <cellStyle name="Normal 42 8 4" xfId="22480" xr:uid="{00000000-0005-0000-0000-0000AE4B0000}"/>
    <cellStyle name="Normal 42 9" xfId="8455" xr:uid="{00000000-0005-0000-0000-0000AF4B0000}"/>
    <cellStyle name="Normal 42 9 2" xfId="17813" xr:uid="{00000000-0005-0000-0000-0000B04B0000}"/>
    <cellStyle name="Normal 42 9 2 2" xfId="34387" xr:uid="{00000000-0005-0000-0000-0000B14B0000}"/>
    <cellStyle name="Normal 42 9 3" xfId="26340" xr:uid="{00000000-0005-0000-0000-0000B24B0000}"/>
    <cellStyle name="Normal 43" xfId="4430" xr:uid="{00000000-0005-0000-0000-0000B34B0000}"/>
    <cellStyle name="Normal 43 10" xfId="13980" xr:uid="{00000000-0005-0000-0000-0000B44B0000}"/>
    <cellStyle name="Normal 43 10 2" xfId="30524" xr:uid="{00000000-0005-0000-0000-0000B54B0000}"/>
    <cellStyle name="Normal 43 11" xfId="22481" xr:uid="{00000000-0005-0000-0000-0000B64B0000}"/>
    <cellStyle name="Normal 43 2" xfId="4431" xr:uid="{00000000-0005-0000-0000-0000B74B0000}"/>
    <cellStyle name="Normal 43 2 2" xfId="4432" xr:uid="{00000000-0005-0000-0000-0000B84B0000}"/>
    <cellStyle name="Normal 43 2 3" xfId="13981" xr:uid="{00000000-0005-0000-0000-0000B94B0000}"/>
    <cellStyle name="Normal 43 2 3 2" xfId="30525" xr:uid="{00000000-0005-0000-0000-0000BA4B0000}"/>
    <cellStyle name="Normal 43 2 4" xfId="22482" xr:uid="{00000000-0005-0000-0000-0000BB4B0000}"/>
    <cellStyle name="Normal 43 3" xfId="4433" xr:uid="{00000000-0005-0000-0000-0000BC4B0000}"/>
    <cellStyle name="Normal 43 3 2" xfId="4434" xr:uid="{00000000-0005-0000-0000-0000BD4B0000}"/>
    <cellStyle name="Normal 43 3 2 2" xfId="4435" xr:uid="{00000000-0005-0000-0000-0000BE4B0000}"/>
    <cellStyle name="Normal 43 3 2 2 2" xfId="4436" xr:uid="{00000000-0005-0000-0000-0000BF4B0000}"/>
    <cellStyle name="Normal 43 3 2 2 2 2" xfId="8456" xr:uid="{00000000-0005-0000-0000-0000C04B0000}"/>
    <cellStyle name="Normal 43 3 2 2 2 2 2" xfId="17814" xr:uid="{00000000-0005-0000-0000-0000C14B0000}"/>
    <cellStyle name="Normal 43 3 2 2 2 2 2 2" xfId="34388" xr:uid="{00000000-0005-0000-0000-0000C24B0000}"/>
    <cellStyle name="Normal 43 3 2 2 2 2 3" xfId="26341" xr:uid="{00000000-0005-0000-0000-0000C34B0000}"/>
    <cellStyle name="Normal 43 3 2 2 2 3" xfId="13984" xr:uid="{00000000-0005-0000-0000-0000C44B0000}"/>
    <cellStyle name="Normal 43 3 2 2 2 3 2" xfId="30528" xr:uid="{00000000-0005-0000-0000-0000C54B0000}"/>
    <cellStyle name="Normal 43 3 2 2 2 4" xfId="22485" xr:uid="{00000000-0005-0000-0000-0000C64B0000}"/>
    <cellStyle name="Normal 43 3 2 2 3" xfId="8457" xr:uid="{00000000-0005-0000-0000-0000C74B0000}"/>
    <cellStyle name="Normal 43 3 2 2 3 2" xfId="17815" xr:uid="{00000000-0005-0000-0000-0000C84B0000}"/>
    <cellStyle name="Normal 43 3 2 2 3 2 2" xfId="34389" xr:uid="{00000000-0005-0000-0000-0000C94B0000}"/>
    <cellStyle name="Normal 43 3 2 2 3 3" xfId="26342" xr:uid="{00000000-0005-0000-0000-0000CA4B0000}"/>
    <cellStyle name="Normal 43 3 2 2 4" xfId="13983" xr:uid="{00000000-0005-0000-0000-0000CB4B0000}"/>
    <cellStyle name="Normal 43 3 2 2 4 2" xfId="30527" xr:uid="{00000000-0005-0000-0000-0000CC4B0000}"/>
    <cellStyle name="Normal 43 3 2 2 5" xfId="22484" xr:uid="{00000000-0005-0000-0000-0000CD4B0000}"/>
    <cellStyle name="Normal 43 3 2 3" xfId="4437" xr:uid="{00000000-0005-0000-0000-0000CE4B0000}"/>
    <cellStyle name="Normal 43 3 2 3 2" xfId="8458" xr:uid="{00000000-0005-0000-0000-0000CF4B0000}"/>
    <cellStyle name="Normal 43 3 2 3 2 2" xfId="17816" xr:uid="{00000000-0005-0000-0000-0000D04B0000}"/>
    <cellStyle name="Normal 43 3 2 3 2 2 2" xfId="34390" xr:uid="{00000000-0005-0000-0000-0000D14B0000}"/>
    <cellStyle name="Normal 43 3 2 3 2 3" xfId="26343" xr:uid="{00000000-0005-0000-0000-0000D24B0000}"/>
    <cellStyle name="Normal 43 3 2 3 3" xfId="13985" xr:uid="{00000000-0005-0000-0000-0000D34B0000}"/>
    <cellStyle name="Normal 43 3 2 3 3 2" xfId="30529" xr:uid="{00000000-0005-0000-0000-0000D44B0000}"/>
    <cellStyle name="Normal 43 3 2 3 4" xfId="22486" xr:uid="{00000000-0005-0000-0000-0000D54B0000}"/>
    <cellStyle name="Normal 43 3 2 4" xfId="8459" xr:uid="{00000000-0005-0000-0000-0000D64B0000}"/>
    <cellStyle name="Normal 43 3 2 4 2" xfId="17817" xr:uid="{00000000-0005-0000-0000-0000D74B0000}"/>
    <cellStyle name="Normal 43 3 2 4 2 2" xfId="34391" xr:uid="{00000000-0005-0000-0000-0000D84B0000}"/>
    <cellStyle name="Normal 43 3 2 4 3" xfId="26344" xr:uid="{00000000-0005-0000-0000-0000D94B0000}"/>
    <cellStyle name="Normal 43 3 2 5" xfId="13982" xr:uid="{00000000-0005-0000-0000-0000DA4B0000}"/>
    <cellStyle name="Normal 43 3 2 5 2" xfId="30526" xr:uid="{00000000-0005-0000-0000-0000DB4B0000}"/>
    <cellStyle name="Normal 43 3 2 6" xfId="22483" xr:uid="{00000000-0005-0000-0000-0000DC4B0000}"/>
    <cellStyle name="Normal 43 3 3" xfId="4438" xr:uid="{00000000-0005-0000-0000-0000DD4B0000}"/>
    <cellStyle name="Normal 43 3 3 2" xfId="4439" xr:uid="{00000000-0005-0000-0000-0000DE4B0000}"/>
    <cellStyle name="Normal 43 3 3 2 2" xfId="8460" xr:uid="{00000000-0005-0000-0000-0000DF4B0000}"/>
    <cellStyle name="Normal 43 3 3 2 2 2" xfId="17818" xr:uid="{00000000-0005-0000-0000-0000E04B0000}"/>
    <cellStyle name="Normal 43 3 3 2 2 2 2" xfId="34392" xr:uid="{00000000-0005-0000-0000-0000E14B0000}"/>
    <cellStyle name="Normal 43 3 3 2 2 3" xfId="26345" xr:uid="{00000000-0005-0000-0000-0000E24B0000}"/>
    <cellStyle name="Normal 43 3 3 2 3" xfId="13987" xr:uid="{00000000-0005-0000-0000-0000E34B0000}"/>
    <cellStyle name="Normal 43 3 3 2 3 2" xfId="30531" xr:uid="{00000000-0005-0000-0000-0000E44B0000}"/>
    <cellStyle name="Normal 43 3 3 2 4" xfId="22488" xr:uid="{00000000-0005-0000-0000-0000E54B0000}"/>
    <cellStyle name="Normal 43 3 3 3" xfId="8461" xr:uid="{00000000-0005-0000-0000-0000E64B0000}"/>
    <cellStyle name="Normal 43 3 3 3 2" xfId="17819" xr:uid="{00000000-0005-0000-0000-0000E74B0000}"/>
    <cellStyle name="Normal 43 3 3 3 2 2" xfId="34393" xr:uid="{00000000-0005-0000-0000-0000E84B0000}"/>
    <cellStyle name="Normal 43 3 3 3 3" xfId="26346" xr:uid="{00000000-0005-0000-0000-0000E94B0000}"/>
    <cellStyle name="Normal 43 3 3 4" xfId="13986" xr:uid="{00000000-0005-0000-0000-0000EA4B0000}"/>
    <cellStyle name="Normal 43 3 3 4 2" xfId="30530" xr:uid="{00000000-0005-0000-0000-0000EB4B0000}"/>
    <cellStyle name="Normal 43 3 3 5" xfId="22487" xr:uid="{00000000-0005-0000-0000-0000EC4B0000}"/>
    <cellStyle name="Normal 43 3 4" xfId="4440" xr:uid="{00000000-0005-0000-0000-0000ED4B0000}"/>
    <cellStyle name="Normal 43 3 4 2" xfId="8462" xr:uid="{00000000-0005-0000-0000-0000EE4B0000}"/>
    <cellStyle name="Normal 43 3 4 2 2" xfId="17820" xr:uid="{00000000-0005-0000-0000-0000EF4B0000}"/>
    <cellStyle name="Normal 43 3 4 2 2 2" xfId="34394" xr:uid="{00000000-0005-0000-0000-0000F04B0000}"/>
    <cellStyle name="Normal 43 3 4 2 3" xfId="26347" xr:uid="{00000000-0005-0000-0000-0000F14B0000}"/>
    <cellStyle name="Normal 43 3 4 3" xfId="13988" xr:uid="{00000000-0005-0000-0000-0000F24B0000}"/>
    <cellStyle name="Normal 43 3 4 3 2" xfId="30532" xr:uid="{00000000-0005-0000-0000-0000F34B0000}"/>
    <cellStyle name="Normal 43 3 4 4" xfId="22489" xr:uid="{00000000-0005-0000-0000-0000F44B0000}"/>
    <cellStyle name="Normal 43 3 5" xfId="4441" xr:uid="{00000000-0005-0000-0000-0000F54B0000}"/>
    <cellStyle name="Normal 43 3 5 2" xfId="13989" xr:uid="{00000000-0005-0000-0000-0000F64B0000}"/>
    <cellStyle name="Normal 43 3 5 2 2" xfId="30533" xr:uid="{00000000-0005-0000-0000-0000F74B0000}"/>
    <cellStyle name="Normal 43 3 5 3" xfId="22490" xr:uid="{00000000-0005-0000-0000-0000F84B0000}"/>
    <cellStyle name="Normal 43 4" xfId="4442" xr:uid="{00000000-0005-0000-0000-0000F94B0000}"/>
    <cellStyle name="Normal 43 4 2" xfId="4443" xr:uid="{00000000-0005-0000-0000-0000FA4B0000}"/>
    <cellStyle name="Normal 43 4 2 2" xfId="4444" xr:uid="{00000000-0005-0000-0000-0000FB4B0000}"/>
    <cellStyle name="Normal 43 4 2 2 2" xfId="4445" xr:uid="{00000000-0005-0000-0000-0000FC4B0000}"/>
    <cellStyle name="Normal 43 4 2 2 2 2" xfId="8463" xr:uid="{00000000-0005-0000-0000-0000FD4B0000}"/>
    <cellStyle name="Normal 43 4 2 2 2 2 2" xfId="17821" xr:uid="{00000000-0005-0000-0000-0000FE4B0000}"/>
    <cellStyle name="Normal 43 4 2 2 2 2 2 2" xfId="34395" xr:uid="{00000000-0005-0000-0000-0000FF4B0000}"/>
    <cellStyle name="Normal 43 4 2 2 2 2 3" xfId="26348" xr:uid="{00000000-0005-0000-0000-0000004C0000}"/>
    <cellStyle name="Normal 43 4 2 2 2 3" xfId="13993" xr:uid="{00000000-0005-0000-0000-0000014C0000}"/>
    <cellStyle name="Normal 43 4 2 2 2 3 2" xfId="30537" xr:uid="{00000000-0005-0000-0000-0000024C0000}"/>
    <cellStyle name="Normal 43 4 2 2 2 4" xfId="22494" xr:uid="{00000000-0005-0000-0000-0000034C0000}"/>
    <cellStyle name="Normal 43 4 2 2 3" xfId="8464" xr:uid="{00000000-0005-0000-0000-0000044C0000}"/>
    <cellStyle name="Normal 43 4 2 2 3 2" xfId="17822" xr:uid="{00000000-0005-0000-0000-0000054C0000}"/>
    <cellStyle name="Normal 43 4 2 2 3 2 2" xfId="34396" xr:uid="{00000000-0005-0000-0000-0000064C0000}"/>
    <cellStyle name="Normal 43 4 2 2 3 3" xfId="26349" xr:uid="{00000000-0005-0000-0000-0000074C0000}"/>
    <cellStyle name="Normal 43 4 2 2 4" xfId="13992" xr:uid="{00000000-0005-0000-0000-0000084C0000}"/>
    <cellStyle name="Normal 43 4 2 2 4 2" xfId="30536" xr:uid="{00000000-0005-0000-0000-0000094C0000}"/>
    <cellStyle name="Normal 43 4 2 2 5" xfId="22493" xr:uid="{00000000-0005-0000-0000-00000A4C0000}"/>
    <cellStyle name="Normal 43 4 2 3" xfId="4446" xr:uid="{00000000-0005-0000-0000-00000B4C0000}"/>
    <cellStyle name="Normal 43 4 2 3 2" xfId="8465" xr:uid="{00000000-0005-0000-0000-00000C4C0000}"/>
    <cellStyle name="Normal 43 4 2 3 2 2" xfId="17823" xr:uid="{00000000-0005-0000-0000-00000D4C0000}"/>
    <cellStyle name="Normal 43 4 2 3 2 2 2" xfId="34397" xr:uid="{00000000-0005-0000-0000-00000E4C0000}"/>
    <cellStyle name="Normal 43 4 2 3 2 3" xfId="26350" xr:uid="{00000000-0005-0000-0000-00000F4C0000}"/>
    <cellStyle name="Normal 43 4 2 3 3" xfId="13994" xr:uid="{00000000-0005-0000-0000-0000104C0000}"/>
    <cellStyle name="Normal 43 4 2 3 3 2" xfId="30538" xr:uid="{00000000-0005-0000-0000-0000114C0000}"/>
    <cellStyle name="Normal 43 4 2 3 4" xfId="22495" xr:uid="{00000000-0005-0000-0000-0000124C0000}"/>
    <cellStyle name="Normal 43 4 2 4" xfId="8466" xr:uid="{00000000-0005-0000-0000-0000134C0000}"/>
    <cellStyle name="Normal 43 4 2 4 2" xfId="17824" xr:uid="{00000000-0005-0000-0000-0000144C0000}"/>
    <cellStyle name="Normal 43 4 2 4 2 2" xfId="34398" xr:uid="{00000000-0005-0000-0000-0000154C0000}"/>
    <cellStyle name="Normal 43 4 2 4 3" xfId="26351" xr:uid="{00000000-0005-0000-0000-0000164C0000}"/>
    <cellStyle name="Normal 43 4 2 5" xfId="13991" xr:uid="{00000000-0005-0000-0000-0000174C0000}"/>
    <cellStyle name="Normal 43 4 2 5 2" xfId="30535" xr:uid="{00000000-0005-0000-0000-0000184C0000}"/>
    <cellStyle name="Normal 43 4 2 6" xfId="22492" xr:uid="{00000000-0005-0000-0000-0000194C0000}"/>
    <cellStyle name="Normal 43 4 3" xfId="4447" xr:uid="{00000000-0005-0000-0000-00001A4C0000}"/>
    <cellStyle name="Normal 43 4 3 2" xfId="4448" xr:uid="{00000000-0005-0000-0000-00001B4C0000}"/>
    <cellStyle name="Normal 43 4 3 2 2" xfId="8467" xr:uid="{00000000-0005-0000-0000-00001C4C0000}"/>
    <cellStyle name="Normal 43 4 3 2 2 2" xfId="17825" xr:uid="{00000000-0005-0000-0000-00001D4C0000}"/>
    <cellStyle name="Normal 43 4 3 2 2 2 2" xfId="34399" xr:uid="{00000000-0005-0000-0000-00001E4C0000}"/>
    <cellStyle name="Normal 43 4 3 2 2 3" xfId="26352" xr:uid="{00000000-0005-0000-0000-00001F4C0000}"/>
    <cellStyle name="Normal 43 4 3 2 3" xfId="13996" xr:uid="{00000000-0005-0000-0000-0000204C0000}"/>
    <cellStyle name="Normal 43 4 3 2 3 2" xfId="30540" xr:uid="{00000000-0005-0000-0000-0000214C0000}"/>
    <cellStyle name="Normal 43 4 3 2 4" xfId="22497" xr:uid="{00000000-0005-0000-0000-0000224C0000}"/>
    <cellStyle name="Normal 43 4 3 3" xfId="8468" xr:uid="{00000000-0005-0000-0000-0000234C0000}"/>
    <cellStyle name="Normal 43 4 3 3 2" xfId="17826" xr:uid="{00000000-0005-0000-0000-0000244C0000}"/>
    <cellStyle name="Normal 43 4 3 3 2 2" xfId="34400" xr:uid="{00000000-0005-0000-0000-0000254C0000}"/>
    <cellStyle name="Normal 43 4 3 3 3" xfId="26353" xr:uid="{00000000-0005-0000-0000-0000264C0000}"/>
    <cellStyle name="Normal 43 4 3 4" xfId="13995" xr:uid="{00000000-0005-0000-0000-0000274C0000}"/>
    <cellStyle name="Normal 43 4 3 4 2" xfId="30539" xr:uid="{00000000-0005-0000-0000-0000284C0000}"/>
    <cellStyle name="Normal 43 4 3 5" xfId="22496" xr:uid="{00000000-0005-0000-0000-0000294C0000}"/>
    <cellStyle name="Normal 43 4 4" xfId="4449" xr:uid="{00000000-0005-0000-0000-00002A4C0000}"/>
    <cellStyle name="Normal 43 4 4 2" xfId="8469" xr:uid="{00000000-0005-0000-0000-00002B4C0000}"/>
    <cellStyle name="Normal 43 4 4 2 2" xfId="17827" xr:uid="{00000000-0005-0000-0000-00002C4C0000}"/>
    <cellStyle name="Normal 43 4 4 2 2 2" xfId="34401" xr:uid="{00000000-0005-0000-0000-00002D4C0000}"/>
    <cellStyle name="Normal 43 4 4 2 3" xfId="26354" xr:uid="{00000000-0005-0000-0000-00002E4C0000}"/>
    <cellStyle name="Normal 43 4 4 3" xfId="13997" xr:uid="{00000000-0005-0000-0000-00002F4C0000}"/>
    <cellStyle name="Normal 43 4 4 3 2" xfId="30541" xr:uid="{00000000-0005-0000-0000-0000304C0000}"/>
    <cellStyle name="Normal 43 4 4 4" xfId="22498" xr:uid="{00000000-0005-0000-0000-0000314C0000}"/>
    <cellStyle name="Normal 43 4 5" xfId="8470" xr:uid="{00000000-0005-0000-0000-0000324C0000}"/>
    <cellStyle name="Normal 43 4 5 2" xfId="17828" xr:uid="{00000000-0005-0000-0000-0000334C0000}"/>
    <cellStyle name="Normal 43 4 5 2 2" xfId="34402" xr:uid="{00000000-0005-0000-0000-0000344C0000}"/>
    <cellStyle name="Normal 43 4 5 3" xfId="26355" xr:uid="{00000000-0005-0000-0000-0000354C0000}"/>
    <cellStyle name="Normal 43 4 6" xfId="13990" xr:uid="{00000000-0005-0000-0000-0000364C0000}"/>
    <cellStyle name="Normal 43 4 6 2" xfId="30534" xr:uid="{00000000-0005-0000-0000-0000374C0000}"/>
    <cellStyle name="Normal 43 4 7" xfId="22491" xr:uid="{00000000-0005-0000-0000-0000384C0000}"/>
    <cellStyle name="Normal 43 5" xfId="4450" xr:uid="{00000000-0005-0000-0000-0000394C0000}"/>
    <cellStyle name="Normal 43 5 2" xfId="4451" xr:uid="{00000000-0005-0000-0000-00003A4C0000}"/>
    <cellStyle name="Normal 43 5 2 2" xfId="4452" xr:uid="{00000000-0005-0000-0000-00003B4C0000}"/>
    <cellStyle name="Normal 43 5 2 2 2" xfId="4453" xr:uid="{00000000-0005-0000-0000-00003C4C0000}"/>
    <cellStyle name="Normal 43 5 2 2 2 2" xfId="8471" xr:uid="{00000000-0005-0000-0000-00003D4C0000}"/>
    <cellStyle name="Normal 43 5 2 2 2 2 2" xfId="17829" xr:uid="{00000000-0005-0000-0000-00003E4C0000}"/>
    <cellStyle name="Normal 43 5 2 2 2 2 2 2" xfId="34403" xr:uid="{00000000-0005-0000-0000-00003F4C0000}"/>
    <cellStyle name="Normal 43 5 2 2 2 2 3" xfId="26356" xr:uid="{00000000-0005-0000-0000-0000404C0000}"/>
    <cellStyle name="Normal 43 5 2 2 2 3" xfId="14001" xr:uid="{00000000-0005-0000-0000-0000414C0000}"/>
    <cellStyle name="Normal 43 5 2 2 2 3 2" xfId="30545" xr:uid="{00000000-0005-0000-0000-0000424C0000}"/>
    <cellStyle name="Normal 43 5 2 2 2 4" xfId="22502" xr:uid="{00000000-0005-0000-0000-0000434C0000}"/>
    <cellStyle name="Normal 43 5 2 2 3" xfId="8472" xr:uid="{00000000-0005-0000-0000-0000444C0000}"/>
    <cellStyle name="Normal 43 5 2 2 3 2" xfId="17830" xr:uid="{00000000-0005-0000-0000-0000454C0000}"/>
    <cellStyle name="Normal 43 5 2 2 3 2 2" xfId="34404" xr:uid="{00000000-0005-0000-0000-0000464C0000}"/>
    <cellStyle name="Normal 43 5 2 2 3 3" xfId="26357" xr:uid="{00000000-0005-0000-0000-0000474C0000}"/>
    <cellStyle name="Normal 43 5 2 2 4" xfId="14000" xr:uid="{00000000-0005-0000-0000-0000484C0000}"/>
    <cellStyle name="Normal 43 5 2 2 4 2" xfId="30544" xr:uid="{00000000-0005-0000-0000-0000494C0000}"/>
    <cellStyle name="Normal 43 5 2 2 5" xfId="22501" xr:uid="{00000000-0005-0000-0000-00004A4C0000}"/>
    <cellStyle name="Normal 43 5 2 3" xfId="4454" xr:uid="{00000000-0005-0000-0000-00004B4C0000}"/>
    <cellStyle name="Normal 43 5 2 3 2" xfId="8473" xr:uid="{00000000-0005-0000-0000-00004C4C0000}"/>
    <cellStyle name="Normal 43 5 2 3 2 2" xfId="17831" xr:uid="{00000000-0005-0000-0000-00004D4C0000}"/>
    <cellStyle name="Normal 43 5 2 3 2 2 2" xfId="34405" xr:uid="{00000000-0005-0000-0000-00004E4C0000}"/>
    <cellStyle name="Normal 43 5 2 3 2 3" xfId="26358" xr:uid="{00000000-0005-0000-0000-00004F4C0000}"/>
    <cellStyle name="Normal 43 5 2 3 3" xfId="14002" xr:uid="{00000000-0005-0000-0000-0000504C0000}"/>
    <cellStyle name="Normal 43 5 2 3 3 2" xfId="30546" xr:uid="{00000000-0005-0000-0000-0000514C0000}"/>
    <cellStyle name="Normal 43 5 2 3 4" xfId="22503" xr:uid="{00000000-0005-0000-0000-0000524C0000}"/>
    <cellStyle name="Normal 43 5 2 4" xfId="8474" xr:uid="{00000000-0005-0000-0000-0000534C0000}"/>
    <cellStyle name="Normal 43 5 2 4 2" xfId="17832" xr:uid="{00000000-0005-0000-0000-0000544C0000}"/>
    <cellStyle name="Normal 43 5 2 4 2 2" xfId="34406" xr:uid="{00000000-0005-0000-0000-0000554C0000}"/>
    <cellStyle name="Normal 43 5 2 4 3" xfId="26359" xr:uid="{00000000-0005-0000-0000-0000564C0000}"/>
    <cellStyle name="Normal 43 5 2 5" xfId="13999" xr:uid="{00000000-0005-0000-0000-0000574C0000}"/>
    <cellStyle name="Normal 43 5 2 5 2" xfId="30543" xr:uid="{00000000-0005-0000-0000-0000584C0000}"/>
    <cellStyle name="Normal 43 5 2 6" xfId="22500" xr:uid="{00000000-0005-0000-0000-0000594C0000}"/>
    <cellStyle name="Normal 43 5 3" xfId="4455" xr:uid="{00000000-0005-0000-0000-00005A4C0000}"/>
    <cellStyle name="Normal 43 5 3 2" xfId="4456" xr:uid="{00000000-0005-0000-0000-00005B4C0000}"/>
    <cellStyle name="Normal 43 5 3 2 2" xfId="8475" xr:uid="{00000000-0005-0000-0000-00005C4C0000}"/>
    <cellStyle name="Normal 43 5 3 2 2 2" xfId="17833" xr:uid="{00000000-0005-0000-0000-00005D4C0000}"/>
    <cellStyle name="Normal 43 5 3 2 2 2 2" xfId="34407" xr:uid="{00000000-0005-0000-0000-00005E4C0000}"/>
    <cellStyle name="Normal 43 5 3 2 2 3" xfId="26360" xr:uid="{00000000-0005-0000-0000-00005F4C0000}"/>
    <cellStyle name="Normal 43 5 3 2 3" xfId="14004" xr:uid="{00000000-0005-0000-0000-0000604C0000}"/>
    <cellStyle name="Normal 43 5 3 2 3 2" xfId="30548" xr:uid="{00000000-0005-0000-0000-0000614C0000}"/>
    <cellStyle name="Normal 43 5 3 2 4" xfId="22505" xr:uid="{00000000-0005-0000-0000-0000624C0000}"/>
    <cellStyle name="Normal 43 5 3 3" xfId="8476" xr:uid="{00000000-0005-0000-0000-0000634C0000}"/>
    <cellStyle name="Normal 43 5 3 3 2" xfId="17834" xr:uid="{00000000-0005-0000-0000-0000644C0000}"/>
    <cellStyle name="Normal 43 5 3 3 2 2" xfId="34408" xr:uid="{00000000-0005-0000-0000-0000654C0000}"/>
    <cellStyle name="Normal 43 5 3 3 3" xfId="26361" xr:uid="{00000000-0005-0000-0000-0000664C0000}"/>
    <cellStyle name="Normal 43 5 3 4" xfId="14003" xr:uid="{00000000-0005-0000-0000-0000674C0000}"/>
    <cellStyle name="Normal 43 5 3 4 2" xfId="30547" xr:uid="{00000000-0005-0000-0000-0000684C0000}"/>
    <cellStyle name="Normal 43 5 3 5" xfId="22504" xr:uid="{00000000-0005-0000-0000-0000694C0000}"/>
    <cellStyle name="Normal 43 5 4" xfId="4457" xr:uid="{00000000-0005-0000-0000-00006A4C0000}"/>
    <cellStyle name="Normal 43 5 4 2" xfId="8477" xr:uid="{00000000-0005-0000-0000-00006B4C0000}"/>
    <cellStyle name="Normal 43 5 4 2 2" xfId="17835" xr:uid="{00000000-0005-0000-0000-00006C4C0000}"/>
    <cellStyle name="Normal 43 5 4 2 2 2" xfId="34409" xr:uid="{00000000-0005-0000-0000-00006D4C0000}"/>
    <cellStyle name="Normal 43 5 4 2 3" xfId="26362" xr:uid="{00000000-0005-0000-0000-00006E4C0000}"/>
    <cellStyle name="Normal 43 5 4 3" xfId="14005" xr:uid="{00000000-0005-0000-0000-00006F4C0000}"/>
    <cellStyle name="Normal 43 5 4 3 2" xfId="30549" xr:uid="{00000000-0005-0000-0000-0000704C0000}"/>
    <cellStyle name="Normal 43 5 4 4" xfId="22506" xr:uid="{00000000-0005-0000-0000-0000714C0000}"/>
    <cellStyle name="Normal 43 5 5" xfId="8478" xr:uid="{00000000-0005-0000-0000-0000724C0000}"/>
    <cellStyle name="Normal 43 5 5 2" xfId="17836" xr:uid="{00000000-0005-0000-0000-0000734C0000}"/>
    <cellStyle name="Normal 43 5 5 2 2" xfId="34410" xr:uid="{00000000-0005-0000-0000-0000744C0000}"/>
    <cellStyle name="Normal 43 5 5 3" xfId="26363" xr:uid="{00000000-0005-0000-0000-0000754C0000}"/>
    <cellStyle name="Normal 43 5 6" xfId="13998" xr:uid="{00000000-0005-0000-0000-0000764C0000}"/>
    <cellStyle name="Normal 43 5 6 2" xfId="30542" xr:uid="{00000000-0005-0000-0000-0000774C0000}"/>
    <cellStyle name="Normal 43 5 7" xfId="22499" xr:uid="{00000000-0005-0000-0000-0000784C0000}"/>
    <cellStyle name="Normal 43 6" xfId="4458" xr:uid="{00000000-0005-0000-0000-0000794C0000}"/>
    <cellStyle name="Normal 43 6 2" xfId="4459" xr:uid="{00000000-0005-0000-0000-00007A4C0000}"/>
    <cellStyle name="Normal 43 6 2 2" xfId="4460" xr:uid="{00000000-0005-0000-0000-00007B4C0000}"/>
    <cellStyle name="Normal 43 6 2 2 2" xfId="8479" xr:uid="{00000000-0005-0000-0000-00007C4C0000}"/>
    <cellStyle name="Normal 43 6 2 2 2 2" xfId="17837" xr:uid="{00000000-0005-0000-0000-00007D4C0000}"/>
    <cellStyle name="Normal 43 6 2 2 2 2 2" xfId="34411" xr:uid="{00000000-0005-0000-0000-00007E4C0000}"/>
    <cellStyle name="Normal 43 6 2 2 2 3" xfId="26364" xr:uid="{00000000-0005-0000-0000-00007F4C0000}"/>
    <cellStyle name="Normal 43 6 2 2 3" xfId="14008" xr:uid="{00000000-0005-0000-0000-0000804C0000}"/>
    <cellStyle name="Normal 43 6 2 2 3 2" xfId="30552" xr:uid="{00000000-0005-0000-0000-0000814C0000}"/>
    <cellStyle name="Normal 43 6 2 2 4" xfId="22509" xr:uid="{00000000-0005-0000-0000-0000824C0000}"/>
    <cellStyle name="Normal 43 6 2 3" xfId="8480" xr:uid="{00000000-0005-0000-0000-0000834C0000}"/>
    <cellStyle name="Normal 43 6 2 3 2" xfId="17838" xr:uid="{00000000-0005-0000-0000-0000844C0000}"/>
    <cellStyle name="Normal 43 6 2 3 2 2" xfId="34412" xr:uid="{00000000-0005-0000-0000-0000854C0000}"/>
    <cellStyle name="Normal 43 6 2 3 3" xfId="26365" xr:uid="{00000000-0005-0000-0000-0000864C0000}"/>
    <cellStyle name="Normal 43 6 2 4" xfId="14007" xr:uid="{00000000-0005-0000-0000-0000874C0000}"/>
    <cellStyle name="Normal 43 6 2 4 2" xfId="30551" xr:uid="{00000000-0005-0000-0000-0000884C0000}"/>
    <cellStyle name="Normal 43 6 2 5" xfId="22508" xr:uid="{00000000-0005-0000-0000-0000894C0000}"/>
    <cellStyle name="Normal 43 6 3" xfId="4461" xr:uid="{00000000-0005-0000-0000-00008A4C0000}"/>
    <cellStyle name="Normal 43 6 3 2" xfId="8481" xr:uid="{00000000-0005-0000-0000-00008B4C0000}"/>
    <cellStyle name="Normal 43 6 3 2 2" xfId="17839" xr:uid="{00000000-0005-0000-0000-00008C4C0000}"/>
    <cellStyle name="Normal 43 6 3 2 2 2" xfId="34413" xr:uid="{00000000-0005-0000-0000-00008D4C0000}"/>
    <cellStyle name="Normal 43 6 3 2 3" xfId="26366" xr:uid="{00000000-0005-0000-0000-00008E4C0000}"/>
    <cellStyle name="Normal 43 6 3 3" xfId="14009" xr:uid="{00000000-0005-0000-0000-00008F4C0000}"/>
    <cellStyle name="Normal 43 6 3 3 2" xfId="30553" xr:uid="{00000000-0005-0000-0000-0000904C0000}"/>
    <cellStyle name="Normal 43 6 3 4" xfId="22510" xr:uid="{00000000-0005-0000-0000-0000914C0000}"/>
    <cellStyle name="Normal 43 6 4" xfId="8482" xr:uid="{00000000-0005-0000-0000-0000924C0000}"/>
    <cellStyle name="Normal 43 6 4 2" xfId="17840" xr:uid="{00000000-0005-0000-0000-0000934C0000}"/>
    <cellStyle name="Normal 43 6 4 2 2" xfId="34414" xr:uid="{00000000-0005-0000-0000-0000944C0000}"/>
    <cellStyle name="Normal 43 6 4 3" xfId="26367" xr:uid="{00000000-0005-0000-0000-0000954C0000}"/>
    <cellStyle name="Normal 43 6 5" xfId="14006" xr:uid="{00000000-0005-0000-0000-0000964C0000}"/>
    <cellStyle name="Normal 43 6 5 2" xfId="30550" xr:uid="{00000000-0005-0000-0000-0000974C0000}"/>
    <cellStyle name="Normal 43 6 6" xfId="22507" xr:uid="{00000000-0005-0000-0000-0000984C0000}"/>
    <cellStyle name="Normal 43 7" xfId="4462" xr:uid="{00000000-0005-0000-0000-0000994C0000}"/>
    <cellStyle name="Normal 43 7 2" xfId="4463" xr:uid="{00000000-0005-0000-0000-00009A4C0000}"/>
    <cellStyle name="Normal 43 7 2 2" xfId="8483" xr:uid="{00000000-0005-0000-0000-00009B4C0000}"/>
    <cellStyle name="Normal 43 7 2 2 2" xfId="17841" xr:uid="{00000000-0005-0000-0000-00009C4C0000}"/>
    <cellStyle name="Normal 43 7 2 2 2 2" xfId="34415" xr:uid="{00000000-0005-0000-0000-00009D4C0000}"/>
    <cellStyle name="Normal 43 7 2 2 3" xfId="26368" xr:uid="{00000000-0005-0000-0000-00009E4C0000}"/>
    <cellStyle name="Normal 43 7 2 3" xfId="14011" xr:uid="{00000000-0005-0000-0000-00009F4C0000}"/>
    <cellStyle name="Normal 43 7 2 3 2" xfId="30555" xr:uid="{00000000-0005-0000-0000-0000A04C0000}"/>
    <cellStyle name="Normal 43 7 2 4" xfId="22512" xr:uid="{00000000-0005-0000-0000-0000A14C0000}"/>
    <cellStyle name="Normal 43 7 3" xfId="8484" xr:uid="{00000000-0005-0000-0000-0000A24C0000}"/>
    <cellStyle name="Normal 43 7 3 2" xfId="17842" xr:uid="{00000000-0005-0000-0000-0000A34C0000}"/>
    <cellStyle name="Normal 43 7 3 2 2" xfId="34416" xr:uid="{00000000-0005-0000-0000-0000A44C0000}"/>
    <cellStyle name="Normal 43 7 3 3" xfId="26369" xr:uid="{00000000-0005-0000-0000-0000A54C0000}"/>
    <cellStyle name="Normal 43 7 4" xfId="14010" xr:uid="{00000000-0005-0000-0000-0000A64C0000}"/>
    <cellStyle name="Normal 43 7 4 2" xfId="30554" xr:uid="{00000000-0005-0000-0000-0000A74C0000}"/>
    <cellStyle name="Normal 43 7 5" xfId="22511" xr:uid="{00000000-0005-0000-0000-0000A84C0000}"/>
    <cellStyle name="Normal 43 8" xfId="4464" xr:uid="{00000000-0005-0000-0000-0000A94C0000}"/>
    <cellStyle name="Normal 43 8 2" xfId="8485" xr:uid="{00000000-0005-0000-0000-0000AA4C0000}"/>
    <cellStyle name="Normal 43 8 2 2" xfId="17843" xr:uid="{00000000-0005-0000-0000-0000AB4C0000}"/>
    <cellStyle name="Normal 43 8 2 2 2" xfId="34417" xr:uid="{00000000-0005-0000-0000-0000AC4C0000}"/>
    <cellStyle name="Normal 43 8 2 3" xfId="26370" xr:uid="{00000000-0005-0000-0000-0000AD4C0000}"/>
    <cellStyle name="Normal 43 8 3" xfId="14012" xr:uid="{00000000-0005-0000-0000-0000AE4C0000}"/>
    <cellStyle name="Normal 43 8 3 2" xfId="30556" xr:uid="{00000000-0005-0000-0000-0000AF4C0000}"/>
    <cellStyle name="Normal 43 8 4" xfId="22513" xr:uid="{00000000-0005-0000-0000-0000B04C0000}"/>
    <cellStyle name="Normal 43 9" xfId="8486" xr:uid="{00000000-0005-0000-0000-0000B14C0000}"/>
    <cellStyle name="Normal 43 9 2" xfId="17844" xr:uid="{00000000-0005-0000-0000-0000B24C0000}"/>
    <cellStyle name="Normal 43 9 2 2" xfId="34418" xr:uid="{00000000-0005-0000-0000-0000B34C0000}"/>
    <cellStyle name="Normal 43 9 3" xfId="26371" xr:uid="{00000000-0005-0000-0000-0000B44C0000}"/>
    <cellStyle name="Normal 44" xfId="4465" xr:uid="{00000000-0005-0000-0000-0000B54C0000}"/>
    <cellStyle name="Normal 44 10" xfId="14013" xr:uid="{00000000-0005-0000-0000-0000B64C0000}"/>
    <cellStyle name="Normal 44 10 2" xfId="30557" xr:uid="{00000000-0005-0000-0000-0000B74C0000}"/>
    <cellStyle name="Normal 44 11" xfId="22514" xr:uid="{00000000-0005-0000-0000-0000B84C0000}"/>
    <cellStyle name="Normal 44 2" xfId="4466" xr:uid="{00000000-0005-0000-0000-0000B94C0000}"/>
    <cellStyle name="Normal 44 2 2" xfId="4467" xr:uid="{00000000-0005-0000-0000-0000BA4C0000}"/>
    <cellStyle name="Normal 44 2 3" xfId="14014" xr:uid="{00000000-0005-0000-0000-0000BB4C0000}"/>
    <cellStyle name="Normal 44 2 3 2" xfId="30558" xr:uid="{00000000-0005-0000-0000-0000BC4C0000}"/>
    <cellStyle name="Normal 44 2 4" xfId="22515" xr:uid="{00000000-0005-0000-0000-0000BD4C0000}"/>
    <cellStyle name="Normal 44 3" xfId="4468" xr:uid="{00000000-0005-0000-0000-0000BE4C0000}"/>
    <cellStyle name="Normal 44 3 2" xfId="4469" xr:uid="{00000000-0005-0000-0000-0000BF4C0000}"/>
    <cellStyle name="Normal 44 3 2 2" xfId="4470" xr:uid="{00000000-0005-0000-0000-0000C04C0000}"/>
    <cellStyle name="Normal 44 3 2 2 2" xfId="4471" xr:uid="{00000000-0005-0000-0000-0000C14C0000}"/>
    <cellStyle name="Normal 44 3 2 2 2 2" xfId="8487" xr:uid="{00000000-0005-0000-0000-0000C24C0000}"/>
    <cellStyle name="Normal 44 3 2 2 2 2 2" xfId="17845" xr:uid="{00000000-0005-0000-0000-0000C34C0000}"/>
    <cellStyle name="Normal 44 3 2 2 2 2 2 2" xfId="34419" xr:uid="{00000000-0005-0000-0000-0000C44C0000}"/>
    <cellStyle name="Normal 44 3 2 2 2 2 3" xfId="26372" xr:uid="{00000000-0005-0000-0000-0000C54C0000}"/>
    <cellStyle name="Normal 44 3 2 2 2 3" xfId="14017" xr:uid="{00000000-0005-0000-0000-0000C64C0000}"/>
    <cellStyle name="Normal 44 3 2 2 2 3 2" xfId="30561" xr:uid="{00000000-0005-0000-0000-0000C74C0000}"/>
    <cellStyle name="Normal 44 3 2 2 2 4" xfId="22518" xr:uid="{00000000-0005-0000-0000-0000C84C0000}"/>
    <cellStyle name="Normal 44 3 2 2 3" xfId="8488" xr:uid="{00000000-0005-0000-0000-0000C94C0000}"/>
    <cellStyle name="Normal 44 3 2 2 3 2" xfId="17846" xr:uid="{00000000-0005-0000-0000-0000CA4C0000}"/>
    <cellStyle name="Normal 44 3 2 2 3 2 2" xfId="34420" xr:uid="{00000000-0005-0000-0000-0000CB4C0000}"/>
    <cellStyle name="Normal 44 3 2 2 3 3" xfId="26373" xr:uid="{00000000-0005-0000-0000-0000CC4C0000}"/>
    <cellStyle name="Normal 44 3 2 2 4" xfId="14016" xr:uid="{00000000-0005-0000-0000-0000CD4C0000}"/>
    <cellStyle name="Normal 44 3 2 2 4 2" xfId="30560" xr:uid="{00000000-0005-0000-0000-0000CE4C0000}"/>
    <cellStyle name="Normal 44 3 2 2 5" xfId="22517" xr:uid="{00000000-0005-0000-0000-0000CF4C0000}"/>
    <cellStyle name="Normal 44 3 2 3" xfId="4472" xr:uid="{00000000-0005-0000-0000-0000D04C0000}"/>
    <cellStyle name="Normal 44 3 2 3 2" xfId="8489" xr:uid="{00000000-0005-0000-0000-0000D14C0000}"/>
    <cellStyle name="Normal 44 3 2 3 2 2" xfId="17847" xr:uid="{00000000-0005-0000-0000-0000D24C0000}"/>
    <cellStyle name="Normal 44 3 2 3 2 2 2" xfId="34421" xr:uid="{00000000-0005-0000-0000-0000D34C0000}"/>
    <cellStyle name="Normal 44 3 2 3 2 3" xfId="26374" xr:uid="{00000000-0005-0000-0000-0000D44C0000}"/>
    <cellStyle name="Normal 44 3 2 3 3" xfId="14018" xr:uid="{00000000-0005-0000-0000-0000D54C0000}"/>
    <cellStyle name="Normal 44 3 2 3 3 2" xfId="30562" xr:uid="{00000000-0005-0000-0000-0000D64C0000}"/>
    <cellStyle name="Normal 44 3 2 3 4" xfId="22519" xr:uid="{00000000-0005-0000-0000-0000D74C0000}"/>
    <cellStyle name="Normal 44 3 2 4" xfId="8490" xr:uid="{00000000-0005-0000-0000-0000D84C0000}"/>
    <cellStyle name="Normal 44 3 2 4 2" xfId="17848" xr:uid="{00000000-0005-0000-0000-0000D94C0000}"/>
    <cellStyle name="Normal 44 3 2 4 2 2" xfId="34422" xr:uid="{00000000-0005-0000-0000-0000DA4C0000}"/>
    <cellStyle name="Normal 44 3 2 4 3" xfId="26375" xr:uid="{00000000-0005-0000-0000-0000DB4C0000}"/>
    <cellStyle name="Normal 44 3 2 5" xfId="14015" xr:uid="{00000000-0005-0000-0000-0000DC4C0000}"/>
    <cellStyle name="Normal 44 3 2 5 2" xfId="30559" xr:uid="{00000000-0005-0000-0000-0000DD4C0000}"/>
    <cellStyle name="Normal 44 3 2 6" xfId="22516" xr:uid="{00000000-0005-0000-0000-0000DE4C0000}"/>
    <cellStyle name="Normal 44 3 3" xfId="4473" xr:uid="{00000000-0005-0000-0000-0000DF4C0000}"/>
    <cellStyle name="Normal 44 3 3 2" xfId="4474" xr:uid="{00000000-0005-0000-0000-0000E04C0000}"/>
    <cellStyle name="Normal 44 3 3 2 2" xfId="8491" xr:uid="{00000000-0005-0000-0000-0000E14C0000}"/>
    <cellStyle name="Normal 44 3 3 2 2 2" xfId="17849" xr:uid="{00000000-0005-0000-0000-0000E24C0000}"/>
    <cellStyle name="Normal 44 3 3 2 2 2 2" xfId="34423" xr:uid="{00000000-0005-0000-0000-0000E34C0000}"/>
    <cellStyle name="Normal 44 3 3 2 2 3" xfId="26376" xr:uid="{00000000-0005-0000-0000-0000E44C0000}"/>
    <cellStyle name="Normal 44 3 3 2 3" xfId="14020" xr:uid="{00000000-0005-0000-0000-0000E54C0000}"/>
    <cellStyle name="Normal 44 3 3 2 3 2" xfId="30564" xr:uid="{00000000-0005-0000-0000-0000E64C0000}"/>
    <cellStyle name="Normal 44 3 3 2 4" xfId="22521" xr:uid="{00000000-0005-0000-0000-0000E74C0000}"/>
    <cellStyle name="Normal 44 3 3 3" xfId="8492" xr:uid="{00000000-0005-0000-0000-0000E84C0000}"/>
    <cellStyle name="Normal 44 3 3 3 2" xfId="17850" xr:uid="{00000000-0005-0000-0000-0000E94C0000}"/>
    <cellStyle name="Normal 44 3 3 3 2 2" xfId="34424" xr:uid="{00000000-0005-0000-0000-0000EA4C0000}"/>
    <cellStyle name="Normal 44 3 3 3 3" xfId="26377" xr:uid="{00000000-0005-0000-0000-0000EB4C0000}"/>
    <cellStyle name="Normal 44 3 3 4" xfId="14019" xr:uid="{00000000-0005-0000-0000-0000EC4C0000}"/>
    <cellStyle name="Normal 44 3 3 4 2" xfId="30563" xr:uid="{00000000-0005-0000-0000-0000ED4C0000}"/>
    <cellStyle name="Normal 44 3 3 5" xfId="22520" xr:uid="{00000000-0005-0000-0000-0000EE4C0000}"/>
    <cellStyle name="Normal 44 3 4" xfId="4475" xr:uid="{00000000-0005-0000-0000-0000EF4C0000}"/>
    <cellStyle name="Normal 44 3 4 2" xfId="8493" xr:uid="{00000000-0005-0000-0000-0000F04C0000}"/>
    <cellStyle name="Normal 44 3 4 2 2" xfId="17851" xr:uid="{00000000-0005-0000-0000-0000F14C0000}"/>
    <cellStyle name="Normal 44 3 4 2 2 2" xfId="34425" xr:uid="{00000000-0005-0000-0000-0000F24C0000}"/>
    <cellStyle name="Normal 44 3 4 2 3" xfId="26378" xr:uid="{00000000-0005-0000-0000-0000F34C0000}"/>
    <cellStyle name="Normal 44 3 4 3" xfId="14021" xr:uid="{00000000-0005-0000-0000-0000F44C0000}"/>
    <cellStyle name="Normal 44 3 4 3 2" xfId="30565" xr:uid="{00000000-0005-0000-0000-0000F54C0000}"/>
    <cellStyle name="Normal 44 3 4 4" xfId="22522" xr:uid="{00000000-0005-0000-0000-0000F64C0000}"/>
    <cellStyle name="Normal 44 3 5" xfId="4476" xr:uid="{00000000-0005-0000-0000-0000F74C0000}"/>
    <cellStyle name="Normal 44 3 5 2" xfId="14022" xr:uid="{00000000-0005-0000-0000-0000F84C0000}"/>
    <cellStyle name="Normal 44 3 5 2 2" xfId="30566" xr:uid="{00000000-0005-0000-0000-0000F94C0000}"/>
    <cellStyle name="Normal 44 3 5 3" xfId="22523" xr:uid="{00000000-0005-0000-0000-0000FA4C0000}"/>
    <cellStyle name="Normal 44 4" xfId="4477" xr:uid="{00000000-0005-0000-0000-0000FB4C0000}"/>
    <cellStyle name="Normal 44 4 2" xfId="4478" xr:uid="{00000000-0005-0000-0000-0000FC4C0000}"/>
    <cellStyle name="Normal 44 4 2 2" xfId="4479" xr:uid="{00000000-0005-0000-0000-0000FD4C0000}"/>
    <cellStyle name="Normal 44 4 2 2 2" xfId="4480" xr:uid="{00000000-0005-0000-0000-0000FE4C0000}"/>
    <cellStyle name="Normal 44 4 2 2 2 2" xfId="8494" xr:uid="{00000000-0005-0000-0000-0000FF4C0000}"/>
    <cellStyle name="Normal 44 4 2 2 2 2 2" xfId="17852" xr:uid="{00000000-0005-0000-0000-0000004D0000}"/>
    <cellStyle name="Normal 44 4 2 2 2 2 2 2" xfId="34426" xr:uid="{00000000-0005-0000-0000-0000014D0000}"/>
    <cellStyle name="Normal 44 4 2 2 2 2 3" xfId="26379" xr:uid="{00000000-0005-0000-0000-0000024D0000}"/>
    <cellStyle name="Normal 44 4 2 2 2 3" xfId="14026" xr:uid="{00000000-0005-0000-0000-0000034D0000}"/>
    <cellStyle name="Normal 44 4 2 2 2 3 2" xfId="30570" xr:uid="{00000000-0005-0000-0000-0000044D0000}"/>
    <cellStyle name="Normal 44 4 2 2 2 4" xfId="22527" xr:uid="{00000000-0005-0000-0000-0000054D0000}"/>
    <cellStyle name="Normal 44 4 2 2 3" xfId="8495" xr:uid="{00000000-0005-0000-0000-0000064D0000}"/>
    <cellStyle name="Normal 44 4 2 2 3 2" xfId="17853" xr:uid="{00000000-0005-0000-0000-0000074D0000}"/>
    <cellStyle name="Normal 44 4 2 2 3 2 2" xfId="34427" xr:uid="{00000000-0005-0000-0000-0000084D0000}"/>
    <cellStyle name="Normal 44 4 2 2 3 3" xfId="26380" xr:uid="{00000000-0005-0000-0000-0000094D0000}"/>
    <cellStyle name="Normal 44 4 2 2 4" xfId="14025" xr:uid="{00000000-0005-0000-0000-00000A4D0000}"/>
    <cellStyle name="Normal 44 4 2 2 4 2" xfId="30569" xr:uid="{00000000-0005-0000-0000-00000B4D0000}"/>
    <cellStyle name="Normal 44 4 2 2 5" xfId="22526" xr:uid="{00000000-0005-0000-0000-00000C4D0000}"/>
    <cellStyle name="Normal 44 4 2 3" xfId="4481" xr:uid="{00000000-0005-0000-0000-00000D4D0000}"/>
    <cellStyle name="Normal 44 4 2 3 2" xfId="8496" xr:uid="{00000000-0005-0000-0000-00000E4D0000}"/>
    <cellStyle name="Normal 44 4 2 3 2 2" xfId="17854" xr:uid="{00000000-0005-0000-0000-00000F4D0000}"/>
    <cellStyle name="Normal 44 4 2 3 2 2 2" xfId="34428" xr:uid="{00000000-0005-0000-0000-0000104D0000}"/>
    <cellStyle name="Normal 44 4 2 3 2 3" xfId="26381" xr:uid="{00000000-0005-0000-0000-0000114D0000}"/>
    <cellStyle name="Normal 44 4 2 3 3" xfId="14027" xr:uid="{00000000-0005-0000-0000-0000124D0000}"/>
    <cellStyle name="Normal 44 4 2 3 3 2" xfId="30571" xr:uid="{00000000-0005-0000-0000-0000134D0000}"/>
    <cellStyle name="Normal 44 4 2 3 4" xfId="22528" xr:uid="{00000000-0005-0000-0000-0000144D0000}"/>
    <cellStyle name="Normal 44 4 2 4" xfId="8497" xr:uid="{00000000-0005-0000-0000-0000154D0000}"/>
    <cellStyle name="Normal 44 4 2 4 2" xfId="17855" xr:uid="{00000000-0005-0000-0000-0000164D0000}"/>
    <cellStyle name="Normal 44 4 2 4 2 2" xfId="34429" xr:uid="{00000000-0005-0000-0000-0000174D0000}"/>
    <cellStyle name="Normal 44 4 2 4 3" xfId="26382" xr:uid="{00000000-0005-0000-0000-0000184D0000}"/>
    <cellStyle name="Normal 44 4 2 5" xfId="14024" xr:uid="{00000000-0005-0000-0000-0000194D0000}"/>
    <cellStyle name="Normal 44 4 2 5 2" xfId="30568" xr:uid="{00000000-0005-0000-0000-00001A4D0000}"/>
    <cellStyle name="Normal 44 4 2 6" xfId="22525" xr:uid="{00000000-0005-0000-0000-00001B4D0000}"/>
    <cellStyle name="Normal 44 4 3" xfId="4482" xr:uid="{00000000-0005-0000-0000-00001C4D0000}"/>
    <cellStyle name="Normal 44 4 3 2" xfId="4483" xr:uid="{00000000-0005-0000-0000-00001D4D0000}"/>
    <cellStyle name="Normal 44 4 3 2 2" xfId="8498" xr:uid="{00000000-0005-0000-0000-00001E4D0000}"/>
    <cellStyle name="Normal 44 4 3 2 2 2" xfId="17856" xr:uid="{00000000-0005-0000-0000-00001F4D0000}"/>
    <cellStyle name="Normal 44 4 3 2 2 2 2" xfId="34430" xr:uid="{00000000-0005-0000-0000-0000204D0000}"/>
    <cellStyle name="Normal 44 4 3 2 2 3" xfId="26383" xr:uid="{00000000-0005-0000-0000-0000214D0000}"/>
    <cellStyle name="Normal 44 4 3 2 3" xfId="14029" xr:uid="{00000000-0005-0000-0000-0000224D0000}"/>
    <cellStyle name="Normal 44 4 3 2 3 2" xfId="30573" xr:uid="{00000000-0005-0000-0000-0000234D0000}"/>
    <cellStyle name="Normal 44 4 3 2 4" xfId="22530" xr:uid="{00000000-0005-0000-0000-0000244D0000}"/>
    <cellStyle name="Normal 44 4 3 3" xfId="8499" xr:uid="{00000000-0005-0000-0000-0000254D0000}"/>
    <cellStyle name="Normal 44 4 3 3 2" xfId="17857" xr:uid="{00000000-0005-0000-0000-0000264D0000}"/>
    <cellStyle name="Normal 44 4 3 3 2 2" xfId="34431" xr:uid="{00000000-0005-0000-0000-0000274D0000}"/>
    <cellStyle name="Normal 44 4 3 3 3" xfId="26384" xr:uid="{00000000-0005-0000-0000-0000284D0000}"/>
    <cellStyle name="Normal 44 4 3 4" xfId="14028" xr:uid="{00000000-0005-0000-0000-0000294D0000}"/>
    <cellStyle name="Normal 44 4 3 4 2" xfId="30572" xr:uid="{00000000-0005-0000-0000-00002A4D0000}"/>
    <cellStyle name="Normal 44 4 3 5" xfId="22529" xr:uid="{00000000-0005-0000-0000-00002B4D0000}"/>
    <cellStyle name="Normal 44 4 4" xfId="4484" xr:uid="{00000000-0005-0000-0000-00002C4D0000}"/>
    <cellStyle name="Normal 44 4 4 2" xfId="8500" xr:uid="{00000000-0005-0000-0000-00002D4D0000}"/>
    <cellStyle name="Normal 44 4 4 2 2" xfId="17858" xr:uid="{00000000-0005-0000-0000-00002E4D0000}"/>
    <cellStyle name="Normal 44 4 4 2 2 2" xfId="34432" xr:uid="{00000000-0005-0000-0000-00002F4D0000}"/>
    <cellStyle name="Normal 44 4 4 2 3" xfId="26385" xr:uid="{00000000-0005-0000-0000-0000304D0000}"/>
    <cellStyle name="Normal 44 4 4 3" xfId="14030" xr:uid="{00000000-0005-0000-0000-0000314D0000}"/>
    <cellStyle name="Normal 44 4 4 3 2" xfId="30574" xr:uid="{00000000-0005-0000-0000-0000324D0000}"/>
    <cellStyle name="Normal 44 4 4 4" xfId="22531" xr:uid="{00000000-0005-0000-0000-0000334D0000}"/>
    <cellStyle name="Normal 44 4 5" xfId="8501" xr:uid="{00000000-0005-0000-0000-0000344D0000}"/>
    <cellStyle name="Normal 44 4 5 2" xfId="17859" xr:uid="{00000000-0005-0000-0000-0000354D0000}"/>
    <cellStyle name="Normal 44 4 5 2 2" xfId="34433" xr:uid="{00000000-0005-0000-0000-0000364D0000}"/>
    <cellStyle name="Normal 44 4 5 3" xfId="26386" xr:uid="{00000000-0005-0000-0000-0000374D0000}"/>
    <cellStyle name="Normal 44 4 6" xfId="14023" xr:uid="{00000000-0005-0000-0000-0000384D0000}"/>
    <cellStyle name="Normal 44 4 6 2" xfId="30567" xr:uid="{00000000-0005-0000-0000-0000394D0000}"/>
    <cellStyle name="Normal 44 4 7" xfId="22524" xr:uid="{00000000-0005-0000-0000-00003A4D0000}"/>
    <cellStyle name="Normal 44 5" xfId="4485" xr:uid="{00000000-0005-0000-0000-00003B4D0000}"/>
    <cellStyle name="Normal 44 5 2" xfId="4486" xr:uid="{00000000-0005-0000-0000-00003C4D0000}"/>
    <cellStyle name="Normal 44 5 2 2" xfId="4487" xr:uid="{00000000-0005-0000-0000-00003D4D0000}"/>
    <cellStyle name="Normal 44 5 2 2 2" xfId="4488" xr:uid="{00000000-0005-0000-0000-00003E4D0000}"/>
    <cellStyle name="Normal 44 5 2 2 2 2" xfId="8502" xr:uid="{00000000-0005-0000-0000-00003F4D0000}"/>
    <cellStyle name="Normal 44 5 2 2 2 2 2" xfId="17860" xr:uid="{00000000-0005-0000-0000-0000404D0000}"/>
    <cellStyle name="Normal 44 5 2 2 2 2 2 2" xfId="34434" xr:uid="{00000000-0005-0000-0000-0000414D0000}"/>
    <cellStyle name="Normal 44 5 2 2 2 2 3" xfId="26387" xr:uid="{00000000-0005-0000-0000-0000424D0000}"/>
    <cellStyle name="Normal 44 5 2 2 2 3" xfId="14034" xr:uid="{00000000-0005-0000-0000-0000434D0000}"/>
    <cellStyle name="Normal 44 5 2 2 2 3 2" xfId="30578" xr:uid="{00000000-0005-0000-0000-0000444D0000}"/>
    <cellStyle name="Normal 44 5 2 2 2 4" xfId="22535" xr:uid="{00000000-0005-0000-0000-0000454D0000}"/>
    <cellStyle name="Normal 44 5 2 2 3" xfId="8503" xr:uid="{00000000-0005-0000-0000-0000464D0000}"/>
    <cellStyle name="Normal 44 5 2 2 3 2" xfId="17861" xr:uid="{00000000-0005-0000-0000-0000474D0000}"/>
    <cellStyle name="Normal 44 5 2 2 3 2 2" xfId="34435" xr:uid="{00000000-0005-0000-0000-0000484D0000}"/>
    <cellStyle name="Normal 44 5 2 2 3 3" xfId="26388" xr:uid="{00000000-0005-0000-0000-0000494D0000}"/>
    <cellStyle name="Normal 44 5 2 2 4" xfId="14033" xr:uid="{00000000-0005-0000-0000-00004A4D0000}"/>
    <cellStyle name="Normal 44 5 2 2 4 2" xfId="30577" xr:uid="{00000000-0005-0000-0000-00004B4D0000}"/>
    <cellStyle name="Normal 44 5 2 2 5" xfId="22534" xr:uid="{00000000-0005-0000-0000-00004C4D0000}"/>
    <cellStyle name="Normal 44 5 2 3" xfId="4489" xr:uid="{00000000-0005-0000-0000-00004D4D0000}"/>
    <cellStyle name="Normal 44 5 2 3 2" xfId="8504" xr:uid="{00000000-0005-0000-0000-00004E4D0000}"/>
    <cellStyle name="Normal 44 5 2 3 2 2" xfId="17862" xr:uid="{00000000-0005-0000-0000-00004F4D0000}"/>
    <cellStyle name="Normal 44 5 2 3 2 2 2" xfId="34436" xr:uid="{00000000-0005-0000-0000-0000504D0000}"/>
    <cellStyle name="Normal 44 5 2 3 2 3" xfId="26389" xr:uid="{00000000-0005-0000-0000-0000514D0000}"/>
    <cellStyle name="Normal 44 5 2 3 3" xfId="14035" xr:uid="{00000000-0005-0000-0000-0000524D0000}"/>
    <cellStyle name="Normal 44 5 2 3 3 2" xfId="30579" xr:uid="{00000000-0005-0000-0000-0000534D0000}"/>
    <cellStyle name="Normal 44 5 2 3 4" xfId="22536" xr:uid="{00000000-0005-0000-0000-0000544D0000}"/>
    <cellStyle name="Normal 44 5 2 4" xfId="8505" xr:uid="{00000000-0005-0000-0000-0000554D0000}"/>
    <cellStyle name="Normal 44 5 2 4 2" xfId="17863" xr:uid="{00000000-0005-0000-0000-0000564D0000}"/>
    <cellStyle name="Normal 44 5 2 4 2 2" xfId="34437" xr:uid="{00000000-0005-0000-0000-0000574D0000}"/>
    <cellStyle name="Normal 44 5 2 4 3" xfId="26390" xr:uid="{00000000-0005-0000-0000-0000584D0000}"/>
    <cellStyle name="Normal 44 5 2 5" xfId="14032" xr:uid="{00000000-0005-0000-0000-0000594D0000}"/>
    <cellStyle name="Normal 44 5 2 5 2" xfId="30576" xr:uid="{00000000-0005-0000-0000-00005A4D0000}"/>
    <cellStyle name="Normal 44 5 2 6" xfId="22533" xr:uid="{00000000-0005-0000-0000-00005B4D0000}"/>
    <cellStyle name="Normal 44 5 3" xfId="4490" xr:uid="{00000000-0005-0000-0000-00005C4D0000}"/>
    <cellStyle name="Normal 44 5 3 2" xfId="4491" xr:uid="{00000000-0005-0000-0000-00005D4D0000}"/>
    <cellStyle name="Normal 44 5 3 2 2" xfId="8506" xr:uid="{00000000-0005-0000-0000-00005E4D0000}"/>
    <cellStyle name="Normal 44 5 3 2 2 2" xfId="17864" xr:uid="{00000000-0005-0000-0000-00005F4D0000}"/>
    <cellStyle name="Normal 44 5 3 2 2 2 2" xfId="34438" xr:uid="{00000000-0005-0000-0000-0000604D0000}"/>
    <cellStyle name="Normal 44 5 3 2 2 3" xfId="26391" xr:uid="{00000000-0005-0000-0000-0000614D0000}"/>
    <cellStyle name="Normal 44 5 3 2 3" xfId="14037" xr:uid="{00000000-0005-0000-0000-0000624D0000}"/>
    <cellStyle name="Normal 44 5 3 2 3 2" xfId="30581" xr:uid="{00000000-0005-0000-0000-0000634D0000}"/>
    <cellStyle name="Normal 44 5 3 2 4" xfId="22538" xr:uid="{00000000-0005-0000-0000-0000644D0000}"/>
    <cellStyle name="Normal 44 5 3 3" xfId="8507" xr:uid="{00000000-0005-0000-0000-0000654D0000}"/>
    <cellStyle name="Normal 44 5 3 3 2" xfId="17865" xr:uid="{00000000-0005-0000-0000-0000664D0000}"/>
    <cellStyle name="Normal 44 5 3 3 2 2" xfId="34439" xr:uid="{00000000-0005-0000-0000-0000674D0000}"/>
    <cellStyle name="Normal 44 5 3 3 3" xfId="26392" xr:uid="{00000000-0005-0000-0000-0000684D0000}"/>
    <cellStyle name="Normal 44 5 3 4" xfId="14036" xr:uid="{00000000-0005-0000-0000-0000694D0000}"/>
    <cellStyle name="Normal 44 5 3 4 2" xfId="30580" xr:uid="{00000000-0005-0000-0000-00006A4D0000}"/>
    <cellStyle name="Normal 44 5 3 5" xfId="22537" xr:uid="{00000000-0005-0000-0000-00006B4D0000}"/>
    <cellStyle name="Normal 44 5 4" xfId="4492" xr:uid="{00000000-0005-0000-0000-00006C4D0000}"/>
    <cellStyle name="Normal 44 5 4 2" xfId="8508" xr:uid="{00000000-0005-0000-0000-00006D4D0000}"/>
    <cellStyle name="Normal 44 5 4 2 2" xfId="17866" xr:uid="{00000000-0005-0000-0000-00006E4D0000}"/>
    <cellStyle name="Normal 44 5 4 2 2 2" xfId="34440" xr:uid="{00000000-0005-0000-0000-00006F4D0000}"/>
    <cellStyle name="Normal 44 5 4 2 3" xfId="26393" xr:uid="{00000000-0005-0000-0000-0000704D0000}"/>
    <cellStyle name="Normal 44 5 4 3" xfId="14038" xr:uid="{00000000-0005-0000-0000-0000714D0000}"/>
    <cellStyle name="Normal 44 5 4 3 2" xfId="30582" xr:uid="{00000000-0005-0000-0000-0000724D0000}"/>
    <cellStyle name="Normal 44 5 4 4" xfId="22539" xr:uid="{00000000-0005-0000-0000-0000734D0000}"/>
    <cellStyle name="Normal 44 5 5" xfId="8509" xr:uid="{00000000-0005-0000-0000-0000744D0000}"/>
    <cellStyle name="Normal 44 5 5 2" xfId="17867" xr:uid="{00000000-0005-0000-0000-0000754D0000}"/>
    <cellStyle name="Normal 44 5 5 2 2" xfId="34441" xr:uid="{00000000-0005-0000-0000-0000764D0000}"/>
    <cellStyle name="Normal 44 5 5 3" xfId="26394" xr:uid="{00000000-0005-0000-0000-0000774D0000}"/>
    <cellStyle name="Normal 44 5 6" xfId="14031" xr:uid="{00000000-0005-0000-0000-0000784D0000}"/>
    <cellStyle name="Normal 44 5 6 2" xfId="30575" xr:uid="{00000000-0005-0000-0000-0000794D0000}"/>
    <cellStyle name="Normal 44 5 7" xfId="22532" xr:uid="{00000000-0005-0000-0000-00007A4D0000}"/>
    <cellStyle name="Normal 44 6" xfId="4493" xr:uid="{00000000-0005-0000-0000-00007B4D0000}"/>
    <cellStyle name="Normal 44 6 2" xfId="4494" xr:uid="{00000000-0005-0000-0000-00007C4D0000}"/>
    <cellStyle name="Normal 44 6 2 2" xfId="4495" xr:uid="{00000000-0005-0000-0000-00007D4D0000}"/>
    <cellStyle name="Normal 44 6 2 2 2" xfId="8510" xr:uid="{00000000-0005-0000-0000-00007E4D0000}"/>
    <cellStyle name="Normal 44 6 2 2 2 2" xfId="17868" xr:uid="{00000000-0005-0000-0000-00007F4D0000}"/>
    <cellStyle name="Normal 44 6 2 2 2 2 2" xfId="34442" xr:uid="{00000000-0005-0000-0000-0000804D0000}"/>
    <cellStyle name="Normal 44 6 2 2 2 3" xfId="26395" xr:uid="{00000000-0005-0000-0000-0000814D0000}"/>
    <cellStyle name="Normal 44 6 2 2 3" xfId="14041" xr:uid="{00000000-0005-0000-0000-0000824D0000}"/>
    <cellStyle name="Normal 44 6 2 2 3 2" xfId="30585" xr:uid="{00000000-0005-0000-0000-0000834D0000}"/>
    <cellStyle name="Normal 44 6 2 2 4" xfId="22542" xr:uid="{00000000-0005-0000-0000-0000844D0000}"/>
    <cellStyle name="Normal 44 6 2 3" xfId="8511" xr:uid="{00000000-0005-0000-0000-0000854D0000}"/>
    <cellStyle name="Normal 44 6 2 3 2" xfId="17869" xr:uid="{00000000-0005-0000-0000-0000864D0000}"/>
    <cellStyle name="Normal 44 6 2 3 2 2" xfId="34443" xr:uid="{00000000-0005-0000-0000-0000874D0000}"/>
    <cellStyle name="Normal 44 6 2 3 3" xfId="26396" xr:uid="{00000000-0005-0000-0000-0000884D0000}"/>
    <cellStyle name="Normal 44 6 2 4" xfId="14040" xr:uid="{00000000-0005-0000-0000-0000894D0000}"/>
    <cellStyle name="Normal 44 6 2 4 2" xfId="30584" xr:uid="{00000000-0005-0000-0000-00008A4D0000}"/>
    <cellStyle name="Normal 44 6 2 5" xfId="22541" xr:uid="{00000000-0005-0000-0000-00008B4D0000}"/>
    <cellStyle name="Normal 44 6 3" xfId="4496" xr:uid="{00000000-0005-0000-0000-00008C4D0000}"/>
    <cellStyle name="Normal 44 6 3 2" xfId="8512" xr:uid="{00000000-0005-0000-0000-00008D4D0000}"/>
    <cellStyle name="Normal 44 6 3 2 2" xfId="17870" xr:uid="{00000000-0005-0000-0000-00008E4D0000}"/>
    <cellStyle name="Normal 44 6 3 2 2 2" xfId="34444" xr:uid="{00000000-0005-0000-0000-00008F4D0000}"/>
    <cellStyle name="Normal 44 6 3 2 3" xfId="26397" xr:uid="{00000000-0005-0000-0000-0000904D0000}"/>
    <cellStyle name="Normal 44 6 3 3" xfId="14042" xr:uid="{00000000-0005-0000-0000-0000914D0000}"/>
    <cellStyle name="Normal 44 6 3 3 2" xfId="30586" xr:uid="{00000000-0005-0000-0000-0000924D0000}"/>
    <cellStyle name="Normal 44 6 3 4" xfId="22543" xr:uid="{00000000-0005-0000-0000-0000934D0000}"/>
    <cellStyle name="Normal 44 6 4" xfId="8513" xr:uid="{00000000-0005-0000-0000-0000944D0000}"/>
    <cellStyle name="Normal 44 6 4 2" xfId="17871" xr:uid="{00000000-0005-0000-0000-0000954D0000}"/>
    <cellStyle name="Normal 44 6 4 2 2" xfId="34445" xr:uid="{00000000-0005-0000-0000-0000964D0000}"/>
    <cellStyle name="Normal 44 6 4 3" xfId="26398" xr:uid="{00000000-0005-0000-0000-0000974D0000}"/>
    <cellStyle name="Normal 44 6 5" xfId="14039" xr:uid="{00000000-0005-0000-0000-0000984D0000}"/>
    <cellStyle name="Normal 44 6 5 2" xfId="30583" xr:uid="{00000000-0005-0000-0000-0000994D0000}"/>
    <cellStyle name="Normal 44 6 6" xfId="22540" xr:uid="{00000000-0005-0000-0000-00009A4D0000}"/>
    <cellStyle name="Normal 44 7" xfId="4497" xr:uid="{00000000-0005-0000-0000-00009B4D0000}"/>
    <cellStyle name="Normal 44 7 2" xfId="4498" xr:uid="{00000000-0005-0000-0000-00009C4D0000}"/>
    <cellStyle name="Normal 44 7 2 2" xfId="8514" xr:uid="{00000000-0005-0000-0000-00009D4D0000}"/>
    <cellStyle name="Normal 44 7 2 2 2" xfId="17872" xr:uid="{00000000-0005-0000-0000-00009E4D0000}"/>
    <cellStyle name="Normal 44 7 2 2 2 2" xfId="34446" xr:uid="{00000000-0005-0000-0000-00009F4D0000}"/>
    <cellStyle name="Normal 44 7 2 2 3" xfId="26399" xr:uid="{00000000-0005-0000-0000-0000A04D0000}"/>
    <cellStyle name="Normal 44 7 2 3" xfId="14044" xr:uid="{00000000-0005-0000-0000-0000A14D0000}"/>
    <cellStyle name="Normal 44 7 2 3 2" xfId="30588" xr:uid="{00000000-0005-0000-0000-0000A24D0000}"/>
    <cellStyle name="Normal 44 7 2 4" xfId="22545" xr:uid="{00000000-0005-0000-0000-0000A34D0000}"/>
    <cellStyle name="Normal 44 7 3" xfId="8515" xr:uid="{00000000-0005-0000-0000-0000A44D0000}"/>
    <cellStyle name="Normal 44 7 3 2" xfId="17873" xr:uid="{00000000-0005-0000-0000-0000A54D0000}"/>
    <cellStyle name="Normal 44 7 3 2 2" xfId="34447" xr:uid="{00000000-0005-0000-0000-0000A64D0000}"/>
    <cellStyle name="Normal 44 7 3 3" xfId="26400" xr:uid="{00000000-0005-0000-0000-0000A74D0000}"/>
    <cellStyle name="Normal 44 7 4" xfId="14043" xr:uid="{00000000-0005-0000-0000-0000A84D0000}"/>
    <cellStyle name="Normal 44 7 4 2" xfId="30587" xr:uid="{00000000-0005-0000-0000-0000A94D0000}"/>
    <cellStyle name="Normal 44 7 5" xfId="22544" xr:uid="{00000000-0005-0000-0000-0000AA4D0000}"/>
    <cellStyle name="Normal 44 8" xfId="4499" xr:uid="{00000000-0005-0000-0000-0000AB4D0000}"/>
    <cellStyle name="Normal 44 8 2" xfId="8516" xr:uid="{00000000-0005-0000-0000-0000AC4D0000}"/>
    <cellStyle name="Normal 44 8 2 2" xfId="17874" xr:uid="{00000000-0005-0000-0000-0000AD4D0000}"/>
    <cellStyle name="Normal 44 8 2 2 2" xfId="34448" xr:uid="{00000000-0005-0000-0000-0000AE4D0000}"/>
    <cellStyle name="Normal 44 8 2 3" xfId="26401" xr:uid="{00000000-0005-0000-0000-0000AF4D0000}"/>
    <cellStyle name="Normal 44 8 3" xfId="14045" xr:uid="{00000000-0005-0000-0000-0000B04D0000}"/>
    <cellStyle name="Normal 44 8 3 2" xfId="30589" xr:uid="{00000000-0005-0000-0000-0000B14D0000}"/>
    <cellStyle name="Normal 44 8 4" xfId="22546" xr:uid="{00000000-0005-0000-0000-0000B24D0000}"/>
    <cellStyle name="Normal 44 9" xfId="8517" xr:uid="{00000000-0005-0000-0000-0000B34D0000}"/>
    <cellStyle name="Normal 44 9 2" xfId="17875" xr:uid="{00000000-0005-0000-0000-0000B44D0000}"/>
    <cellStyle name="Normal 44 9 2 2" xfId="34449" xr:uid="{00000000-0005-0000-0000-0000B54D0000}"/>
    <cellStyle name="Normal 44 9 3" xfId="26402" xr:uid="{00000000-0005-0000-0000-0000B64D0000}"/>
    <cellStyle name="Normal 45" xfId="4500" xr:uid="{00000000-0005-0000-0000-0000B74D0000}"/>
    <cellStyle name="Normal 45 10" xfId="14046" xr:uid="{00000000-0005-0000-0000-0000B84D0000}"/>
    <cellStyle name="Normal 45 10 2" xfId="30590" xr:uid="{00000000-0005-0000-0000-0000B94D0000}"/>
    <cellStyle name="Normal 45 11" xfId="22547" xr:uid="{00000000-0005-0000-0000-0000BA4D0000}"/>
    <cellStyle name="Normal 45 2" xfId="4501" xr:uid="{00000000-0005-0000-0000-0000BB4D0000}"/>
    <cellStyle name="Normal 45 2 2" xfId="4502" xr:uid="{00000000-0005-0000-0000-0000BC4D0000}"/>
    <cellStyle name="Normal 45 2 3" xfId="14047" xr:uid="{00000000-0005-0000-0000-0000BD4D0000}"/>
    <cellStyle name="Normal 45 2 3 2" xfId="30591" xr:uid="{00000000-0005-0000-0000-0000BE4D0000}"/>
    <cellStyle name="Normal 45 2 4" xfId="22548" xr:uid="{00000000-0005-0000-0000-0000BF4D0000}"/>
    <cellStyle name="Normal 45 3" xfId="4503" xr:uid="{00000000-0005-0000-0000-0000C04D0000}"/>
    <cellStyle name="Normal 45 3 2" xfId="4504" xr:uid="{00000000-0005-0000-0000-0000C14D0000}"/>
    <cellStyle name="Normal 45 3 2 2" xfId="4505" xr:uid="{00000000-0005-0000-0000-0000C24D0000}"/>
    <cellStyle name="Normal 45 3 2 2 2" xfId="4506" xr:uid="{00000000-0005-0000-0000-0000C34D0000}"/>
    <cellStyle name="Normal 45 3 2 2 2 2" xfId="8518" xr:uid="{00000000-0005-0000-0000-0000C44D0000}"/>
    <cellStyle name="Normal 45 3 2 2 2 2 2" xfId="17876" xr:uid="{00000000-0005-0000-0000-0000C54D0000}"/>
    <cellStyle name="Normal 45 3 2 2 2 2 2 2" xfId="34450" xr:uid="{00000000-0005-0000-0000-0000C64D0000}"/>
    <cellStyle name="Normal 45 3 2 2 2 2 3" xfId="26403" xr:uid="{00000000-0005-0000-0000-0000C74D0000}"/>
    <cellStyle name="Normal 45 3 2 2 2 3" xfId="14050" xr:uid="{00000000-0005-0000-0000-0000C84D0000}"/>
    <cellStyle name="Normal 45 3 2 2 2 3 2" xfId="30594" xr:uid="{00000000-0005-0000-0000-0000C94D0000}"/>
    <cellStyle name="Normal 45 3 2 2 2 4" xfId="22551" xr:uid="{00000000-0005-0000-0000-0000CA4D0000}"/>
    <cellStyle name="Normal 45 3 2 2 3" xfId="8519" xr:uid="{00000000-0005-0000-0000-0000CB4D0000}"/>
    <cellStyle name="Normal 45 3 2 2 3 2" xfId="17877" xr:uid="{00000000-0005-0000-0000-0000CC4D0000}"/>
    <cellStyle name="Normal 45 3 2 2 3 2 2" xfId="34451" xr:uid="{00000000-0005-0000-0000-0000CD4D0000}"/>
    <cellStyle name="Normal 45 3 2 2 3 3" xfId="26404" xr:uid="{00000000-0005-0000-0000-0000CE4D0000}"/>
    <cellStyle name="Normal 45 3 2 2 4" xfId="14049" xr:uid="{00000000-0005-0000-0000-0000CF4D0000}"/>
    <cellStyle name="Normal 45 3 2 2 4 2" xfId="30593" xr:uid="{00000000-0005-0000-0000-0000D04D0000}"/>
    <cellStyle name="Normal 45 3 2 2 5" xfId="22550" xr:uid="{00000000-0005-0000-0000-0000D14D0000}"/>
    <cellStyle name="Normal 45 3 2 3" xfId="4507" xr:uid="{00000000-0005-0000-0000-0000D24D0000}"/>
    <cellStyle name="Normal 45 3 2 3 2" xfId="8520" xr:uid="{00000000-0005-0000-0000-0000D34D0000}"/>
    <cellStyle name="Normal 45 3 2 3 2 2" xfId="17878" xr:uid="{00000000-0005-0000-0000-0000D44D0000}"/>
    <cellStyle name="Normal 45 3 2 3 2 2 2" xfId="34452" xr:uid="{00000000-0005-0000-0000-0000D54D0000}"/>
    <cellStyle name="Normal 45 3 2 3 2 3" xfId="26405" xr:uid="{00000000-0005-0000-0000-0000D64D0000}"/>
    <cellStyle name="Normal 45 3 2 3 3" xfId="14051" xr:uid="{00000000-0005-0000-0000-0000D74D0000}"/>
    <cellStyle name="Normal 45 3 2 3 3 2" xfId="30595" xr:uid="{00000000-0005-0000-0000-0000D84D0000}"/>
    <cellStyle name="Normal 45 3 2 3 4" xfId="22552" xr:uid="{00000000-0005-0000-0000-0000D94D0000}"/>
    <cellStyle name="Normal 45 3 2 4" xfId="8521" xr:uid="{00000000-0005-0000-0000-0000DA4D0000}"/>
    <cellStyle name="Normal 45 3 2 4 2" xfId="17879" xr:uid="{00000000-0005-0000-0000-0000DB4D0000}"/>
    <cellStyle name="Normal 45 3 2 4 2 2" xfId="34453" xr:uid="{00000000-0005-0000-0000-0000DC4D0000}"/>
    <cellStyle name="Normal 45 3 2 4 3" xfId="26406" xr:uid="{00000000-0005-0000-0000-0000DD4D0000}"/>
    <cellStyle name="Normal 45 3 2 5" xfId="14048" xr:uid="{00000000-0005-0000-0000-0000DE4D0000}"/>
    <cellStyle name="Normal 45 3 2 5 2" xfId="30592" xr:uid="{00000000-0005-0000-0000-0000DF4D0000}"/>
    <cellStyle name="Normal 45 3 2 6" xfId="22549" xr:uid="{00000000-0005-0000-0000-0000E04D0000}"/>
    <cellStyle name="Normal 45 3 3" xfId="4508" xr:uid="{00000000-0005-0000-0000-0000E14D0000}"/>
    <cellStyle name="Normal 45 3 3 2" xfId="4509" xr:uid="{00000000-0005-0000-0000-0000E24D0000}"/>
    <cellStyle name="Normal 45 3 3 2 2" xfId="8522" xr:uid="{00000000-0005-0000-0000-0000E34D0000}"/>
    <cellStyle name="Normal 45 3 3 2 2 2" xfId="17880" xr:uid="{00000000-0005-0000-0000-0000E44D0000}"/>
    <cellStyle name="Normal 45 3 3 2 2 2 2" xfId="34454" xr:uid="{00000000-0005-0000-0000-0000E54D0000}"/>
    <cellStyle name="Normal 45 3 3 2 2 3" xfId="26407" xr:uid="{00000000-0005-0000-0000-0000E64D0000}"/>
    <cellStyle name="Normal 45 3 3 2 3" xfId="14053" xr:uid="{00000000-0005-0000-0000-0000E74D0000}"/>
    <cellStyle name="Normal 45 3 3 2 3 2" xfId="30597" xr:uid="{00000000-0005-0000-0000-0000E84D0000}"/>
    <cellStyle name="Normal 45 3 3 2 4" xfId="22554" xr:uid="{00000000-0005-0000-0000-0000E94D0000}"/>
    <cellStyle name="Normal 45 3 3 3" xfId="8523" xr:uid="{00000000-0005-0000-0000-0000EA4D0000}"/>
    <cellStyle name="Normal 45 3 3 3 2" xfId="17881" xr:uid="{00000000-0005-0000-0000-0000EB4D0000}"/>
    <cellStyle name="Normal 45 3 3 3 2 2" xfId="34455" xr:uid="{00000000-0005-0000-0000-0000EC4D0000}"/>
    <cellStyle name="Normal 45 3 3 3 3" xfId="26408" xr:uid="{00000000-0005-0000-0000-0000ED4D0000}"/>
    <cellStyle name="Normal 45 3 3 4" xfId="14052" xr:uid="{00000000-0005-0000-0000-0000EE4D0000}"/>
    <cellStyle name="Normal 45 3 3 4 2" xfId="30596" xr:uid="{00000000-0005-0000-0000-0000EF4D0000}"/>
    <cellStyle name="Normal 45 3 3 5" xfId="22553" xr:uid="{00000000-0005-0000-0000-0000F04D0000}"/>
    <cellStyle name="Normal 45 3 4" xfId="4510" xr:uid="{00000000-0005-0000-0000-0000F14D0000}"/>
    <cellStyle name="Normal 45 3 4 2" xfId="8524" xr:uid="{00000000-0005-0000-0000-0000F24D0000}"/>
    <cellStyle name="Normal 45 3 4 2 2" xfId="17882" xr:uid="{00000000-0005-0000-0000-0000F34D0000}"/>
    <cellStyle name="Normal 45 3 4 2 2 2" xfId="34456" xr:uid="{00000000-0005-0000-0000-0000F44D0000}"/>
    <cellStyle name="Normal 45 3 4 2 3" xfId="26409" xr:uid="{00000000-0005-0000-0000-0000F54D0000}"/>
    <cellStyle name="Normal 45 3 4 3" xfId="14054" xr:uid="{00000000-0005-0000-0000-0000F64D0000}"/>
    <cellStyle name="Normal 45 3 4 3 2" xfId="30598" xr:uid="{00000000-0005-0000-0000-0000F74D0000}"/>
    <cellStyle name="Normal 45 3 4 4" xfId="22555" xr:uid="{00000000-0005-0000-0000-0000F84D0000}"/>
    <cellStyle name="Normal 45 3 5" xfId="4511" xr:uid="{00000000-0005-0000-0000-0000F94D0000}"/>
    <cellStyle name="Normal 45 3 5 2" xfId="14055" xr:uid="{00000000-0005-0000-0000-0000FA4D0000}"/>
    <cellStyle name="Normal 45 3 5 2 2" xfId="30599" xr:uid="{00000000-0005-0000-0000-0000FB4D0000}"/>
    <cellStyle name="Normal 45 3 5 3" xfId="22556" xr:uid="{00000000-0005-0000-0000-0000FC4D0000}"/>
    <cellStyle name="Normal 45 4" xfId="4512" xr:uid="{00000000-0005-0000-0000-0000FD4D0000}"/>
    <cellStyle name="Normal 45 4 2" xfId="4513" xr:uid="{00000000-0005-0000-0000-0000FE4D0000}"/>
    <cellStyle name="Normal 45 4 2 2" xfId="4514" xr:uid="{00000000-0005-0000-0000-0000FF4D0000}"/>
    <cellStyle name="Normal 45 4 2 2 2" xfId="4515" xr:uid="{00000000-0005-0000-0000-0000004E0000}"/>
    <cellStyle name="Normal 45 4 2 2 2 2" xfId="8525" xr:uid="{00000000-0005-0000-0000-0000014E0000}"/>
    <cellStyle name="Normal 45 4 2 2 2 2 2" xfId="17883" xr:uid="{00000000-0005-0000-0000-0000024E0000}"/>
    <cellStyle name="Normal 45 4 2 2 2 2 2 2" xfId="34457" xr:uid="{00000000-0005-0000-0000-0000034E0000}"/>
    <cellStyle name="Normal 45 4 2 2 2 2 3" xfId="26410" xr:uid="{00000000-0005-0000-0000-0000044E0000}"/>
    <cellStyle name="Normal 45 4 2 2 2 3" xfId="14059" xr:uid="{00000000-0005-0000-0000-0000054E0000}"/>
    <cellStyle name="Normal 45 4 2 2 2 3 2" xfId="30603" xr:uid="{00000000-0005-0000-0000-0000064E0000}"/>
    <cellStyle name="Normal 45 4 2 2 2 4" xfId="22560" xr:uid="{00000000-0005-0000-0000-0000074E0000}"/>
    <cellStyle name="Normal 45 4 2 2 3" xfId="8526" xr:uid="{00000000-0005-0000-0000-0000084E0000}"/>
    <cellStyle name="Normal 45 4 2 2 3 2" xfId="17884" xr:uid="{00000000-0005-0000-0000-0000094E0000}"/>
    <cellStyle name="Normal 45 4 2 2 3 2 2" xfId="34458" xr:uid="{00000000-0005-0000-0000-00000A4E0000}"/>
    <cellStyle name="Normal 45 4 2 2 3 3" xfId="26411" xr:uid="{00000000-0005-0000-0000-00000B4E0000}"/>
    <cellStyle name="Normal 45 4 2 2 4" xfId="14058" xr:uid="{00000000-0005-0000-0000-00000C4E0000}"/>
    <cellStyle name="Normal 45 4 2 2 4 2" xfId="30602" xr:uid="{00000000-0005-0000-0000-00000D4E0000}"/>
    <cellStyle name="Normal 45 4 2 2 5" xfId="22559" xr:uid="{00000000-0005-0000-0000-00000E4E0000}"/>
    <cellStyle name="Normal 45 4 2 3" xfId="4516" xr:uid="{00000000-0005-0000-0000-00000F4E0000}"/>
    <cellStyle name="Normal 45 4 2 3 2" xfId="8527" xr:uid="{00000000-0005-0000-0000-0000104E0000}"/>
    <cellStyle name="Normal 45 4 2 3 2 2" xfId="17885" xr:uid="{00000000-0005-0000-0000-0000114E0000}"/>
    <cellStyle name="Normal 45 4 2 3 2 2 2" xfId="34459" xr:uid="{00000000-0005-0000-0000-0000124E0000}"/>
    <cellStyle name="Normal 45 4 2 3 2 3" xfId="26412" xr:uid="{00000000-0005-0000-0000-0000134E0000}"/>
    <cellStyle name="Normal 45 4 2 3 3" xfId="14060" xr:uid="{00000000-0005-0000-0000-0000144E0000}"/>
    <cellStyle name="Normal 45 4 2 3 3 2" xfId="30604" xr:uid="{00000000-0005-0000-0000-0000154E0000}"/>
    <cellStyle name="Normal 45 4 2 3 4" xfId="22561" xr:uid="{00000000-0005-0000-0000-0000164E0000}"/>
    <cellStyle name="Normal 45 4 2 4" xfId="8528" xr:uid="{00000000-0005-0000-0000-0000174E0000}"/>
    <cellStyle name="Normal 45 4 2 4 2" xfId="17886" xr:uid="{00000000-0005-0000-0000-0000184E0000}"/>
    <cellStyle name="Normal 45 4 2 4 2 2" xfId="34460" xr:uid="{00000000-0005-0000-0000-0000194E0000}"/>
    <cellStyle name="Normal 45 4 2 4 3" xfId="26413" xr:uid="{00000000-0005-0000-0000-00001A4E0000}"/>
    <cellStyle name="Normal 45 4 2 5" xfId="14057" xr:uid="{00000000-0005-0000-0000-00001B4E0000}"/>
    <cellStyle name="Normal 45 4 2 5 2" xfId="30601" xr:uid="{00000000-0005-0000-0000-00001C4E0000}"/>
    <cellStyle name="Normal 45 4 2 6" xfId="22558" xr:uid="{00000000-0005-0000-0000-00001D4E0000}"/>
    <cellStyle name="Normal 45 4 3" xfId="4517" xr:uid="{00000000-0005-0000-0000-00001E4E0000}"/>
    <cellStyle name="Normal 45 4 3 2" xfId="4518" xr:uid="{00000000-0005-0000-0000-00001F4E0000}"/>
    <cellStyle name="Normal 45 4 3 2 2" xfId="8529" xr:uid="{00000000-0005-0000-0000-0000204E0000}"/>
    <cellStyle name="Normal 45 4 3 2 2 2" xfId="17887" xr:uid="{00000000-0005-0000-0000-0000214E0000}"/>
    <cellStyle name="Normal 45 4 3 2 2 2 2" xfId="34461" xr:uid="{00000000-0005-0000-0000-0000224E0000}"/>
    <cellStyle name="Normal 45 4 3 2 2 3" xfId="26414" xr:uid="{00000000-0005-0000-0000-0000234E0000}"/>
    <cellStyle name="Normal 45 4 3 2 3" xfId="14062" xr:uid="{00000000-0005-0000-0000-0000244E0000}"/>
    <cellStyle name="Normal 45 4 3 2 3 2" xfId="30606" xr:uid="{00000000-0005-0000-0000-0000254E0000}"/>
    <cellStyle name="Normal 45 4 3 2 4" xfId="22563" xr:uid="{00000000-0005-0000-0000-0000264E0000}"/>
    <cellStyle name="Normal 45 4 3 3" xfId="8530" xr:uid="{00000000-0005-0000-0000-0000274E0000}"/>
    <cellStyle name="Normal 45 4 3 3 2" xfId="17888" xr:uid="{00000000-0005-0000-0000-0000284E0000}"/>
    <cellStyle name="Normal 45 4 3 3 2 2" xfId="34462" xr:uid="{00000000-0005-0000-0000-0000294E0000}"/>
    <cellStyle name="Normal 45 4 3 3 3" xfId="26415" xr:uid="{00000000-0005-0000-0000-00002A4E0000}"/>
    <cellStyle name="Normal 45 4 3 4" xfId="14061" xr:uid="{00000000-0005-0000-0000-00002B4E0000}"/>
    <cellStyle name="Normal 45 4 3 4 2" xfId="30605" xr:uid="{00000000-0005-0000-0000-00002C4E0000}"/>
    <cellStyle name="Normal 45 4 3 5" xfId="22562" xr:uid="{00000000-0005-0000-0000-00002D4E0000}"/>
    <cellStyle name="Normal 45 4 4" xfId="4519" xr:uid="{00000000-0005-0000-0000-00002E4E0000}"/>
    <cellStyle name="Normal 45 4 4 2" xfId="8531" xr:uid="{00000000-0005-0000-0000-00002F4E0000}"/>
    <cellStyle name="Normal 45 4 4 2 2" xfId="17889" xr:uid="{00000000-0005-0000-0000-0000304E0000}"/>
    <cellStyle name="Normal 45 4 4 2 2 2" xfId="34463" xr:uid="{00000000-0005-0000-0000-0000314E0000}"/>
    <cellStyle name="Normal 45 4 4 2 3" xfId="26416" xr:uid="{00000000-0005-0000-0000-0000324E0000}"/>
    <cellStyle name="Normal 45 4 4 3" xfId="14063" xr:uid="{00000000-0005-0000-0000-0000334E0000}"/>
    <cellStyle name="Normal 45 4 4 3 2" xfId="30607" xr:uid="{00000000-0005-0000-0000-0000344E0000}"/>
    <cellStyle name="Normal 45 4 4 4" xfId="22564" xr:uid="{00000000-0005-0000-0000-0000354E0000}"/>
    <cellStyle name="Normal 45 4 5" xfId="8532" xr:uid="{00000000-0005-0000-0000-0000364E0000}"/>
    <cellStyle name="Normal 45 4 5 2" xfId="17890" xr:uid="{00000000-0005-0000-0000-0000374E0000}"/>
    <cellStyle name="Normal 45 4 5 2 2" xfId="34464" xr:uid="{00000000-0005-0000-0000-0000384E0000}"/>
    <cellStyle name="Normal 45 4 5 3" xfId="26417" xr:uid="{00000000-0005-0000-0000-0000394E0000}"/>
    <cellStyle name="Normal 45 4 6" xfId="14056" xr:uid="{00000000-0005-0000-0000-00003A4E0000}"/>
    <cellStyle name="Normal 45 4 6 2" xfId="30600" xr:uid="{00000000-0005-0000-0000-00003B4E0000}"/>
    <cellStyle name="Normal 45 4 7" xfId="22557" xr:uid="{00000000-0005-0000-0000-00003C4E0000}"/>
    <cellStyle name="Normal 45 5" xfId="4520" xr:uid="{00000000-0005-0000-0000-00003D4E0000}"/>
    <cellStyle name="Normal 45 5 2" xfId="4521" xr:uid="{00000000-0005-0000-0000-00003E4E0000}"/>
    <cellStyle name="Normal 45 5 2 2" xfId="4522" xr:uid="{00000000-0005-0000-0000-00003F4E0000}"/>
    <cellStyle name="Normal 45 5 2 2 2" xfId="4523" xr:uid="{00000000-0005-0000-0000-0000404E0000}"/>
    <cellStyle name="Normal 45 5 2 2 2 2" xfId="8533" xr:uid="{00000000-0005-0000-0000-0000414E0000}"/>
    <cellStyle name="Normal 45 5 2 2 2 2 2" xfId="17891" xr:uid="{00000000-0005-0000-0000-0000424E0000}"/>
    <cellStyle name="Normal 45 5 2 2 2 2 2 2" xfId="34465" xr:uid="{00000000-0005-0000-0000-0000434E0000}"/>
    <cellStyle name="Normal 45 5 2 2 2 2 3" xfId="26418" xr:uid="{00000000-0005-0000-0000-0000444E0000}"/>
    <cellStyle name="Normal 45 5 2 2 2 3" xfId="14067" xr:uid="{00000000-0005-0000-0000-0000454E0000}"/>
    <cellStyle name="Normal 45 5 2 2 2 3 2" xfId="30611" xr:uid="{00000000-0005-0000-0000-0000464E0000}"/>
    <cellStyle name="Normal 45 5 2 2 2 4" xfId="22568" xr:uid="{00000000-0005-0000-0000-0000474E0000}"/>
    <cellStyle name="Normal 45 5 2 2 3" xfId="8534" xr:uid="{00000000-0005-0000-0000-0000484E0000}"/>
    <cellStyle name="Normal 45 5 2 2 3 2" xfId="17892" xr:uid="{00000000-0005-0000-0000-0000494E0000}"/>
    <cellStyle name="Normal 45 5 2 2 3 2 2" xfId="34466" xr:uid="{00000000-0005-0000-0000-00004A4E0000}"/>
    <cellStyle name="Normal 45 5 2 2 3 3" xfId="26419" xr:uid="{00000000-0005-0000-0000-00004B4E0000}"/>
    <cellStyle name="Normal 45 5 2 2 4" xfId="14066" xr:uid="{00000000-0005-0000-0000-00004C4E0000}"/>
    <cellStyle name="Normal 45 5 2 2 4 2" xfId="30610" xr:uid="{00000000-0005-0000-0000-00004D4E0000}"/>
    <cellStyle name="Normal 45 5 2 2 5" xfId="22567" xr:uid="{00000000-0005-0000-0000-00004E4E0000}"/>
    <cellStyle name="Normal 45 5 2 3" xfId="4524" xr:uid="{00000000-0005-0000-0000-00004F4E0000}"/>
    <cellStyle name="Normal 45 5 2 3 2" xfId="8535" xr:uid="{00000000-0005-0000-0000-0000504E0000}"/>
    <cellStyle name="Normal 45 5 2 3 2 2" xfId="17893" xr:uid="{00000000-0005-0000-0000-0000514E0000}"/>
    <cellStyle name="Normal 45 5 2 3 2 2 2" xfId="34467" xr:uid="{00000000-0005-0000-0000-0000524E0000}"/>
    <cellStyle name="Normal 45 5 2 3 2 3" xfId="26420" xr:uid="{00000000-0005-0000-0000-0000534E0000}"/>
    <cellStyle name="Normal 45 5 2 3 3" xfId="14068" xr:uid="{00000000-0005-0000-0000-0000544E0000}"/>
    <cellStyle name="Normal 45 5 2 3 3 2" xfId="30612" xr:uid="{00000000-0005-0000-0000-0000554E0000}"/>
    <cellStyle name="Normal 45 5 2 3 4" xfId="22569" xr:uid="{00000000-0005-0000-0000-0000564E0000}"/>
    <cellStyle name="Normal 45 5 2 4" xfId="8536" xr:uid="{00000000-0005-0000-0000-0000574E0000}"/>
    <cellStyle name="Normal 45 5 2 4 2" xfId="17894" xr:uid="{00000000-0005-0000-0000-0000584E0000}"/>
    <cellStyle name="Normal 45 5 2 4 2 2" xfId="34468" xr:uid="{00000000-0005-0000-0000-0000594E0000}"/>
    <cellStyle name="Normal 45 5 2 4 3" xfId="26421" xr:uid="{00000000-0005-0000-0000-00005A4E0000}"/>
    <cellStyle name="Normal 45 5 2 5" xfId="14065" xr:uid="{00000000-0005-0000-0000-00005B4E0000}"/>
    <cellStyle name="Normal 45 5 2 5 2" xfId="30609" xr:uid="{00000000-0005-0000-0000-00005C4E0000}"/>
    <cellStyle name="Normal 45 5 2 6" xfId="22566" xr:uid="{00000000-0005-0000-0000-00005D4E0000}"/>
    <cellStyle name="Normal 45 5 3" xfId="4525" xr:uid="{00000000-0005-0000-0000-00005E4E0000}"/>
    <cellStyle name="Normal 45 5 3 2" xfId="4526" xr:uid="{00000000-0005-0000-0000-00005F4E0000}"/>
    <cellStyle name="Normal 45 5 3 2 2" xfId="8537" xr:uid="{00000000-0005-0000-0000-0000604E0000}"/>
    <cellStyle name="Normal 45 5 3 2 2 2" xfId="17895" xr:uid="{00000000-0005-0000-0000-0000614E0000}"/>
    <cellStyle name="Normal 45 5 3 2 2 2 2" xfId="34469" xr:uid="{00000000-0005-0000-0000-0000624E0000}"/>
    <cellStyle name="Normal 45 5 3 2 2 3" xfId="26422" xr:uid="{00000000-0005-0000-0000-0000634E0000}"/>
    <cellStyle name="Normal 45 5 3 2 3" xfId="14070" xr:uid="{00000000-0005-0000-0000-0000644E0000}"/>
    <cellStyle name="Normal 45 5 3 2 3 2" xfId="30614" xr:uid="{00000000-0005-0000-0000-0000654E0000}"/>
    <cellStyle name="Normal 45 5 3 2 4" xfId="22571" xr:uid="{00000000-0005-0000-0000-0000664E0000}"/>
    <cellStyle name="Normal 45 5 3 3" xfId="8538" xr:uid="{00000000-0005-0000-0000-0000674E0000}"/>
    <cellStyle name="Normal 45 5 3 3 2" xfId="17896" xr:uid="{00000000-0005-0000-0000-0000684E0000}"/>
    <cellStyle name="Normal 45 5 3 3 2 2" xfId="34470" xr:uid="{00000000-0005-0000-0000-0000694E0000}"/>
    <cellStyle name="Normal 45 5 3 3 3" xfId="26423" xr:uid="{00000000-0005-0000-0000-00006A4E0000}"/>
    <cellStyle name="Normal 45 5 3 4" xfId="14069" xr:uid="{00000000-0005-0000-0000-00006B4E0000}"/>
    <cellStyle name="Normal 45 5 3 4 2" xfId="30613" xr:uid="{00000000-0005-0000-0000-00006C4E0000}"/>
    <cellStyle name="Normal 45 5 3 5" xfId="22570" xr:uid="{00000000-0005-0000-0000-00006D4E0000}"/>
    <cellStyle name="Normal 45 5 4" xfId="4527" xr:uid="{00000000-0005-0000-0000-00006E4E0000}"/>
    <cellStyle name="Normal 45 5 4 2" xfId="8539" xr:uid="{00000000-0005-0000-0000-00006F4E0000}"/>
    <cellStyle name="Normal 45 5 4 2 2" xfId="17897" xr:uid="{00000000-0005-0000-0000-0000704E0000}"/>
    <cellStyle name="Normal 45 5 4 2 2 2" xfId="34471" xr:uid="{00000000-0005-0000-0000-0000714E0000}"/>
    <cellStyle name="Normal 45 5 4 2 3" xfId="26424" xr:uid="{00000000-0005-0000-0000-0000724E0000}"/>
    <cellStyle name="Normal 45 5 4 3" xfId="14071" xr:uid="{00000000-0005-0000-0000-0000734E0000}"/>
    <cellStyle name="Normal 45 5 4 3 2" xfId="30615" xr:uid="{00000000-0005-0000-0000-0000744E0000}"/>
    <cellStyle name="Normal 45 5 4 4" xfId="22572" xr:uid="{00000000-0005-0000-0000-0000754E0000}"/>
    <cellStyle name="Normal 45 5 5" xfId="8540" xr:uid="{00000000-0005-0000-0000-0000764E0000}"/>
    <cellStyle name="Normal 45 5 5 2" xfId="17898" xr:uid="{00000000-0005-0000-0000-0000774E0000}"/>
    <cellStyle name="Normal 45 5 5 2 2" xfId="34472" xr:uid="{00000000-0005-0000-0000-0000784E0000}"/>
    <cellStyle name="Normal 45 5 5 3" xfId="26425" xr:uid="{00000000-0005-0000-0000-0000794E0000}"/>
    <cellStyle name="Normal 45 5 6" xfId="14064" xr:uid="{00000000-0005-0000-0000-00007A4E0000}"/>
    <cellStyle name="Normal 45 5 6 2" xfId="30608" xr:uid="{00000000-0005-0000-0000-00007B4E0000}"/>
    <cellStyle name="Normal 45 5 7" xfId="22565" xr:uid="{00000000-0005-0000-0000-00007C4E0000}"/>
    <cellStyle name="Normal 45 6" xfId="4528" xr:uid="{00000000-0005-0000-0000-00007D4E0000}"/>
    <cellStyle name="Normal 45 6 2" xfId="4529" xr:uid="{00000000-0005-0000-0000-00007E4E0000}"/>
    <cellStyle name="Normal 45 6 2 2" xfId="4530" xr:uid="{00000000-0005-0000-0000-00007F4E0000}"/>
    <cellStyle name="Normal 45 6 2 2 2" xfId="8541" xr:uid="{00000000-0005-0000-0000-0000804E0000}"/>
    <cellStyle name="Normal 45 6 2 2 2 2" xfId="17899" xr:uid="{00000000-0005-0000-0000-0000814E0000}"/>
    <cellStyle name="Normal 45 6 2 2 2 2 2" xfId="34473" xr:uid="{00000000-0005-0000-0000-0000824E0000}"/>
    <cellStyle name="Normal 45 6 2 2 2 3" xfId="26426" xr:uid="{00000000-0005-0000-0000-0000834E0000}"/>
    <cellStyle name="Normal 45 6 2 2 3" xfId="14074" xr:uid="{00000000-0005-0000-0000-0000844E0000}"/>
    <cellStyle name="Normal 45 6 2 2 3 2" xfId="30618" xr:uid="{00000000-0005-0000-0000-0000854E0000}"/>
    <cellStyle name="Normal 45 6 2 2 4" xfId="22575" xr:uid="{00000000-0005-0000-0000-0000864E0000}"/>
    <cellStyle name="Normal 45 6 2 3" xfId="8542" xr:uid="{00000000-0005-0000-0000-0000874E0000}"/>
    <cellStyle name="Normal 45 6 2 3 2" xfId="17900" xr:uid="{00000000-0005-0000-0000-0000884E0000}"/>
    <cellStyle name="Normal 45 6 2 3 2 2" xfId="34474" xr:uid="{00000000-0005-0000-0000-0000894E0000}"/>
    <cellStyle name="Normal 45 6 2 3 3" xfId="26427" xr:uid="{00000000-0005-0000-0000-00008A4E0000}"/>
    <cellStyle name="Normal 45 6 2 4" xfId="14073" xr:uid="{00000000-0005-0000-0000-00008B4E0000}"/>
    <cellStyle name="Normal 45 6 2 4 2" xfId="30617" xr:uid="{00000000-0005-0000-0000-00008C4E0000}"/>
    <cellStyle name="Normal 45 6 2 5" xfId="22574" xr:uid="{00000000-0005-0000-0000-00008D4E0000}"/>
    <cellStyle name="Normal 45 6 3" xfId="4531" xr:uid="{00000000-0005-0000-0000-00008E4E0000}"/>
    <cellStyle name="Normal 45 6 3 2" xfId="8543" xr:uid="{00000000-0005-0000-0000-00008F4E0000}"/>
    <cellStyle name="Normal 45 6 3 2 2" xfId="17901" xr:uid="{00000000-0005-0000-0000-0000904E0000}"/>
    <cellStyle name="Normal 45 6 3 2 2 2" xfId="34475" xr:uid="{00000000-0005-0000-0000-0000914E0000}"/>
    <cellStyle name="Normal 45 6 3 2 3" xfId="26428" xr:uid="{00000000-0005-0000-0000-0000924E0000}"/>
    <cellStyle name="Normal 45 6 3 3" xfId="14075" xr:uid="{00000000-0005-0000-0000-0000934E0000}"/>
    <cellStyle name="Normal 45 6 3 3 2" xfId="30619" xr:uid="{00000000-0005-0000-0000-0000944E0000}"/>
    <cellStyle name="Normal 45 6 3 4" xfId="22576" xr:uid="{00000000-0005-0000-0000-0000954E0000}"/>
    <cellStyle name="Normal 45 6 4" xfId="8544" xr:uid="{00000000-0005-0000-0000-0000964E0000}"/>
    <cellStyle name="Normal 45 6 4 2" xfId="17902" xr:uid="{00000000-0005-0000-0000-0000974E0000}"/>
    <cellStyle name="Normal 45 6 4 2 2" xfId="34476" xr:uid="{00000000-0005-0000-0000-0000984E0000}"/>
    <cellStyle name="Normal 45 6 4 3" xfId="26429" xr:uid="{00000000-0005-0000-0000-0000994E0000}"/>
    <cellStyle name="Normal 45 6 5" xfId="14072" xr:uid="{00000000-0005-0000-0000-00009A4E0000}"/>
    <cellStyle name="Normal 45 6 5 2" xfId="30616" xr:uid="{00000000-0005-0000-0000-00009B4E0000}"/>
    <cellStyle name="Normal 45 6 6" xfId="22573" xr:uid="{00000000-0005-0000-0000-00009C4E0000}"/>
    <cellStyle name="Normal 45 7" xfId="4532" xr:uid="{00000000-0005-0000-0000-00009D4E0000}"/>
    <cellStyle name="Normal 45 7 2" xfId="4533" xr:uid="{00000000-0005-0000-0000-00009E4E0000}"/>
    <cellStyle name="Normal 45 7 2 2" xfId="8545" xr:uid="{00000000-0005-0000-0000-00009F4E0000}"/>
    <cellStyle name="Normal 45 7 2 2 2" xfId="17903" xr:uid="{00000000-0005-0000-0000-0000A04E0000}"/>
    <cellStyle name="Normal 45 7 2 2 2 2" xfId="34477" xr:uid="{00000000-0005-0000-0000-0000A14E0000}"/>
    <cellStyle name="Normal 45 7 2 2 3" xfId="26430" xr:uid="{00000000-0005-0000-0000-0000A24E0000}"/>
    <cellStyle name="Normal 45 7 2 3" xfId="14077" xr:uid="{00000000-0005-0000-0000-0000A34E0000}"/>
    <cellStyle name="Normal 45 7 2 3 2" xfId="30621" xr:uid="{00000000-0005-0000-0000-0000A44E0000}"/>
    <cellStyle name="Normal 45 7 2 4" xfId="22578" xr:uid="{00000000-0005-0000-0000-0000A54E0000}"/>
    <cellStyle name="Normal 45 7 3" xfId="8546" xr:uid="{00000000-0005-0000-0000-0000A64E0000}"/>
    <cellStyle name="Normal 45 7 3 2" xfId="17904" xr:uid="{00000000-0005-0000-0000-0000A74E0000}"/>
    <cellStyle name="Normal 45 7 3 2 2" xfId="34478" xr:uid="{00000000-0005-0000-0000-0000A84E0000}"/>
    <cellStyle name="Normal 45 7 3 3" xfId="26431" xr:uid="{00000000-0005-0000-0000-0000A94E0000}"/>
    <cellStyle name="Normal 45 7 4" xfId="14076" xr:uid="{00000000-0005-0000-0000-0000AA4E0000}"/>
    <cellStyle name="Normal 45 7 4 2" xfId="30620" xr:uid="{00000000-0005-0000-0000-0000AB4E0000}"/>
    <cellStyle name="Normal 45 7 5" xfId="22577" xr:uid="{00000000-0005-0000-0000-0000AC4E0000}"/>
    <cellStyle name="Normal 45 8" xfId="4534" xr:uid="{00000000-0005-0000-0000-0000AD4E0000}"/>
    <cellStyle name="Normal 45 8 2" xfId="8547" xr:uid="{00000000-0005-0000-0000-0000AE4E0000}"/>
    <cellStyle name="Normal 45 8 2 2" xfId="17905" xr:uid="{00000000-0005-0000-0000-0000AF4E0000}"/>
    <cellStyle name="Normal 45 8 2 2 2" xfId="34479" xr:uid="{00000000-0005-0000-0000-0000B04E0000}"/>
    <cellStyle name="Normal 45 8 2 3" xfId="26432" xr:uid="{00000000-0005-0000-0000-0000B14E0000}"/>
    <cellStyle name="Normal 45 8 3" xfId="14078" xr:uid="{00000000-0005-0000-0000-0000B24E0000}"/>
    <cellStyle name="Normal 45 8 3 2" xfId="30622" xr:uid="{00000000-0005-0000-0000-0000B34E0000}"/>
    <cellStyle name="Normal 45 8 4" xfId="22579" xr:uid="{00000000-0005-0000-0000-0000B44E0000}"/>
    <cellStyle name="Normal 45 9" xfId="8548" xr:uid="{00000000-0005-0000-0000-0000B54E0000}"/>
    <cellStyle name="Normal 45 9 2" xfId="17906" xr:uid="{00000000-0005-0000-0000-0000B64E0000}"/>
    <cellStyle name="Normal 45 9 2 2" xfId="34480" xr:uid="{00000000-0005-0000-0000-0000B74E0000}"/>
    <cellStyle name="Normal 45 9 3" xfId="26433" xr:uid="{00000000-0005-0000-0000-0000B84E0000}"/>
    <cellStyle name="Normal 46" xfId="4535" xr:uid="{00000000-0005-0000-0000-0000B94E0000}"/>
    <cellStyle name="Normal 46 10" xfId="14079" xr:uid="{00000000-0005-0000-0000-0000BA4E0000}"/>
    <cellStyle name="Normal 46 10 2" xfId="30623" xr:uid="{00000000-0005-0000-0000-0000BB4E0000}"/>
    <cellStyle name="Normal 46 11" xfId="22580" xr:uid="{00000000-0005-0000-0000-0000BC4E0000}"/>
    <cellStyle name="Normal 46 2" xfId="4536" xr:uid="{00000000-0005-0000-0000-0000BD4E0000}"/>
    <cellStyle name="Normal 46 2 2" xfId="4537" xr:uid="{00000000-0005-0000-0000-0000BE4E0000}"/>
    <cellStyle name="Normal 46 2 3" xfId="14080" xr:uid="{00000000-0005-0000-0000-0000BF4E0000}"/>
    <cellStyle name="Normal 46 2 3 2" xfId="30624" xr:uid="{00000000-0005-0000-0000-0000C04E0000}"/>
    <cellStyle name="Normal 46 2 4" xfId="22581" xr:uid="{00000000-0005-0000-0000-0000C14E0000}"/>
    <cellStyle name="Normal 46 3" xfId="4538" xr:uid="{00000000-0005-0000-0000-0000C24E0000}"/>
    <cellStyle name="Normal 46 3 2" xfId="4539" xr:uid="{00000000-0005-0000-0000-0000C34E0000}"/>
    <cellStyle name="Normal 46 3 2 2" xfId="4540" xr:uid="{00000000-0005-0000-0000-0000C44E0000}"/>
    <cellStyle name="Normal 46 3 2 2 2" xfId="4541" xr:uid="{00000000-0005-0000-0000-0000C54E0000}"/>
    <cellStyle name="Normal 46 3 2 2 2 2" xfId="8549" xr:uid="{00000000-0005-0000-0000-0000C64E0000}"/>
    <cellStyle name="Normal 46 3 2 2 2 2 2" xfId="17907" xr:uid="{00000000-0005-0000-0000-0000C74E0000}"/>
    <cellStyle name="Normal 46 3 2 2 2 2 2 2" xfId="34481" xr:uid="{00000000-0005-0000-0000-0000C84E0000}"/>
    <cellStyle name="Normal 46 3 2 2 2 2 3" xfId="26434" xr:uid="{00000000-0005-0000-0000-0000C94E0000}"/>
    <cellStyle name="Normal 46 3 2 2 2 3" xfId="14083" xr:uid="{00000000-0005-0000-0000-0000CA4E0000}"/>
    <cellStyle name="Normal 46 3 2 2 2 3 2" xfId="30627" xr:uid="{00000000-0005-0000-0000-0000CB4E0000}"/>
    <cellStyle name="Normal 46 3 2 2 2 4" xfId="22584" xr:uid="{00000000-0005-0000-0000-0000CC4E0000}"/>
    <cellStyle name="Normal 46 3 2 2 3" xfId="8550" xr:uid="{00000000-0005-0000-0000-0000CD4E0000}"/>
    <cellStyle name="Normal 46 3 2 2 3 2" xfId="17908" xr:uid="{00000000-0005-0000-0000-0000CE4E0000}"/>
    <cellStyle name="Normal 46 3 2 2 3 2 2" xfId="34482" xr:uid="{00000000-0005-0000-0000-0000CF4E0000}"/>
    <cellStyle name="Normal 46 3 2 2 3 3" xfId="26435" xr:uid="{00000000-0005-0000-0000-0000D04E0000}"/>
    <cellStyle name="Normal 46 3 2 2 4" xfId="14082" xr:uid="{00000000-0005-0000-0000-0000D14E0000}"/>
    <cellStyle name="Normal 46 3 2 2 4 2" xfId="30626" xr:uid="{00000000-0005-0000-0000-0000D24E0000}"/>
    <cellStyle name="Normal 46 3 2 2 5" xfId="22583" xr:uid="{00000000-0005-0000-0000-0000D34E0000}"/>
    <cellStyle name="Normal 46 3 2 3" xfId="4542" xr:uid="{00000000-0005-0000-0000-0000D44E0000}"/>
    <cellStyle name="Normal 46 3 2 3 2" xfId="8551" xr:uid="{00000000-0005-0000-0000-0000D54E0000}"/>
    <cellStyle name="Normal 46 3 2 3 2 2" xfId="17909" xr:uid="{00000000-0005-0000-0000-0000D64E0000}"/>
    <cellStyle name="Normal 46 3 2 3 2 2 2" xfId="34483" xr:uid="{00000000-0005-0000-0000-0000D74E0000}"/>
    <cellStyle name="Normal 46 3 2 3 2 3" xfId="26436" xr:uid="{00000000-0005-0000-0000-0000D84E0000}"/>
    <cellStyle name="Normal 46 3 2 3 3" xfId="14084" xr:uid="{00000000-0005-0000-0000-0000D94E0000}"/>
    <cellStyle name="Normal 46 3 2 3 3 2" xfId="30628" xr:uid="{00000000-0005-0000-0000-0000DA4E0000}"/>
    <cellStyle name="Normal 46 3 2 3 4" xfId="22585" xr:uid="{00000000-0005-0000-0000-0000DB4E0000}"/>
    <cellStyle name="Normal 46 3 2 4" xfId="8552" xr:uid="{00000000-0005-0000-0000-0000DC4E0000}"/>
    <cellStyle name="Normal 46 3 2 4 2" xfId="17910" xr:uid="{00000000-0005-0000-0000-0000DD4E0000}"/>
    <cellStyle name="Normal 46 3 2 4 2 2" xfId="34484" xr:uid="{00000000-0005-0000-0000-0000DE4E0000}"/>
    <cellStyle name="Normal 46 3 2 4 3" xfId="26437" xr:uid="{00000000-0005-0000-0000-0000DF4E0000}"/>
    <cellStyle name="Normal 46 3 2 5" xfId="14081" xr:uid="{00000000-0005-0000-0000-0000E04E0000}"/>
    <cellStyle name="Normal 46 3 2 5 2" xfId="30625" xr:uid="{00000000-0005-0000-0000-0000E14E0000}"/>
    <cellStyle name="Normal 46 3 2 6" xfId="22582" xr:uid="{00000000-0005-0000-0000-0000E24E0000}"/>
    <cellStyle name="Normal 46 3 3" xfId="4543" xr:uid="{00000000-0005-0000-0000-0000E34E0000}"/>
    <cellStyle name="Normal 46 3 3 2" xfId="4544" xr:uid="{00000000-0005-0000-0000-0000E44E0000}"/>
    <cellStyle name="Normal 46 3 3 2 2" xfId="8553" xr:uid="{00000000-0005-0000-0000-0000E54E0000}"/>
    <cellStyle name="Normal 46 3 3 2 2 2" xfId="17911" xr:uid="{00000000-0005-0000-0000-0000E64E0000}"/>
    <cellStyle name="Normal 46 3 3 2 2 2 2" xfId="34485" xr:uid="{00000000-0005-0000-0000-0000E74E0000}"/>
    <cellStyle name="Normal 46 3 3 2 2 3" xfId="26438" xr:uid="{00000000-0005-0000-0000-0000E84E0000}"/>
    <cellStyle name="Normal 46 3 3 2 3" xfId="14086" xr:uid="{00000000-0005-0000-0000-0000E94E0000}"/>
    <cellStyle name="Normal 46 3 3 2 3 2" xfId="30630" xr:uid="{00000000-0005-0000-0000-0000EA4E0000}"/>
    <cellStyle name="Normal 46 3 3 2 4" xfId="22587" xr:uid="{00000000-0005-0000-0000-0000EB4E0000}"/>
    <cellStyle name="Normal 46 3 3 3" xfId="8554" xr:uid="{00000000-0005-0000-0000-0000EC4E0000}"/>
    <cellStyle name="Normal 46 3 3 3 2" xfId="17912" xr:uid="{00000000-0005-0000-0000-0000ED4E0000}"/>
    <cellStyle name="Normal 46 3 3 3 2 2" xfId="34486" xr:uid="{00000000-0005-0000-0000-0000EE4E0000}"/>
    <cellStyle name="Normal 46 3 3 3 3" xfId="26439" xr:uid="{00000000-0005-0000-0000-0000EF4E0000}"/>
    <cellStyle name="Normal 46 3 3 4" xfId="14085" xr:uid="{00000000-0005-0000-0000-0000F04E0000}"/>
    <cellStyle name="Normal 46 3 3 4 2" xfId="30629" xr:uid="{00000000-0005-0000-0000-0000F14E0000}"/>
    <cellStyle name="Normal 46 3 3 5" xfId="22586" xr:uid="{00000000-0005-0000-0000-0000F24E0000}"/>
    <cellStyle name="Normal 46 3 4" xfId="4545" xr:uid="{00000000-0005-0000-0000-0000F34E0000}"/>
    <cellStyle name="Normal 46 3 4 2" xfId="8555" xr:uid="{00000000-0005-0000-0000-0000F44E0000}"/>
    <cellStyle name="Normal 46 3 4 2 2" xfId="17913" xr:uid="{00000000-0005-0000-0000-0000F54E0000}"/>
    <cellStyle name="Normal 46 3 4 2 2 2" xfId="34487" xr:uid="{00000000-0005-0000-0000-0000F64E0000}"/>
    <cellStyle name="Normal 46 3 4 2 3" xfId="26440" xr:uid="{00000000-0005-0000-0000-0000F74E0000}"/>
    <cellStyle name="Normal 46 3 4 3" xfId="14087" xr:uid="{00000000-0005-0000-0000-0000F84E0000}"/>
    <cellStyle name="Normal 46 3 4 3 2" xfId="30631" xr:uid="{00000000-0005-0000-0000-0000F94E0000}"/>
    <cellStyle name="Normal 46 3 4 4" xfId="22588" xr:uid="{00000000-0005-0000-0000-0000FA4E0000}"/>
    <cellStyle name="Normal 46 3 5" xfId="4546" xr:uid="{00000000-0005-0000-0000-0000FB4E0000}"/>
    <cellStyle name="Normal 46 3 5 2" xfId="14088" xr:uid="{00000000-0005-0000-0000-0000FC4E0000}"/>
    <cellStyle name="Normal 46 3 5 2 2" xfId="30632" xr:uid="{00000000-0005-0000-0000-0000FD4E0000}"/>
    <cellStyle name="Normal 46 3 5 3" xfId="22589" xr:uid="{00000000-0005-0000-0000-0000FE4E0000}"/>
    <cellStyle name="Normal 46 4" xfId="4547" xr:uid="{00000000-0005-0000-0000-0000FF4E0000}"/>
    <cellStyle name="Normal 46 4 2" xfId="4548" xr:uid="{00000000-0005-0000-0000-0000004F0000}"/>
    <cellStyle name="Normal 46 4 2 2" xfId="4549" xr:uid="{00000000-0005-0000-0000-0000014F0000}"/>
    <cellStyle name="Normal 46 4 2 2 2" xfId="4550" xr:uid="{00000000-0005-0000-0000-0000024F0000}"/>
    <cellStyle name="Normal 46 4 2 2 2 2" xfId="8556" xr:uid="{00000000-0005-0000-0000-0000034F0000}"/>
    <cellStyle name="Normal 46 4 2 2 2 2 2" xfId="17914" xr:uid="{00000000-0005-0000-0000-0000044F0000}"/>
    <cellStyle name="Normal 46 4 2 2 2 2 2 2" xfId="34488" xr:uid="{00000000-0005-0000-0000-0000054F0000}"/>
    <cellStyle name="Normal 46 4 2 2 2 2 3" xfId="26441" xr:uid="{00000000-0005-0000-0000-0000064F0000}"/>
    <cellStyle name="Normal 46 4 2 2 2 3" xfId="14092" xr:uid="{00000000-0005-0000-0000-0000074F0000}"/>
    <cellStyle name="Normal 46 4 2 2 2 3 2" xfId="30636" xr:uid="{00000000-0005-0000-0000-0000084F0000}"/>
    <cellStyle name="Normal 46 4 2 2 2 4" xfId="22593" xr:uid="{00000000-0005-0000-0000-0000094F0000}"/>
    <cellStyle name="Normal 46 4 2 2 3" xfId="8557" xr:uid="{00000000-0005-0000-0000-00000A4F0000}"/>
    <cellStyle name="Normal 46 4 2 2 3 2" xfId="17915" xr:uid="{00000000-0005-0000-0000-00000B4F0000}"/>
    <cellStyle name="Normal 46 4 2 2 3 2 2" xfId="34489" xr:uid="{00000000-0005-0000-0000-00000C4F0000}"/>
    <cellStyle name="Normal 46 4 2 2 3 3" xfId="26442" xr:uid="{00000000-0005-0000-0000-00000D4F0000}"/>
    <cellStyle name="Normal 46 4 2 2 4" xfId="14091" xr:uid="{00000000-0005-0000-0000-00000E4F0000}"/>
    <cellStyle name="Normal 46 4 2 2 4 2" xfId="30635" xr:uid="{00000000-0005-0000-0000-00000F4F0000}"/>
    <cellStyle name="Normal 46 4 2 2 5" xfId="22592" xr:uid="{00000000-0005-0000-0000-0000104F0000}"/>
    <cellStyle name="Normal 46 4 2 3" xfId="4551" xr:uid="{00000000-0005-0000-0000-0000114F0000}"/>
    <cellStyle name="Normal 46 4 2 3 2" xfId="8558" xr:uid="{00000000-0005-0000-0000-0000124F0000}"/>
    <cellStyle name="Normal 46 4 2 3 2 2" xfId="17916" xr:uid="{00000000-0005-0000-0000-0000134F0000}"/>
    <cellStyle name="Normal 46 4 2 3 2 2 2" xfId="34490" xr:uid="{00000000-0005-0000-0000-0000144F0000}"/>
    <cellStyle name="Normal 46 4 2 3 2 3" xfId="26443" xr:uid="{00000000-0005-0000-0000-0000154F0000}"/>
    <cellStyle name="Normal 46 4 2 3 3" xfId="14093" xr:uid="{00000000-0005-0000-0000-0000164F0000}"/>
    <cellStyle name="Normal 46 4 2 3 3 2" xfId="30637" xr:uid="{00000000-0005-0000-0000-0000174F0000}"/>
    <cellStyle name="Normal 46 4 2 3 4" xfId="22594" xr:uid="{00000000-0005-0000-0000-0000184F0000}"/>
    <cellStyle name="Normal 46 4 2 4" xfId="8559" xr:uid="{00000000-0005-0000-0000-0000194F0000}"/>
    <cellStyle name="Normal 46 4 2 4 2" xfId="17917" xr:uid="{00000000-0005-0000-0000-00001A4F0000}"/>
    <cellStyle name="Normal 46 4 2 4 2 2" xfId="34491" xr:uid="{00000000-0005-0000-0000-00001B4F0000}"/>
    <cellStyle name="Normal 46 4 2 4 3" xfId="26444" xr:uid="{00000000-0005-0000-0000-00001C4F0000}"/>
    <cellStyle name="Normal 46 4 2 5" xfId="14090" xr:uid="{00000000-0005-0000-0000-00001D4F0000}"/>
    <cellStyle name="Normal 46 4 2 5 2" xfId="30634" xr:uid="{00000000-0005-0000-0000-00001E4F0000}"/>
    <cellStyle name="Normal 46 4 2 6" xfId="22591" xr:uid="{00000000-0005-0000-0000-00001F4F0000}"/>
    <cellStyle name="Normal 46 4 3" xfId="4552" xr:uid="{00000000-0005-0000-0000-0000204F0000}"/>
    <cellStyle name="Normal 46 4 3 2" xfId="4553" xr:uid="{00000000-0005-0000-0000-0000214F0000}"/>
    <cellStyle name="Normal 46 4 3 2 2" xfId="8560" xr:uid="{00000000-0005-0000-0000-0000224F0000}"/>
    <cellStyle name="Normal 46 4 3 2 2 2" xfId="17918" xr:uid="{00000000-0005-0000-0000-0000234F0000}"/>
    <cellStyle name="Normal 46 4 3 2 2 2 2" xfId="34492" xr:uid="{00000000-0005-0000-0000-0000244F0000}"/>
    <cellStyle name="Normal 46 4 3 2 2 3" xfId="26445" xr:uid="{00000000-0005-0000-0000-0000254F0000}"/>
    <cellStyle name="Normal 46 4 3 2 3" xfId="14095" xr:uid="{00000000-0005-0000-0000-0000264F0000}"/>
    <cellStyle name="Normal 46 4 3 2 3 2" xfId="30639" xr:uid="{00000000-0005-0000-0000-0000274F0000}"/>
    <cellStyle name="Normal 46 4 3 2 4" xfId="22596" xr:uid="{00000000-0005-0000-0000-0000284F0000}"/>
    <cellStyle name="Normal 46 4 3 3" xfId="8561" xr:uid="{00000000-0005-0000-0000-0000294F0000}"/>
    <cellStyle name="Normal 46 4 3 3 2" xfId="17919" xr:uid="{00000000-0005-0000-0000-00002A4F0000}"/>
    <cellStyle name="Normal 46 4 3 3 2 2" xfId="34493" xr:uid="{00000000-0005-0000-0000-00002B4F0000}"/>
    <cellStyle name="Normal 46 4 3 3 3" xfId="26446" xr:uid="{00000000-0005-0000-0000-00002C4F0000}"/>
    <cellStyle name="Normal 46 4 3 4" xfId="14094" xr:uid="{00000000-0005-0000-0000-00002D4F0000}"/>
    <cellStyle name="Normal 46 4 3 4 2" xfId="30638" xr:uid="{00000000-0005-0000-0000-00002E4F0000}"/>
    <cellStyle name="Normal 46 4 3 5" xfId="22595" xr:uid="{00000000-0005-0000-0000-00002F4F0000}"/>
    <cellStyle name="Normal 46 4 4" xfId="4554" xr:uid="{00000000-0005-0000-0000-0000304F0000}"/>
    <cellStyle name="Normal 46 4 4 2" xfId="8562" xr:uid="{00000000-0005-0000-0000-0000314F0000}"/>
    <cellStyle name="Normal 46 4 4 2 2" xfId="17920" xr:uid="{00000000-0005-0000-0000-0000324F0000}"/>
    <cellStyle name="Normal 46 4 4 2 2 2" xfId="34494" xr:uid="{00000000-0005-0000-0000-0000334F0000}"/>
    <cellStyle name="Normal 46 4 4 2 3" xfId="26447" xr:uid="{00000000-0005-0000-0000-0000344F0000}"/>
    <cellStyle name="Normal 46 4 4 3" xfId="14096" xr:uid="{00000000-0005-0000-0000-0000354F0000}"/>
    <cellStyle name="Normal 46 4 4 3 2" xfId="30640" xr:uid="{00000000-0005-0000-0000-0000364F0000}"/>
    <cellStyle name="Normal 46 4 4 4" xfId="22597" xr:uid="{00000000-0005-0000-0000-0000374F0000}"/>
    <cellStyle name="Normal 46 4 5" xfId="8563" xr:uid="{00000000-0005-0000-0000-0000384F0000}"/>
    <cellStyle name="Normal 46 4 5 2" xfId="17921" xr:uid="{00000000-0005-0000-0000-0000394F0000}"/>
    <cellStyle name="Normal 46 4 5 2 2" xfId="34495" xr:uid="{00000000-0005-0000-0000-00003A4F0000}"/>
    <cellStyle name="Normal 46 4 5 3" xfId="26448" xr:uid="{00000000-0005-0000-0000-00003B4F0000}"/>
    <cellStyle name="Normal 46 4 6" xfId="14089" xr:uid="{00000000-0005-0000-0000-00003C4F0000}"/>
    <cellStyle name="Normal 46 4 6 2" xfId="30633" xr:uid="{00000000-0005-0000-0000-00003D4F0000}"/>
    <cellStyle name="Normal 46 4 7" xfId="22590" xr:uid="{00000000-0005-0000-0000-00003E4F0000}"/>
    <cellStyle name="Normal 46 5" xfId="4555" xr:uid="{00000000-0005-0000-0000-00003F4F0000}"/>
    <cellStyle name="Normal 46 5 2" xfId="4556" xr:uid="{00000000-0005-0000-0000-0000404F0000}"/>
    <cellStyle name="Normal 46 5 2 2" xfId="4557" xr:uid="{00000000-0005-0000-0000-0000414F0000}"/>
    <cellStyle name="Normal 46 5 2 2 2" xfId="4558" xr:uid="{00000000-0005-0000-0000-0000424F0000}"/>
    <cellStyle name="Normal 46 5 2 2 2 2" xfId="8564" xr:uid="{00000000-0005-0000-0000-0000434F0000}"/>
    <cellStyle name="Normal 46 5 2 2 2 2 2" xfId="17922" xr:uid="{00000000-0005-0000-0000-0000444F0000}"/>
    <cellStyle name="Normal 46 5 2 2 2 2 2 2" xfId="34496" xr:uid="{00000000-0005-0000-0000-0000454F0000}"/>
    <cellStyle name="Normal 46 5 2 2 2 2 3" xfId="26449" xr:uid="{00000000-0005-0000-0000-0000464F0000}"/>
    <cellStyle name="Normal 46 5 2 2 2 3" xfId="14100" xr:uid="{00000000-0005-0000-0000-0000474F0000}"/>
    <cellStyle name="Normal 46 5 2 2 2 3 2" xfId="30644" xr:uid="{00000000-0005-0000-0000-0000484F0000}"/>
    <cellStyle name="Normal 46 5 2 2 2 4" xfId="22601" xr:uid="{00000000-0005-0000-0000-0000494F0000}"/>
    <cellStyle name="Normal 46 5 2 2 3" xfId="8565" xr:uid="{00000000-0005-0000-0000-00004A4F0000}"/>
    <cellStyle name="Normal 46 5 2 2 3 2" xfId="17923" xr:uid="{00000000-0005-0000-0000-00004B4F0000}"/>
    <cellStyle name="Normal 46 5 2 2 3 2 2" xfId="34497" xr:uid="{00000000-0005-0000-0000-00004C4F0000}"/>
    <cellStyle name="Normal 46 5 2 2 3 3" xfId="26450" xr:uid="{00000000-0005-0000-0000-00004D4F0000}"/>
    <cellStyle name="Normal 46 5 2 2 4" xfId="14099" xr:uid="{00000000-0005-0000-0000-00004E4F0000}"/>
    <cellStyle name="Normal 46 5 2 2 4 2" xfId="30643" xr:uid="{00000000-0005-0000-0000-00004F4F0000}"/>
    <cellStyle name="Normal 46 5 2 2 5" xfId="22600" xr:uid="{00000000-0005-0000-0000-0000504F0000}"/>
    <cellStyle name="Normal 46 5 2 3" xfId="4559" xr:uid="{00000000-0005-0000-0000-0000514F0000}"/>
    <cellStyle name="Normal 46 5 2 3 2" xfId="8566" xr:uid="{00000000-0005-0000-0000-0000524F0000}"/>
    <cellStyle name="Normal 46 5 2 3 2 2" xfId="17924" xr:uid="{00000000-0005-0000-0000-0000534F0000}"/>
    <cellStyle name="Normal 46 5 2 3 2 2 2" xfId="34498" xr:uid="{00000000-0005-0000-0000-0000544F0000}"/>
    <cellStyle name="Normal 46 5 2 3 2 3" xfId="26451" xr:uid="{00000000-0005-0000-0000-0000554F0000}"/>
    <cellStyle name="Normal 46 5 2 3 3" xfId="14101" xr:uid="{00000000-0005-0000-0000-0000564F0000}"/>
    <cellStyle name="Normal 46 5 2 3 3 2" xfId="30645" xr:uid="{00000000-0005-0000-0000-0000574F0000}"/>
    <cellStyle name="Normal 46 5 2 3 4" xfId="22602" xr:uid="{00000000-0005-0000-0000-0000584F0000}"/>
    <cellStyle name="Normal 46 5 2 4" xfId="8567" xr:uid="{00000000-0005-0000-0000-0000594F0000}"/>
    <cellStyle name="Normal 46 5 2 4 2" xfId="17925" xr:uid="{00000000-0005-0000-0000-00005A4F0000}"/>
    <cellStyle name="Normal 46 5 2 4 2 2" xfId="34499" xr:uid="{00000000-0005-0000-0000-00005B4F0000}"/>
    <cellStyle name="Normal 46 5 2 4 3" xfId="26452" xr:uid="{00000000-0005-0000-0000-00005C4F0000}"/>
    <cellStyle name="Normal 46 5 2 5" xfId="14098" xr:uid="{00000000-0005-0000-0000-00005D4F0000}"/>
    <cellStyle name="Normal 46 5 2 5 2" xfId="30642" xr:uid="{00000000-0005-0000-0000-00005E4F0000}"/>
    <cellStyle name="Normal 46 5 2 6" xfId="22599" xr:uid="{00000000-0005-0000-0000-00005F4F0000}"/>
    <cellStyle name="Normal 46 5 3" xfId="4560" xr:uid="{00000000-0005-0000-0000-0000604F0000}"/>
    <cellStyle name="Normal 46 5 3 2" xfId="4561" xr:uid="{00000000-0005-0000-0000-0000614F0000}"/>
    <cellStyle name="Normal 46 5 3 2 2" xfId="8568" xr:uid="{00000000-0005-0000-0000-0000624F0000}"/>
    <cellStyle name="Normal 46 5 3 2 2 2" xfId="17926" xr:uid="{00000000-0005-0000-0000-0000634F0000}"/>
    <cellStyle name="Normal 46 5 3 2 2 2 2" xfId="34500" xr:uid="{00000000-0005-0000-0000-0000644F0000}"/>
    <cellStyle name="Normal 46 5 3 2 2 3" xfId="26453" xr:uid="{00000000-0005-0000-0000-0000654F0000}"/>
    <cellStyle name="Normal 46 5 3 2 3" xfId="14103" xr:uid="{00000000-0005-0000-0000-0000664F0000}"/>
    <cellStyle name="Normal 46 5 3 2 3 2" xfId="30647" xr:uid="{00000000-0005-0000-0000-0000674F0000}"/>
    <cellStyle name="Normal 46 5 3 2 4" xfId="22604" xr:uid="{00000000-0005-0000-0000-0000684F0000}"/>
    <cellStyle name="Normal 46 5 3 3" xfId="8569" xr:uid="{00000000-0005-0000-0000-0000694F0000}"/>
    <cellStyle name="Normal 46 5 3 3 2" xfId="17927" xr:uid="{00000000-0005-0000-0000-00006A4F0000}"/>
    <cellStyle name="Normal 46 5 3 3 2 2" xfId="34501" xr:uid="{00000000-0005-0000-0000-00006B4F0000}"/>
    <cellStyle name="Normal 46 5 3 3 3" xfId="26454" xr:uid="{00000000-0005-0000-0000-00006C4F0000}"/>
    <cellStyle name="Normal 46 5 3 4" xfId="14102" xr:uid="{00000000-0005-0000-0000-00006D4F0000}"/>
    <cellStyle name="Normal 46 5 3 4 2" xfId="30646" xr:uid="{00000000-0005-0000-0000-00006E4F0000}"/>
    <cellStyle name="Normal 46 5 3 5" xfId="22603" xr:uid="{00000000-0005-0000-0000-00006F4F0000}"/>
    <cellStyle name="Normal 46 5 4" xfId="4562" xr:uid="{00000000-0005-0000-0000-0000704F0000}"/>
    <cellStyle name="Normal 46 5 4 2" xfId="8570" xr:uid="{00000000-0005-0000-0000-0000714F0000}"/>
    <cellStyle name="Normal 46 5 4 2 2" xfId="17928" xr:uid="{00000000-0005-0000-0000-0000724F0000}"/>
    <cellStyle name="Normal 46 5 4 2 2 2" xfId="34502" xr:uid="{00000000-0005-0000-0000-0000734F0000}"/>
    <cellStyle name="Normal 46 5 4 2 3" xfId="26455" xr:uid="{00000000-0005-0000-0000-0000744F0000}"/>
    <cellStyle name="Normal 46 5 4 3" xfId="14104" xr:uid="{00000000-0005-0000-0000-0000754F0000}"/>
    <cellStyle name="Normal 46 5 4 3 2" xfId="30648" xr:uid="{00000000-0005-0000-0000-0000764F0000}"/>
    <cellStyle name="Normal 46 5 4 4" xfId="22605" xr:uid="{00000000-0005-0000-0000-0000774F0000}"/>
    <cellStyle name="Normal 46 5 5" xfId="8571" xr:uid="{00000000-0005-0000-0000-0000784F0000}"/>
    <cellStyle name="Normal 46 5 5 2" xfId="17929" xr:uid="{00000000-0005-0000-0000-0000794F0000}"/>
    <cellStyle name="Normal 46 5 5 2 2" xfId="34503" xr:uid="{00000000-0005-0000-0000-00007A4F0000}"/>
    <cellStyle name="Normal 46 5 5 3" xfId="26456" xr:uid="{00000000-0005-0000-0000-00007B4F0000}"/>
    <cellStyle name="Normal 46 5 6" xfId="14097" xr:uid="{00000000-0005-0000-0000-00007C4F0000}"/>
    <cellStyle name="Normal 46 5 6 2" xfId="30641" xr:uid="{00000000-0005-0000-0000-00007D4F0000}"/>
    <cellStyle name="Normal 46 5 7" xfId="22598" xr:uid="{00000000-0005-0000-0000-00007E4F0000}"/>
    <cellStyle name="Normal 46 6" xfId="4563" xr:uid="{00000000-0005-0000-0000-00007F4F0000}"/>
    <cellStyle name="Normal 46 6 2" xfId="4564" xr:uid="{00000000-0005-0000-0000-0000804F0000}"/>
    <cellStyle name="Normal 46 6 2 2" xfId="4565" xr:uid="{00000000-0005-0000-0000-0000814F0000}"/>
    <cellStyle name="Normal 46 6 2 2 2" xfId="8572" xr:uid="{00000000-0005-0000-0000-0000824F0000}"/>
    <cellStyle name="Normal 46 6 2 2 2 2" xfId="17930" xr:uid="{00000000-0005-0000-0000-0000834F0000}"/>
    <cellStyle name="Normal 46 6 2 2 2 2 2" xfId="34504" xr:uid="{00000000-0005-0000-0000-0000844F0000}"/>
    <cellStyle name="Normal 46 6 2 2 2 3" xfId="26457" xr:uid="{00000000-0005-0000-0000-0000854F0000}"/>
    <cellStyle name="Normal 46 6 2 2 3" xfId="14107" xr:uid="{00000000-0005-0000-0000-0000864F0000}"/>
    <cellStyle name="Normal 46 6 2 2 3 2" xfId="30651" xr:uid="{00000000-0005-0000-0000-0000874F0000}"/>
    <cellStyle name="Normal 46 6 2 2 4" xfId="22608" xr:uid="{00000000-0005-0000-0000-0000884F0000}"/>
    <cellStyle name="Normal 46 6 2 3" xfId="8573" xr:uid="{00000000-0005-0000-0000-0000894F0000}"/>
    <cellStyle name="Normal 46 6 2 3 2" xfId="17931" xr:uid="{00000000-0005-0000-0000-00008A4F0000}"/>
    <cellStyle name="Normal 46 6 2 3 2 2" xfId="34505" xr:uid="{00000000-0005-0000-0000-00008B4F0000}"/>
    <cellStyle name="Normal 46 6 2 3 3" xfId="26458" xr:uid="{00000000-0005-0000-0000-00008C4F0000}"/>
    <cellStyle name="Normal 46 6 2 4" xfId="14106" xr:uid="{00000000-0005-0000-0000-00008D4F0000}"/>
    <cellStyle name="Normal 46 6 2 4 2" xfId="30650" xr:uid="{00000000-0005-0000-0000-00008E4F0000}"/>
    <cellStyle name="Normal 46 6 2 5" xfId="22607" xr:uid="{00000000-0005-0000-0000-00008F4F0000}"/>
    <cellStyle name="Normal 46 6 3" xfId="4566" xr:uid="{00000000-0005-0000-0000-0000904F0000}"/>
    <cellStyle name="Normal 46 6 3 2" xfId="8574" xr:uid="{00000000-0005-0000-0000-0000914F0000}"/>
    <cellStyle name="Normal 46 6 3 2 2" xfId="17932" xr:uid="{00000000-0005-0000-0000-0000924F0000}"/>
    <cellStyle name="Normal 46 6 3 2 2 2" xfId="34506" xr:uid="{00000000-0005-0000-0000-0000934F0000}"/>
    <cellStyle name="Normal 46 6 3 2 3" xfId="26459" xr:uid="{00000000-0005-0000-0000-0000944F0000}"/>
    <cellStyle name="Normal 46 6 3 3" xfId="14108" xr:uid="{00000000-0005-0000-0000-0000954F0000}"/>
    <cellStyle name="Normal 46 6 3 3 2" xfId="30652" xr:uid="{00000000-0005-0000-0000-0000964F0000}"/>
    <cellStyle name="Normal 46 6 3 4" xfId="22609" xr:uid="{00000000-0005-0000-0000-0000974F0000}"/>
    <cellStyle name="Normal 46 6 4" xfId="8575" xr:uid="{00000000-0005-0000-0000-0000984F0000}"/>
    <cellStyle name="Normal 46 6 4 2" xfId="17933" xr:uid="{00000000-0005-0000-0000-0000994F0000}"/>
    <cellStyle name="Normal 46 6 4 2 2" xfId="34507" xr:uid="{00000000-0005-0000-0000-00009A4F0000}"/>
    <cellStyle name="Normal 46 6 4 3" xfId="26460" xr:uid="{00000000-0005-0000-0000-00009B4F0000}"/>
    <cellStyle name="Normal 46 6 5" xfId="14105" xr:uid="{00000000-0005-0000-0000-00009C4F0000}"/>
    <cellStyle name="Normal 46 6 5 2" xfId="30649" xr:uid="{00000000-0005-0000-0000-00009D4F0000}"/>
    <cellStyle name="Normal 46 6 6" xfId="22606" xr:uid="{00000000-0005-0000-0000-00009E4F0000}"/>
    <cellStyle name="Normal 46 7" xfId="4567" xr:uid="{00000000-0005-0000-0000-00009F4F0000}"/>
    <cellStyle name="Normal 46 7 2" xfId="4568" xr:uid="{00000000-0005-0000-0000-0000A04F0000}"/>
    <cellStyle name="Normal 46 7 2 2" xfId="8576" xr:uid="{00000000-0005-0000-0000-0000A14F0000}"/>
    <cellStyle name="Normal 46 7 2 2 2" xfId="17934" xr:uid="{00000000-0005-0000-0000-0000A24F0000}"/>
    <cellStyle name="Normal 46 7 2 2 2 2" xfId="34508" xr:uid="{00000000-0005-0000-0000-0000A34F0000}"/>
    <cellStyle name="Normal 46 7 2 2 3" xfId="26461" xr:uid="{00000000-0005-0000-0000-0000A44F0000}"/>
    <cellStyle name="Normal 46 7 2 3" xfId="14110" xr:uid="{00000000-0005-0000-0000-0000A54F0000}"/>
    <cellStyle name="Normal 46 7 2 3 2" xfId="30654" xr:uid="{00000000-0005-0000-0000-0000A64F0000}"/>
    <cellStyle name="Normal 46 7 2 4" xfId="22611" xr:uid="{00000000-0005-0000-0000-0000A74F0000}"/>
    <cellStyle name="Normal 46 7 3" xfId="8577" xr:uid="{00000000-0005-0000-0000-0000A84F0000}"/>
    <cellStyle name="Normal 46 7 3 2" xfId="17935" xr:uid="{00000000-0005-0000-0000-0000A94F0000}"/>
    <cellStyle name="Normal 46 7 3 2 2" xfId="34509" xr:uid="{00000000-0005-0000-0000-0000AA4F0000}"/>
    <cellStyle name="Normal 46 7 3 3" xfId="26462" xr:uid="{00000000-0005-0000-0000-0000AB4F0000}"/>
    <cellStyle name="Normal 46 7 4" xfId="14109" xr:uid="{00000000-0005-0000-0000-0000AC4F0000}"/>
    <cellStyle name="Normal 46 7 4 2" xfId="30653" xr:uid="{00000000-0005-0000-0000-0000AD4F0000}"/>
    <cellStyle name="Normal 46 7 5" xfId="22610" xr:uid="{00000000-0005-0000-0000-0000AE4F0000}"/>
    <cellStyle name="Normal 46 8" xfId="4569" xr:uid="{00000000-0005-0000-0000-0000AF4F0000}"/>
    <cellStyle name="Normal 46 8 2" xfId="8578" xr:uid="{00000000-0005-0000-0000-0000B04F0000}"/>
    <cellStyle name="Normal 46 8 2 2" xfId="17936" xr:uid="{00000000-0005-0000-0000-0000B14F0000}"/>
    <cellStyle name="Normal 46 8 2 2 2" xfId="34510" xr:uid="{00000000-0005-0000-0000-0000B24F0000}"/>
    <cellStyle name="Normal 46 8 2 3" xfId="26463" xr:uid="{00000000-0005-0000-0000-0000B34F0000}"/>
    <cellStyle name="Normal 46 8 3" xfId="14111" xr:uid="{00000000-0005-0000-0000-0000B44F0000}"/>
    <cellStyle name="Normal 46 8 3 2" xfId="30655" xr:uid="{00000000-0005-0000-0000-0000B54F0000}"/>
    <cellStyle name="Normal 46 8 4" xfId="22612" xr:uid="{00000000-0005-0000-0000-0000B64F0000}"/>
    <cellStyle name="Normal 46 9" xfId="8579" xr:uid="{00000000-0005-0000-0000-0000B74F0000}"/>
    <cellStyle name="Normal 46 9 2" xfId="17937" xr:uid="{00000000-0005-0000-0000-0000B84F0000}"/>
    <cellStyle name="Normal 46 9 2 2" xfId="34511" xr:uid="{00000000-0005-0000-0000-0000B94F0000}"/>
    <cellStyle name="Normal 46 9 3" xfId="26464" xr:uid="{00000000-0005-0000-0000-0000BA4F0000}"/>
    <cellStyle name="Normal 47" xfId="4570" xr:uid="{00000000-0005-0000-0000-0000BB4F0000}"/>
    <cellStyle name="Normal 47 10" xfId="14112" xr:uid="{00000000-0005-0000-0000-0000BC4F0000}"/>
    <cellStyle name="Normal 47 10 2" xfId="30656" xr:uid="{00000000-0005-0000-0000-0000BD4F0000}"/>
    <cellStyle name="Normal 47 11" xfId="22613" xr:uid="{00000000-0005-0000-0000-0000BE4F0000}"/>
    <cellStyle name="Normal 47 2" xfId="4571" xr:uid="{00000000-0005-0000-0000-0000BF4F0000}"/>
    <cellStyle name="Normal 47 2 2" xfId="4572" xr:uid="{00000000-0005-0000-0000-0000C04F0000}"/>
    <cellStyle name="Normal 47 2 3" xfId="14113" xr:uid="{00000000-0005-0000-0000-0000C14F0000}"/>
    <cellStyle name="Normal 47 2 3 2" xfId="30657" xr:uid="{00000000-0005-0000-0000-0000C24F0000}"/>
    <cellStyle name="Normal 47 2 4" xfId="22614" xr:uid="{00000000-0005-0000-0000-0000C34F0000}"/>
    <cellStyle name="Normal 47 3" xfId="4573" xr:uid="{00000000-0005-0000-0000-0000C44F0000}"/>
    <cellStyle name="Normal 47 3 2" xfId="4574" xr:uid="{00000000-0005-0000-0000-0000C54F0000}"/>
    <cellStyle name="Normal 47 3 2 2" xfId="4575" xr:uid="{00000000-0005-0000-0000-0000C64F0000}"/>
    <cellStyle name="Normal 47 3 2 2 2" xfId="4576" xr:uid="{00000000-0005-0000-0000-0000C74F0000}"/>
    <cellStyle name="Normal 47 3 2 2 2 2" xfId="8580" xr:uid="{00000000-0005-0000-0000-0000C84F0000}"/>
    <cellStyle name="Normal 47 3 2 2 2 2 2" xfId="17938" xr:uid="{00000000-0005-0000-0000-0000C94F0000}"/>
    <cellStyle name="Normal 47 3 2 2 2 2 2 2" xfId="34512" xr:uid="{00000000-0005-0000-0000-0000CA4F0000}"/>
    <cellStyle name="Normal 47 3 2 2 2 2 3" xfId="26465" xr:uid="{00000000-0005-0000-0000-0000CB4F0000}"/>
    <cellStyle name="Normal 47 3 2 2 2 3" xfId="14116" xr:uid="{00000000-0005-0000-0000-0000CC4F0000}"/>
    <cellStyle name="Normal 47 3 2 2 2 3 2" xfId="30660" xr:uid="{00000000-0005-0000-0000-0000CD4F0000}"/>
    <cellStyle name="Normal 47 3 2 2 2 4" xfId="22617" xr:uid="{00000000-0005-0000-0000-0000CE4F0000}"/>
    <cellStyle name="Normal 47 3 2 2 3" xfId="8581" xr:uid="{00000000-0005-0000-0000-0000CF4F0000}"/>
    <cellStyle name="Normal 47 3 2 2 3 2" xfId="17939" xr:uid="{00000000-0005-0000-0000-0000D04F0000}"/>
    <cellStyle name="Normal 47 3 2 2 3 2 2" xfId="34513" xr:uid="{00000000-0005-0000-0000-0000D14F0000}"/>
    <cellStyle name="Normal 47 3 2 2 3 3" xfId="26466" xr:uid="{00000000-0005-0000-0000-0000D24F0000}"/>
    <cellStyle name="Normal 47 3 2 2 4" xfId="14115" xr:uid="{00000000-0005-0000-0000-0000D34F0000}"/>
    <cellStyle name="Normal 47 3 2 2 4 2" xfId="30659" xr:uid="{00000000-0005-0000-0000-0000D44F0000}"/>
    <cellStyle name="Normal 47 3 2 2 5" xfId="22616" xr:uid="{00000000-0005-0000-0000-0000D54F0000}"/>
    <cellStyle name="Normal 47 3 2 3" xfId="4577" xr:uid="{00000000-0005-0000-0000-0000D64F0000}"/>
    <cellStyle name="Normal 47 3 2 3 2" xfId="8582" xr:uid="{00000000-0005-0000-0000-0000D74F0000}"/>
    <cellStyle name="Normal 47 3 2 3 2 2" xfId="17940" xr:uid="{00000000-0005-0000-0000-0000D84F0000}"/>
    <cellStyle name="Normal 47 3 2 3 2 2 2" xfId="34514" xr:uid="{00000000-0005-0000-0000-0000D94F0000}"/>
    <cellStyle name="Normal 47 3 2 3 2 3" xfId="26467" xr:uid="{00000000-0005-0000-0000-0000DA4F0000}"/>
    <cellStyle name="Normal 47 3 2 3 3" xfId="14117" xr:uid="{00000000-0005-0000-0000-0000DB4F0000}"/>
    <cellStyle name="Normal 47 3 2 3 3 2" xfId="30661" xr:uid="{00000000-0005-0000-0000-0000DC4F0000}"/>
    <cellStyle name="Normal 47 3 2 3 4" xfId="22618" xr:uid="{00000000-0005-0000-0000-0000DD4F0000}"/>
    <cellStyle name="Normal 47 3 2 4" xfId="8583" xr:uid="{00000000-0005-0000-0000-0000DE4F0000}"/>
    <cellStyle name="Normal 47 3 2 4 2" xfId="17941" xr:uid="{00000000-0005-0000-0000-0000DF4F0000}"/>
    <cellStyle name="Normal 47 3 2 4 2 2" xfId="34515" xr:uid="{00000000-0005-0000-0000-0000E04F0000}"/>
    <cellStyle name="Normal 47 3 2 4 3" xfId="26468" xr:uid="{00000000-0005-0000-0000-0000E14F0000}"/>
    <cellStyle name="Normal 47 3 2 5" xfId="14114" xr:uid="{00000000-0005-0000-0000-0000E24F0000}"/>
    <cellStyle name="Normal 47 3 2 5 2" xfId="30658" xr:uid="{00000000-0005-0000-0000-0000E34F0000}"/>
    <cellStyle name="Normal 47 3 2 6" xfId="22615" xr:uid="{00000000-0005-0000-0000-0000E44F0000}"/>
    <cellStyle name="Normal 47 3 3" xfId="4578" xr:uid="{00000000-0005-0000-0000-0000E54F0000}"/>
    <cellStyle name="Normal 47 3 3 2" xfId="4579" xr:uid="{00000000-0005-0000-0000-0000E64F0000}"/>
    <cellStyle name="Normal 47 3 3 2 2" xfId="8584" xr:uid="{00000000-0005-0000-0000-0000E74F0000}"/>
    <cellStyle name="Normal 47 3 3 2 2 2" xfId="17942" xr:uid="{00000000-0005-0000-0000-0000E84F0000}"/>
    <cellStyle name="Normal 47 3 3 2 2 2 2" xfId="34516" xr:uid="{00000000-0005-0000-0000-0000E94F0000}"/>
    <cellStyle name="Normal 47 3 3 2 2 3" xfId="26469" xr:uid="{00000000-0005-0000-0000-0000EA4F0000}"/>
    <cellStyle name="Normal 47 3 3 2 3" xfId="14119" xr:uid="{00000000-0005-0000-0000-0000EB4F0000}"/>
    <cellStyle name="Normal 47 3 3 2 3 2" xfId="30663" xr:uid="{00000000-0005-0000-0000-0000EC4F0000}"/>
    <cellStyle name="Normal 47 3 3 2 4" xfId="22620" xr:uid="{00000000-0005-0000-0000-0000ED4F0000}"/>
    <cellStyle name="Normal 47 3 3 3" xfId="8585" xr:uid="{00000000-0005-0000-0000-0000EE4F0000}"/>
    <cellStyle name="Normal 47 3 3 3 2" xfId="17943" xr:uid="{00000000-0005-0000-0000-0000EF4F0000}"/>
    <cellStyle name="Normal 47 3 3 3 2 2" xfId="34517" xr:uid="{00000000-0005-0000-0000-0000F04F0000}"/>
    <cellStyle name="Normal 47 3 3 3 3" xfId="26470" xr:uid="{00000000-0005-0000-0000-0000F14F0000}"/>
    <cellStyle name="Normal 47 3 3 4" xfId="14118" xr:uid="{00000000-0005-0000-0000-0000F24F0000}"/>
    <cellStyle name="Normal 47 3 3 4 2" xfId="30662" xr:uid="{00000000-0005-0000-0000-0000F34F0000}"/>
    <cellStyle name="Normal 47 3 3 5" xfId="22619" xr:uid="{00000000-0005-0000-0000-0000F44F0000}"/>
    <cellStyle name="Normal 47 3 4" xfId="4580" xr:uid="{00000000-0005-0000-0000-0000F54F0000}"/>
    <cellStyle name="Normal 47 3 4 2" xfId="8586" xr:uid="{00000000-0005-0000-0000-0000F64F0000}"/>
    <cellStyle name="Normal 47 3 4 2 2" xfId="17944" xr:uid="{00000000-0005-0000-0000-0000F74F0000}"/>
    <cellStyle name="Normal 47 3 4 2 2 2" xfId="34518" xr:uid="{00000000-0005-0000-0000-0000F84F0000}"/>
    <cellStyle name="Normal 47 3 4 2 3" xfId="26471" xr:uid="{00000000-0005-0000-0000-0000F94F0000}"/>
    <cellStyle name="Normal 47 3 4 3" xfId="14120" xr:uid="{00000000-0005-0000-0000-0000FA4F0000}"/>
    <cellStyle name="Normal 47 3 4 3 2" xfId="30664" xr:uid="{00000000-0005-0000-0000-0000FB4F0000}"/>
    <cellStyle name="Normal 47 3 4 4" xfId="22621" xr:uid="{00000000-0005-0000-0000-0000FC4F0000}"/>
    <cellStyle name="Normal 47 3 5" xfId="4581" xr:uid="{00000000-0005-0000-0000-0000FD4F0000}"/>
    <cellStyle name="Normal 47 3 5 2" xfId="14121" xr:uid="{00000000-0005-0000-0000-0000FE4F0000}"/>
    <cellStyle name="Normal 47 3 5 2 2" xfId="30665" xr:uid="{00000000-0005-0000-0000-0000FF4F0000}"/>
    <cellStyle name="Normal 47 3 5 3" xfId="22622" xr:uid="{00000000-0005-0000-0000-000000500000}"/>
    <cellStyle name="Normal 47 4" xfId="4582" xr:uid="{00000000-0005-0000-0000-000001500000}"/>
    <cellStyle name="Normal 47 4 2" xfId="4583" xr:uid="{00000000-0005-0000-0000-000002500000}"/>
    <cellStyle name="Normal 47 4 2 2" xfId="4584" xr:uid="{00000000-0005-0000-0000-000003500000}"/>
    <cellStyle name="Normal 47 4 2 2 2" xfId="4585" xr:uid="{00000000-0005-0000-0000-000004500000}"/>
    <cellStyle name="Normal 47 4 2 2 2 2" xfId="8587" xr:uid="{00000000-0005-0000-0000-000005500000}"/>
    <cellStyle name="Normal 47 4 2 2 2 2 2" xfId="17945" xr:uid="{00000000-0005-0000-0000-000006500000}"/>
    <cellStyle name="Normal 47 4 2 2 2 2 2 2" xfId="34519" xr:uid="{00000000-0005-0000-0000-000007500000}"/>
    <cellStyle name="Normal 47 4 2 2 2 2 3" xfId="26472" xr:uid="{00000000-0005-0000-0000-000008500000}"/>
    <cellStyle name="Normal 47 4 2 2 2 3" xfId="14125" xr:uid="{00000000-0005-0000-0000-000009500000}"/>
    <cellStyle name="Normal 47 4 2 2 2 3 2" xfId="30669" xr:uid="{00000000-0005-0000-0000-00000A500000}"/>
    <cellStyle name="Normal 47 4 2 2 2 4" xfId="22626" xr:uid="{00000000-0005-0000-0000-00000B500000}"/>
    <cellStyle name="Normal 47 4 2 2 3" xfId="8588" xr:uid="{00000000-0005-0000-0000-00000C500000}"/>
    <cellStyle name="Normal 47 4 2 2 3 2" xfId="17946" xr:uid="{00000000-0005-0000-0000-00000D500000}"/>
    <cellStyle name="Normal 47 4 2 2 3 2 2" xfId="34520" xr:uid="{00000000-0005-0000-0000-00000E500000}"/>
    <cellStyle name="Normal 47 4 2 2 3 3" xfId="26473" xr:uid="{00000000-0005-0000-0000-00000F500000}"/>
    <cellStyle name="Normal 47 4 2 2 4" xfId="14124" xr:uid="{00000000-0005-0000-0000-000010500000}"/>
    <cellStyle name="Normal 47 4 2 2 4 2" xfId="30668" xr:uid="{00000000-0005-0000-0000-000011500000}"/>
    <cellStyle name="Normal 47 4 2 2 5" xfId="22625" xr:uid="{00000000-0005-0000-0000-000012500000}"/>
    <cellStyle name="Normal 47 4 2 3" xfId="4586" xr:uid="{00000000-0005-0000-0000-000013500000}"/>
    <cellStyle name="Normal 47 4 2 3 2" xfId="8589" xr:uid="{00000000-0005-0000-0000-000014500000}"/>
    <cellStyle name="Normal 47 4 2 3 2 2" xfId="17947" xr:uid="{00000000-0005-0000-0000-000015500000}"/>
    <cellStyle name="Normal 47 4 2 3 2 2 2" xfId="34521" xr:uid="{00000000-0005-0000-0000-000016500000}"/>
    <cellStyle name="Normal 47 4 2 3 2 3" xfId="26474" xr:uid="{00000000-0005-0000-0000-000017500000}"/>
    <cellStyle name="Normal 47 4 2 3 3" xfId="14126" xr:uid="{00000000-0005-0000-0000-000018500000}"/>
    <cellStyle name="Normal 47 4 2 3 3 2" xfId="30670" xr:uid="{00000000-0005-0000-0000-000019500000}"/>
    <cellStyle name="Normal 47 4 2 3 4" xfId="22627" xr:uid="{00000000-0005-0000-0000-00001A500000}"/>
    <cellStyle name="Normal 47 4 2 4" xfId="8590" xr:uid="{00000000-0005-0000-0000-00001B500000}"/>
    <cellStyle name="Normal 47 4 2 4 2" xfId="17948" xr:uid="{00000000-0005-0000-0000-00001C500000}"/>
    <cellStyle name="Normal 47 4 2 4 2 2" xfId="34522" xr:uid="{00000000-0005-0000-0000-00001D500000}"/>
    <cellStyle name="Normal 47 4 2 4 3" xfId="26475" xr:uid="{00000000-0005-0000-0000-00001E500000}"/>
    <cellStyle name="Normal 47 4 2 5" xfId="14123" xr:uid="{00000000-0005-0000-0000-00001F500000}"/>
    <cellStyle name="Normal 47 4 2 5 2" xfId="30667" xr:uid="{00000000-0005-0000-0000-000020500000}"/>
    <cellStyle name="Normal 47 4 2 6" xfId="22624" xr:uid="{00000000-0005-0000-0000-000021500000}"/>
    <cellStyle name="Normal 47 4 3" xfId="4587" xr:uid="{00000000-0005-0000-0000-000022500000}"/>
    <cellStyle name="Normal 47 4 3 2" xfId="4588" xr:uid="{00000000-0005-0000-0000-000023500000}"/>
    <cellStyle name="Normal 47 4 3 2 2" xfId="8591" xr:uid="{00000000-0005-0000-0000-000024500000}"/>
    <cellStyle name="Normal 47 4 3 2 2 2" xfId="17949" xr:uid="{00000000-0005-0000-0000-000025500000}"/>
    <cellStyle name="Normal 47 4 3 2 2 2 2" xfId="34523" xr:uid="{00000000-0005-0000-0000-000026500000}"/>
    <cellStyle name="Normal 47 4 3 2 2 3" xfId="26476" xr:uid="{00000000-0005-0000-0000-000027500000}"/>
    <cellStyle name="Normal 47 4 3 2 3" xfId="14128" xr:uid="{00000000-0005-0000-0000-000028500000}"/>
    <cellStyle name="Normal 47 4 3 2 3 2" xfId="30672" xr:uid="{00000000-0005-0000-0000-000029500000}"/>
    <cellStyle name="Normal 47 4 3 2 4" xfId="22629" xr:uid="{00000000-0005-0000-0000-00002A500000}"/>
    <cellStyle name="Normal 47 4 3 3" xfId="8592" xr:uid="{00000000-0005-0000-0000-00002B500000}"/>
    <cellStyle name="Normal 47 4 3 3 2" xfId="17950" xr:uid="{00000000-0005-0000-0000-00002C500000}"/>
    <cellStyle name="Normal 47 4 3 3 2 2" xfId="34524" xr:uid="{00000000-0005-0000-0000-00002D500000}"/>
    <cellStyle name="Normal 47 4 3 3 3" xfId="26477" xr:uid="{00000000-0005-0000-0000-00002E500000}"/>
    <cellStyle name="Normal 47 4 3 4" xfId="14127" xr:uid="{00000000-0005-0000-0000-00002F500000}"/>
    <cellStyle name="Normal 47 4 3 4 2" xfId="30671" xr:uid="{00000000-0005-0000-0000-000030500000}"/>
    <cellStyle name="Normal 47 4 3 5" xfId="22628" xr:uid="{00000000-0005-0000-0000-000031500000}"/>
    <cellStyle name="Normal 47 4 4" xfId="4589" xr:uid="{00000000-0005-0000-0000-000032500000}"/>
    <cellStyle name="Normal 47 4 4 2" xfId="8593" xr:uid="{00000000-0005-0000-0000-000033500000}"/>
    <cellStyle name="Normal 47 4 4 2 2" xfId="17951" xr:uid="{00000000-0005-0000-0000-000034500000}"/>
    <cellStyle name="Normal 47 4 4 2 2 2" xfId="34525" xr:uid="{00000000-0005-0000-0000-000035500000}"/>
    <cellStyle name="Normal 47 4 4 2 3" xfId="26478" xr:uid="{00000000-0005-0000-0000-000036500000}"/>
    <cellStyle name="Normal 47 4 4 3" xfId="14129" xr:uid="{00000000-0005-0000-0000-000037500000}"/>
    <cellStyle name="Normal 47 4 4 3 2" xfId="30673" xr:uid="{00000000-0005-0000-0000-000038500000}"/>
    <cellStyle name="Normal 47 4 4 4" xfId="22630" xr:uid="{00000000-0005-0000-0000-000039500000}"/>
    <cellStyle name="Normal 47 4 5" xfId="8594" xr:uid="{00000000-0005-0000-0000-00003A500000}"/>
    <cellStyle name="Normal 47 4 5 2" xfId="17952" xr:uid="{00000000-0005-0000-0000-00003B500000}"/>
    <cellStyle name="Normal 47 4 5 2 2" xfId="34526" xr:uid="{00000000-0005-0000-0000-00003C500000}"/>
    <cellStyle name="Normal 47 4 5 3" xfId="26479" xr:uid="{00000000-0005-0000-0000-00003D500000}"/>
    <cellStyle name="Normal 47 4 6" xfId="14122" xr:uid="{00000000-0005-0000-0000-00003E500000}"/>
    <cellStyle name="Normal 47 4 6 2" xfId="30666" xr:uid="{00000000-0005-0000-0000-00003F500000}"/>
    <cellStyle name="Normal 47 4 7" xfId="22623" xr:uid="{00000000-0005-0000-0000-000040500000}"/>
    <cellStyle name="Normal 47 5" xfId="4590" xr:uid="{00000000-0005-0000-0000-000041500000}"/>
    <cellStyle name="Normal 47 5 2" xfId="4591" xr:uid="{00000000-0005-0000-0000-000042500000}"/>
    <cellStyle name="Normal 47 5 2 2" xfId="4592" xr:uid="{00000000-0005-0000-0000-000043500000}"/>
    <cellStyle name="Normal 47 5 2 2 2" xfId="4593" xr:uid="{00000000-0005-0000-0000-000044500000}"/>
    <cellStyle name="Normal 47 5 2 2 2 2" xfId="8595" xr:uid="{00000000-0005-0000-0000-000045500000}"/>
    <cellStyle name="Normal 47 5 2 2 2 2 2" xfId="17953" xr:uid="{00000000-0005-0000-0000-000046500000}"/>
    <cellStyle name="Normal 47 5 2 2 2 2 2 2" xfId="34527" xr:uid="{00000000-0005-0000-0000-000047500000}"/>
    <cellStyle name="Normal 47 5 2 2 2 2 3" xfId="26480" xr:uid="{00000000-0005-0000-0000-000048500000}"/>
    <cellStyle name="Normal 47 5 2 2 2 3" xfId="14133" xr:uid="{00000000-0005-0000-0000-000049500000}"/>
    <cellStyle name="Normal 47 5 2 2 2 3 2" xfId="30677" xr:uid="{00000000-0005-0000-0000-00004A500000}"/>
    <cellStyle name="Normal 47 5 2 2 2 4" xfId="22634" xr:uid="{00000000-0005-0000-0000-00004B500000}"/>
    <cellStyle name="Normal 47 5 2 2 3" xfId="8596" xr:uid="{00000000-0005-0000-0000-00004C500000}"/>
    <cellStyle name="Normal 47 5 2 2 3 2" xfId="17954" xr:uid="{00000000-0005-0000-0000-00004D500000}"/>
    <cellStyle name="Normal 47 5 2 2 3 2 2" xfId="34528" xr:uid="{00000000-0005-0000-0000-00004E500000}"/>
    <cellStyle name="Normal 47 5 2 2 3 3" xfId="26481" xr:uid="{00000000-0005-0000-0000-00004F500000}"/>
    <cellStyle name="Normal 47 5 2 2 4" xfId="14132" xr:uid="{00000000-0005-0000-0000-000050500000}"/>
    <cellStyle name="Normal 47 5 2 2 4 2" xfId="30676" xr:uid="{00000000-0005-0000-0000-000051500000}"/>
    <cellStyle name="Normal 47 5 2 2 5" xfId="22633" xr:uid="{00000000-0005-0000-0000-000052500000}"/>
    <cellStyle name="Normal 47 5 2 3" xfId="4594" xr:uid="{00000000-0005-0000-0000-000053500000}"/>
    <cellStyle name="Normal 47 5 2 3 2" xfId="8597" xr:uid="{00000000-0005-0000-0000-000054500000}"/>
    <cellStyle name="Normal 47 5 2 3 2 2" xfId="17955" xr:uid="{00000000-0005-0000-0000-000055500000}"/>
    <cellStyle name="Normal 47 5 2 3 2 2 2" xfId="34529" xr:uid="{00000000-0005-0000-0000-000056500000}"/>
    <cellStyle name="Normal 47 5 2 3 2 3" xfId="26482" xr:uid="{00000000-0005-0000-0000-000057500000}"/>
    <cellStyle name="Normal 47 5 2 3 3" xfId="14134" xr:uid="{00000000-0005-0000-0000-000058500000}"/>
    <cellStyle name="Normal 47 5 2 3 3 2" xfId="30678" xr:uid="{00000000-0005-0000-0000-000059500000}"/>
    <cellStyle name="Normal 47 5 2 3 4" xfId="22635" xr:uid="{00000000-0005-0000-0000-00005A500000}"/>
    <cellStyle name="Normal 47 5 2 4" xfId="8598" xr:uid="{00000000-0005-0000-0000-00005B500000}"/>
    <cellStyle name="Normal 47 5 2 4 2" xfId="17956" xr:uid="{00000000-0005-0000-0000-00005C500000}"/>
    <cellStyle name="Normal 47 5 2 4 2 2" xfId="34530" xr:uid="{00000000-0005-0000-0000-00005D500000}"/>
    <cellStyle name="Normal 47 5 2 4 3" xfId="26483" xr:uid="{00000000-0005-0000-0000-00005E500000}"/>
    <cellStyle name="Normal 47 5 2 5" xfId="14131" xr:uid="{00000000-0005-0000-0000-00005F500000}"/>
    <cellStyle name="Normal 47 5 2 5 2" xfId="30675" xr:uid="{00000000-0005-0000-0000-000060500000}"/>
    <cellStyle name="Normal 47 5 2 6" xfId="22632" xr:uid="{00000000-0005-0000-0000-000061500000}"/>
    <cellStyle name="Normal 47 5 3" xfId="4595" xr:uid="{00000000-0005-0000-0000-000062500000}"/>
    <cellStyle name="Normal 47 5 3 2" xfId="4596" xr:uid="{00000000-0005-0000-0000-000063500000}"/>
    <cellStyle name="Normal 47 5 3 2 2" xfId="8599" xr:uid="{00000000-0005-0000-0000-000064500000}"/>
    <cellStyle name="Normal 47 5 3 2 2 2" xfId="17957" xr:uid="{00000000-0005-0000-0000-000065500000}"/>
    <cellStyle name="Normal 47 5 3 2 2 2 2" xfId="34531" xr:uid="{00000000-0005-0000-0000-000066500000}"/>
    <cellStyle name="Normal 47 5 3 2 2 3" xfId="26484" xr:uid="{00000000-0005-0000-0000-000067500000}"/>
    <cellStyle name="Normal 47 5 3 2 3" xfId="14136" xr:uid="{00000000-0005-0000-0000-000068500000}"/>
    <cellStyle name="Normal 47 5 3 2 3 2" xfId="30680" xr:uid="{00000000-0005-0000-0000-000069500000}"/>
    <cellStyle name="Normal 47 5 3 2 4" xfId="22637" xr:uid="{00000000-0005-0000-0000-00006A500000}"/>
    <cellStyle name="Normal 47 5 3 3" xfId="8600" xr:uid="{00000000-0005-0000-0000-00006B500000}"/>
    <cellStyle name="Normal 47 5 3 3 2" xfId="17958" xr:uid="{00000000-0005-0000-0000-00006C500000}"/>
    <cellStyle name="Normal 47 5 3 3 2 2" xfId="34532" xr:uid="{00000000-0005-0000-0000-00006D500000}"/>
    <cellStyle name="Normal 47 5 3 3 3" xfId="26485" xr:uid="{00000000-0005-0000-0000-00006E500000}"/>
    <cellStyle name="Normal 47 5 3 4" xfId="14135" xr:uid="{00000000-0005-0000-0000-00006F500000}"/>
    <cellStyle name="Normal 47 5 3 4 2" xfId="30679" xr:uid="{00000000-0005-0000-0000-000070500000}"/>
    <cellStyle name="Normal 47 5 3 5" xfId="22636" xr:uid="{00000000-0005-0000-0000-000071500000}"/>
    <cellStyle name="Normal 47 5 4" xfId="4597" xr:uid="{00000000-0005-0000-0000-000072500000}"/>
    <cellStyle name="Normal 47 5 4 2" xfId="8601" xr:uid="{00000000-0005-0000-0000-000073500000}"/>
    <cellStyle name="Normal 47 5 4 2 2" xfId="17959" xr:uid="{00000000-0005-0000-0000-000074500000}"/>
    <cellStyle name="Normal 47 5 4 2 2 2" xfId="34533" xr:uid="{00000000-0005-0000-0000-000075500000}"/>
    <cellStyle name="Normal 47 5 4 2 3" xfId="26486" xr:uid="{00000000-0005-0000-0000-000076500000}"/>
    <cellStyle name="Normal 47 5 4 3" xfId="14137" xr:uid="{00000000-0005-0000-0000-000077500000}"/>
    <cellStyle name="Normal 47 5 4 3 2" xfId="30681" xr:uid="{00000000-0005-0000-0000-000078500000}"/>
    <cellStyle name="Normal 47 5 4 4" xfId="22638" xr:uid="{00000000-0005-0000-0000-000079500000}"/>
    <cellStyle name="Normal 47 5 5" xfId="8602" xr:uid="{00000000-0005-0000-0000-00007A500000}"/>
    <cellStyle name="Normal 47 5 5 2" xfId="17960" xr:uid="{00000000-0005-0000-0000-00007B500000}"/>
    <cellStyle name="Normal 47 5 5 2 2" xfId="34534" xr:uid="{00000000-0005-0000-0000-00007C500000}"/>
    <cellStyle name="Normal 47 5 5 3" xfId="26487" xr:uid="{00000000-0005-0000-0000-00007D500000}"/>
    <cellStyle name="Normal 47 5 6" xfId="14130" xr:uid="{00000000-0005-0000-0000-00007E500000}"/>
    <cellStyle name="Normal 47 5 6 2" xfId="30674" xr:uid="{00000000-0005-0000-0000-00007F500000}"/>
    <cellStyle name="Normal 47 5 7" xfId="22631" xr:uid="{00000000-0005-0000-0000-000080500000}"/>
    <cellStyle name="Normal 47 6" xfId="4598" xr:uid="{00000000-0005-0000-0000-000081500000}"/>
    <cellStyle name="Normal 47 6 2" xfId="4599" xr:uid="{00000000-0005-0000-0000-000082500000}"/>
    <cellStyle name="Normal 47 6 2 2" xfId="4600" xr:uid="{00000000-0005-0000-0000-000083500000}"/>
    <cellStyle name="Normal 47 6 2 2 2" xfId="8603" xr:uid="{00000000-0005-0000-0000-000084500000}"/>
    <cellStyle name="Normal 47 6 2 2 2 2" xfId="17961" xr:uid="{00000000-0005-0000-0000-000085500000}"/>
    <cellStyle name="Normal 47 6 2 2 2 2 2" xfId="34535" xr:uid="{00000000-0005-0000-0000-000086500000}"/>
    <cellStyle name="Normal 47 6 2 2 2 3" xfId="26488" xr:uid="{00000000-0005-0000-0000-000087500000}"/>
    <cellStyle name="Normal 47 6 2 2 3" xfId="14140" xr:uid="{00000000-0005-0000-0000-000088500000}"/>
    <cellStyle name="Normal 47 6 2 2 3 2" xfId="30684" xr:uid="{00000000-0005-0000-0000-000089500000}"/>
    <cellStyle name="Normal 47 6 2 2 4" xfId="22641" xr:uid="{00000000-0005-0000-0000-00008A500000}"/>
    <cellStyle name="Normal 47 6 2 3" xfId="8604" xr:uid="{00000000-0005-0000-0000-00008B500000}"/>
    <cellStyle name="Normal 47 6 2 3 2" xfId="17962" xr:uid="{00000000-0005-0000-0000-00008C500000}"/>
    <cellStyle name="Normal 47 6 2 3 2 2" xfId="34536" xr:uid="{00000000-0005-0000-0000-00008D500000}"/>
    <cellStyle name="Normal 47 6 2 3 3" xfId="26489" xr:uid="{00000000-0005-0000-0000-00008E500000}"/>
    <cellStyle name="Normal 47 6 2 4" xfId="14139" xr:uid="{00000000-0005-0000-0000-00008F500000}"/>
    <cellStyle name="Normal 47 6 2 4 2" xfId="30683" xr:uid="{00000000-0005-0000-0000-000090500000}"/>
    <cellStyle name="Normal 47 6 2 5" xfId="22640" xr:uid="{00000000-0005-0000-0000-000091500000}"/>
    <cellStyle name="Normal 47 6 3" xfId="4601" xr:uid="{00000000-0005-0000-0000-000092500000}"/>
    <cellStyle name="Normal 47 6 3 2" xfId="8605" xr:uid="{00000000-0005-0000-0000-000093500000}"/>
    <cellStyle name="Normal 47 6 3 2 2" xfId="17963" xr:uid="{00000000-0005-0000-0000-000094500000}"/>
    <cellStyle name="Normal 47 6 3 2 2 2" xfId="34537" xr:uid="{00000000-0005-0000-0000-000095500000}"/>
    <cellStyle name="Normal 47 6 3 2 3" xfId="26490" xr:uid="{00000000-0005-0000-0000-000096500000}"/>
    <cellStyle name="Normal 47 6 3 3" xfId="14141" xr:uid="{00000000-0005-0000-0000-000097500000}"/>
    <cellStyle name="Normal 47 6 3 3 2" xfId="30685" xr:uid="{00000000-0005-0000-0000-000098500000}"/>
    <cellStyle name="Normal 47 6 3 4" xfId="22642" xr:uid="{00000000-0005-0000-0000-000099500000}"/>
    <cellStyle name="Normal 47 6 4" xfId="8606" xr:uid="{00000000-0005-0000-0000-00009A500000}"/>
    <cellStyle name="Normal 47 6 4 2" xfId="17964" xr:uid="{00000000-0005-0000-0000-00009B500000}"/>
    <cellStyle name="Normal 47 6 4 2 2" xfId="34538" xr:uid="{00000000-0005-0000-0000-00009C500000}"/>
    <cellStyle name="Normal 47 6 4 3" xfId="26491" xr:uid="{00000000-0005-0000-0000-00009D500000}"/>
    <cellStyle name="Normal 47 6 5" xfId="14138" xr:uid="{00000000-0005-0000-0000-00009E500000}"/>
    <cellStyle name="Normal 47 6 5 2" xfId="30682" xr:uid="{00000000-0005-0000-0000-00009F500000}"/>
    <cellStyle name="Normal 47 6 6" xfId="22639" xr:uid="{00000000-0005-0000-0000-0000A0500000}"/>
    <cellStyle name="Normal 47 7" xfId="4602" xr:uid="{00000000-0005-0000-0000-0000A1500000}"/>
    <cellStyle name="Normal 47 7 2" xfId="4603" xr:uid="{00000000-0005-0000-0000-0000A2500000}"/>
    <cellStyle name="Normal 47 7 2 2" xfId="8607" xr:uid="{00000000-0005-0000-0000-0000A3500000}"/>
    <cellStyle name="Normal 47 7 2 2 2" xfId="17965" xr:uid="{00000000-0005-0000-0000-0000A4500000}"/>
    <cellStyle name="Normal 47 7 2 2 2 2" xfId="34539" xr:uid="{00000000-0005-0000-0000-0000A5500000}"/>
    <cellStyle name="Normal 47 7 2 2 3" xfId="26492" xr:uid="{00000000-0005-0000-0000-0000A6500000}"/>
    <cellStyle name="Normal 47 7 2 3" xfId="14143" xr:uid="{00000000-0005-0000-0000-0000A7500000}"/>
    <cellStyle name="Normal 47 7 2 3 2" xfId="30687" xr:uid="{00000000-0005-0000-0000-0000A8500000}"/>
    <cellStyle name="Normal 47 7 2 4" xfId="22644" xr:uid="{00000000-0005-0000-0000-0000A9500000}"/>
    <cellStyle name="Normal 47 7 3" xfId="8608" xr:uid="{00000000-0005-0000-0000-0000AA500000}"/>
    <cellStyle name="Normal 47 7 3 2" xfId="17966" xr:uid="{00000000-0005-0000-0000-0000AB500000}"/>
    <cellStyle name="Normal 47 7 3 2 2" xfId="34540" xr:uid="{00000000-0005-0000-0000-0000AC500000}"/>
    <cellStyle name="Normal 47 7 3 3" xfId="26493" xr:uid="{00000000-0005-0000-0000-0000AD500000}"/>
    <cellStyle name="Normal 47 7 4" xfId="14142" xr:uid="{00000000-0005-0000-0000-0000AE500000}"/>
    <cellStyle name="Normal 47 7 4 2" xfId="30686" xr:uid="{00000000-0005-0000-0000-0000AF500000}"/>
    <cellStyle name="Normal 47 7 5" xfId="22643" xr:uid="{00000000-0005-0000-0000-0000B0500000}"/>
    <cellStyle name="Normal 47 8" xfId="4604" xr:uid="{00000000-0005-0000-0000-0000B1500000}"/>
    <cellStyle name="Normal 47 8 2" xfId="8609" xr:uid="{00000000-0005-0000-0000-0000B2500000}"/>
    <cellStyle name="Normal 47 8 2 2" xfId="17967" xr:uid="{00000000-0005-0000-0000-0000B3500000}"/>
    <cellStyle name="Normal 47 8 2 2 2" xfId="34541" xr:uid="{00000000-0005-0000-0000-0000B4500000}"/>
    <cellStyle name="Normal 47 8 2 3" xfId="26494" xr:uid="{00000000-0005-0000-0000-0000B5500000}"/>
    <cellStyle name="Normal 47 8 3" xfId="14144" xr:uid="{00000000-0005-0000-0000-0000B6500000}"/>
    <cellStyle name="Normal 47 8 3 2" xfId="30688" xr:uid="{00000000-0005-0000-0000-0000B7500000}"/>
    <cellStyle name="Normal 47 8 4" xfId="22645" xr:uid="{00000000-0005-0000-0000-0000B8500000}"/>
    <cellStyle name="Normal 47 9" xfId="8610" xr:uid="{00000000-0005-0000-0000-0000B9500000}"/>
    <cellStyle name="Normal 47 9 2" xfId="17968" xr:uid="{00000000-0005-0000-0000-0000BA500000}"/>
    <cellStyle name="Normal 47 9 2 2" xfId="34542" xr:uid="{00000000-0005-0000-0000-0000BB500000}"/>
    <cellStyle name="Normal 47 9 3" xfId="26495" xr:uid="{00000000-0005-0000-0000-0000BC500000}"/>
    <cellStyle name="Normal 48" xfId="4605" xr:uid="{00000000-0005-0000-0000-0000BD500000}"/>
    <cellStyle name="Normal 48 10" xfId="14145" xr:uid="{00000000-0005-0000-0000-0000BE500000}"/>
    <cellStyle name="Normal 48 10 2" xfId="30689" xr:uid="{00000000-0005-0000-0000-0000BF500000}"/>
    <cellStyle name="Normal 48 11" xfId="22646" xr:uid="{00000000-0005-0000-0000-0000C0500000}"/>
    <cellStyle name="Normal 48 2" xfId="4606" xr:uid="{00000000-0005-0000-0000-0000C1500000}"/>
    <cellStyle name="Normal 48 2 2" xfId="4607" xr:uid="{00000000-0005-0000-0000-0000C2500000}"/>
    <cellStyle name="Normal 48 2 3" xfId="14146" xr:uid="{00000000-0005-0000-0000-0000C3500000}"/>
    <cellStyle name="Normal 48 2 3 2" xfId="30690" xr:uid="{00000000-0005-0000-0000-0000C4500000}"/>
    <cellStyle name="Normal 48 2 4" xfId="22647" xr:uid="{00000000-0005-0000-0000-0000C5500000}"/>
    <cellStyle name="Normal 48 3" xfId="4608" xr:uid="{00000000-0005-0000-0000-0000C6500000}"/>
    <cellStyle name="Normal 48 3 2" xfId="4609" xr:uid="{00000000-0005-0000-0000-0000C7500000}"/>
    <cellStyle name="Normal 48 3 2 2" xfId="4610" xr:uid="{00000000-0005-0000-0000-0000C8500000}"/>
    <cellStyle name="Normal 48 3 2 2 2" xfId="4611" xr:uid="{00000000-0005-0000-0000-0000C9500000}"/>
    <cellStyle name="Normal 48 3 2 2 2 2" xfId="8611" xr:uid="{00000000-0005-0000-0000-0000CA500000}"/>
    <cellStyle name="Normal 48 3 2 2 2 2 2" xfId="17969" xr:uid="{00000000-0005-0000-0000-0000CB500000}"/>
    <cellStyle name="Normal 48 3 2 2 2 2 2 2" xfId="34543" xr:uid="{00000000-0005-0000-0000-0000CC500000}"/>
    <cellStyle name="Normal 48 3 2 2 2 2 3" xfId="26496" xr:uid="{00000000-0005-0000-0000-0000CD500000}"/>
    <cellStyle name="Normal 48 3 2 2 2 3" xfId="14149" xr:uid="{00000000-0005-0000-0000-0000CE500000}"/>
    <cellStyle name="Normal 48 3 2 2 2 3 2" xfId="30693" xr:uid="{00000000-0005-0000-0000-0000CF500000}"/>
    <cellStyle name="Normal 48 3 2 2 2 4" xfId="22650" xr:uid="{00000000-0005-0000-0000-0000D0500000}"/>
    <cellStyle name="Normal 48 3 2 2 3" xfId="8612" xr:uid="{00000000-0005-0000-0000-0000D1500000}"/>
    <cellStyle name="Normal 48 3 2 2 3 2" xfId="17970" xr:uid="{00000000-0005-0000-0000-0000D2500000}"/>
    <cellStyle name="Normal 48 3 2 2 3 2 2" xfId="34544" xr:uid="{00000000-0005-0000-0000-0000D3500000}"/>
    <cellStyle name="Normal 48 3 2 2 3 3" xfId="26497" xr:uid="{00000000-0005-0000-0000-0000D4500000}"/>
    <cellStyle name="Normal 48 3 2 2 4" xfId="14148" xr:uid="{00000000-0005-0000-0000-0000D5500000}"/>
    <cellStyle name="Normal 48 3 2 2 4 2" xfId="30692" xr:uid="{00000000-0005-0000-0000-0000D6500000}"/>
    <cellStyle name="Normal 48 3 2 2 5" xfId="22649" xr:uid="{00000000-0005-0000-0000-0000D7500000}"/>
    <cellStyle name="Normal 48 3 2 3" xfId="4612" xr:uid="{00000000-0005-0000-0000-0000D8500000}"/>
    <cellStyle name="Normal 48 3 2 3 2" xfId="8613" xr:uid="{00000000-0005-0000-0000-0000D9500000}"/>
    <cellStyle name="Normal 48 3 2 3 2 2" xfId="17971" xr:uid="{00000000-0005-0000-0000-0000DA500000}"/>
    <cellStyle name="Normal 48 3 2 3 2 2 2" xfId="34545" xr:uid="{00000000-0005-0000-0000-0000DB500000}"/>
    <cellStyle name="Normal 48 3 2 3 2 3" xfId="26498" xr:uid="{00000000-0005-0000-0000-0000DC500000}"/>
    <cellStyle name="Normal 48 3 2 3 3" xfId="14150" xr:uid="{00000000-0005-0000-0000-0000DD500000}"/>
    <cellStyle name="Normal 48 3 2 3 3 2" xfId="30694" xr:uid="{00000000-0005-0000-0000-0000DE500000}"/>
    <cellStyle name="Normal 48 3 2 3 4" xfId="22651" xr:uid="{00000000-0005-0000-0000-0000DF500000}"/>
    <cellStyle name="Normal 48 3 2 4" xfId="8614" xr:uid="{00000000-0005-0000-0000-0000E0500000}"/>
    <cellStyle name="Normal 48 3 2 4 2" xfId="17972" xr:uid="{00000000-0005-0000-0000-0000E1500000}"/>
    <cellStyle name="Normal 48 3 2 4 2 2" xfId="34546" xr:uid="{00000000-0005-0000-0000-0000E2500000}"/>
    <cellStyle name="Normal 48 3 2 4 3" xfId="26499" xr:uid="{00000000-0005-0000-0000-0000E3500000}"/>
    <cellStyle name="Normal 48 3 2 5" xfId="14147" xr:uid="{00000000-0005-0000-0000-0000E4500000}"/>
    <cellStyle name="Normal 48 3 2 5 2" xfId="30691" xr:uid="{00000000-0005-0000-0000-0000E5500000}"/>
    <cellStyle name="Normal 48 3 2 6" xfId="22648" xr:uid="{00000000-0005-0000-0000-0000E6500000}"/>
    <cellStyle name="Normal 48 3 3" xfId="4613" xr:uid="{00000000-0005-0000-0000-0000E7500000}"/>
    <cellStyle name="Normal 48 3 3 2" xfId="4614" xr:uid="{00000000-0005-0000-0000-0000E8500000}"/>
    <cellStyle name="Normal 48 3 3 2 2" xfId="8615" xr:uid="{00000000-0005-0000-0000-0000E9500000}"/>
    <cellStyle name="Normal 48 3 3 2 2 2" xfId="17973" xr:uid="{00000000-0005-0000-0000-0000EA500000}"/>
    <cellStyle name="Normal 48 3 3 2 2 2 2" xfId="34547" xr:uid="{00000000-0005-0000-0000-0000EB500000}"/>
    <cellStyle name="Normal 48 3 3 2 2 3" xfId="26500" xr:uid="{00000000-0005-0000-0000-0000EC500000}"/>
    <cellStyle name="Normal 48 3 3 2 3" xfId="14152" xr:uid="{00000000-0005-0000-0000-0000ED500000}"/>
    <cellStyle name="Normal 48 3 3 2 3 2" xfId="30696" xr:uid="{00000000-0005-0000-0000-0000EE500000}"/>
    <cellStyle name="Normal 48 3 3 2 4" xfId="22653" xr:uid="{00000000-0005-0000-0000-0000EF500000}"/>
    <cellStyle name="Normal 48 3 3 3" xfId="8616" xr:uid="{00000000-0005-0000-0000-0000F0500000}"/>
    <cellStyle name="Normal 48 3 3 3 2" xfId="17974" xr:uid="{00000000-0005-0000-0000-0000F1500000}"/>
    <cellStyle name="Normal 48 3 3 3 2 2" xfId="34548" xr:uid="{00000000-0005-0000-0000-0000F2500000}"/>
    <cellStyle name="Normal 48 3 3 3 3" xfId="26501" xr:uid="{00000000-0005-0000-0000-0000F3500000}"/>
    <cellStyle name="Normal 48 3 3 4" xfId="14151" xr:uid="{00000000-0005-0000-0000-0000F4500000}"/>
    <cellStyle name="Normal 48 3 3 4 2" xfId="30695" xr:uid="{00000000-0005-0000-0000-0000F5500000}"/>
    <cellStyle name="Normal 48 3 3 5" xfId="22652" xr:uid="{00000000-0005-0000-0000-0000F6500000}"/>
    <cellStyle name="Normal 48 3 4" xfId="4615" xr:uid="{00000000-0005-0000-0000-0000F7500000}"/>
    <cellStyle name="Normal 48 3 4 2" xfId="8617" xr:uid="{00000000-0005-0000-0000-0000F8500000}"/>
    <cellStyle name="Normal 48 3 4 2 2" xfId="17975" xr:uid="{00000000-0005-0000-0000-0000F9500000}"/>
    <cellStyle name="Normal 48 3 4 2 2 2" xfId="34549" xr:uid="{00000000-0005-0000-0000-0000FA500000}"/>
    <cellStyle name="Normal 48 3 4 2 3" xfId="26502" xr:uid="{00000000-0005-0000-0000-0000FB500000}"/>
    <cellStyle name="Normal 48 3 4 3" xfId="14153" xr:uid="{00000000-0005-0000-0000-0000FC500000}"/>
    <cellStyle name="Normal 48 3 4 3 2" xfId="30697" xr:uid="{00000000-0005-0000-0000-0000FD500000}"/>
    <cellStyle name="Normal 48 3 4 4" xfId="22654" xr:uid="{00000000-0005-0000-0000-0000FE500000}"/>
    <cellStyle name="Normal 48 3 5" xfId="4616" xr:uid="{00000000-0005-0000-0000-0000FF500000}"/>
    <cellStyle name="Normal 48 3 5 2" xfId="14154" xr:uid="{00000000-0005-0000-0000-000000510000}"/>
    <cellStyle name="Normal 48 3 5 2 2" xfId="30698" xr:uid="{00000000-0005-0000-0000-000001510000}"/>
    <cellStyle name="Normal 48 3 5 3" xfId="22655" xr:uid="{00000000-0005-0000-0000-000002510000}"/>
    <cellStyle name="Normal 48 4" xfId="4617" xr:uid="{00000000-0005-0000-0000-000003510000}"/>
    <cellStyle name="Normal 48 4 2" xfId="4618" xr:uid="{00000000-0005-0000-0000-000004510000}"/>
    <cellStyle name="Normal 48 4 2 2" xfId="4619" xr:uid="{00000000-0005-0000-0000-000005510000}"/>
    <cellStyle name="Normal 48 4 2 2 2" xfId="4620" xr:uid="{00000000-0005-0000-0000-000006510000}"/>
    <cellStyle name="Normal 48 4 2 2 2 2" xfId="8618" xr:uid="{00000000-0005-0000-0000-000007510000}"/>
    <cellStyle name="Normal 48 4 2 2 2 2 2" xfId="17976" xr:uid="{00000000-0005-0000-0000-000008510000}"/>
    <cellStyle name="Normal 48 4 2 2 2 2 2 2" xfId="34550" xr:uid="{00000000-0005-0000-0000-000009510000}"/>
    <cellStyle name="Normal 48 4 2 2 2 2 3" xfId="26503" xr:uid="{00000000-0005-0000-0000-00000A510000}"/>
    <cellStyle name="Normal 48 4 2 2 2 3" xfId="14158" xr:uid="{00000000-0005-0000-0000-00000B510000}"/>
    <cellStyle name="Normal 48 4 2 2 2 3 2" xfId="30702" xr:uid="{00000000-0005-0000-0000-00000C510000}"/>
    <cellStyle name="Normal 48 4 2 2 2 4" xfId="22659" xr:uid="{00000000-0005-0000-0000-00000D510000}"/>
    <cellStyle name="Normal 48 4 2 2 3" xfId="8619" xr:uid="{00000000-0005-0000-0000-00000E510000}"/>
    <cellStyle name="Normal 48 4 2 2 3 2" xfId="17977" xr:uid="{00000000-0005-0000-0000-00000F510000}"/>
    <cellStyle name="Normal 48 4 2 2 3 2 2" xfId="34551" xr:uid="{00000000-0005-0000-0000-000010510000}"/>
    <cellStyle name="Normal 48 4 2 2 3 3" xfId="26504" xr:uid="{00000000-0005-0000-0000-000011510000}"/>
    <cellStyle name="Normal 48 4 2 2 4" xfId="14157" xr:uid="{00000000-0005-0000-0000-000012510000}"/>
    <cellStyle name="Normal 48 4 2 2 4 2" xfId="30701" xr:uid="{00000000-0005-0000-0000-000013510000}"/>
    <cellStyle name="Normal 48 4 2 2 5" xfId="22658" xr:uid="{00000000-0005-0000-0000-000014510000}"/>
    <cellStyle name="Normal 48 4 2 3" xfId="4621" xr:uid="{00000000-0005-0000-0000-000015510000}"/>
    <cellStyle name="Normal 48 4 2 3 2" xfId="8620" xr:uid="{00000000-0005-0000-0000-000016510000}"/>
    <cellStyle name="Normal 48 4 2 3 2 2" xfId="17978" xr:uid="{00000000-0005-0000-0000-000017510000}"/>
    <cellStyle name="Normal 48 4 2 3 2 2 2" xfId="34552" xr:uid="{00000000-0005-0000-0000-000018510000}"/>
    <cellStyle name="Normal 48 4 2 3 2 3" xfId="26505" xr:uid="{00000000-0005-0000-0000-000019510000}"/>
    <cellStyle name="Normal 48 4 2 3 3" xfId="14159" xr:uid="{00000000-0005-0000-0000-00001A510000}"/>
    <cellStyle name="Normal 48 4 2 3 3 2" xfId="30703" xr:uid="{00000000-0005-0000-0000-00001B510000}"/>
    <cellStyle name="Normal 48 4 2 3 4" xfId="22660" xr:uid="{00000000-0005-0000-0000-00001C510000}"/>
    <cellStyle name="Normal 48 4 2 4" xfId="8621" xr:uid="{00000000-0005-0000-0000-00001D510000}"/>
    <cellStyle name="Normal 48 4 2 4 2" xfId="17979" xr:uid="{00000000-0005-0000-0000-00001E510000}"/>
    <cellStyle name="Normal 48 4 2 4 2 2" xfId="34553" xr:uid="{00000000-0005-0000-0000-00001F510000}"/>
    <cellStyle name="Normal 48 4 2 4 3" xfId="26506" xr:uid="{00000000-0005-0000-0000-000020510000}"/>
    <cellStyle name="Normal 48 4 2 5" xfId="14156" xr:uid="{00000000-0005-0000-0000-000021510000}"/>
    <cellStyle name="Normal 48 4 2 5 2" xfId="30700" xr:uid="{00000000-0005-0000-0000-000022510000}"/>
    <cellStyle name="Normal 48 4 2 6" xfId="22657" xr:uid="{00000000-0005-0000-0000-000023510000}"/>
    <cellStyle name="Normal 48 4 3" xfId="4622" xr:uid="{00000000-0005-0000-0000-000024510000}"/>
    <cellStyle name="Normal 48 4 3 2" xfId="4623" xr:uid="{00000000-0005-0000-0000-000025510000}"/>
    <cellStyle name="Normal 48 4 3 2 2" xfId="8622" xr:uid="{00000000-0005-0000-0000-000026510000}"/>
    <cellStyle name="Normal 48 4 3 2 2 2" xfId="17980" xr:uid="{00000000-0005-0000-0000-000027510000}"/>
    <cellStyle name="Normal 48 4 3 2 2 2 2" xfId="34554" xr:uid="{00000000-0005-0000-0000-000028510000}"/>
    <cellStyle name="Normal 48 4 3 2 2 3" xfId="26507" xr:uid="{00000000-0005-0000-0000-000029510000}"/>
    <cellStyle name="Normal 48 4 3 2 3" xfId="14161" xr:uid="{00000000-0005-0000-0000-00002A510000}"/>
    <cellStyle name="Normal 48 4 3 2 3 2" xfId="30705" xr:uid="{00000000-0005-0000-0000-00002B510000}"/>
    <cellStyle name="Normal 48 4 3 2 4" xfId="22662" xr:uid="{00000000-0005-0000-0000-00002C510000}"/>
    <cellStyle name="Normal 48 4 3 3" xfId="8623" xr:uid="{00000000-0005-0000-0000-00002D510000}"/>
    <cellStyle name="Normal 48 4 3 3 2" xfId="17981" xr:uid="{00000000-0005-0000-0000-00002E510000}"/>
    <cellStyle name="Normal 48 4 3 3 2 2" xfId="34555" xr:uid="{00000000-0005-0000-0000-00002F510000}"/>
    <cellStyle name="Normal 48 4 3 3 3" xfId="26508" xr:uid="{00000000-0005-0000-0000-000030510000}"/>
    <cellStyle name="Normal 48 4 3 4" xfId="14160" xr:uid="{00000000-0005-0000-0000-000031510000}"/>
    <cellStyle name="Normal 48 4 3 4 2" xfId="30704" xr:uid="{00000000-0005-0000-0000-000032510000}"/>
    <cellStyle name="Normal 48 4 3 5" xfId="22661" xr:uid="{00000000-0005-0000-0000-000033510000}"/>
    <cellStyle name="Normal 48 4 4" xfId="4624" xr:uid="{00000000-0005-0000-0000-000034510000}"/>
    <cellStyle name="Normal 48 4 4 2" xfId="8624" xr:uid="{00000000-0005-0000-0000-000035510000}"/>
    <cellStyle name="Normal 48 4 4 2 2" xfId="17982" xr:uid="{00000000-0005-0000-0000-000036510000}"/>
    <cellStyle name="Normal 48 4 4 2 2 2" xfId="34556" xr:uid="{00000000-0005-0000-0000-000037510000}"/>
    <cellStyle name="Normal 48 4 4 2 3" xfId="26509" xr:uid="{00000000-0005-0000-0000-000038510000}"/>
    <cellStyle name="Normal 48 4 4 3" xfId="14162" xr:uid="{00000000-0005-0000-0000-000039510000}"/>
    <cellStyle name="Normal 48 4 4 3 2" xfId="30706" xr:uid="{00000000-0005-0000-0000-00003A510000}"/>
    <cellStyle name="Normal 48 4 4 4" xfId="22663" xr:uid="{00000000-0005-0000-0000-00003B510000}"/>
    <cellStyle name="Normal 48 4 5" xfId="8625" xr:uid="{00000000-0005-0000-0000-00003C510000}"/>
    <cellStyle name="Normal 48 4 5 2" xfId="17983" xr:uid="{00000000-0005-0000-0000-00003D510000}"/>
    <cellStyle name="Normal 48 4 5 2 2" xfId="34557" xr:uid="{00000000-0005-0000-0000-00003E510000}"/>
    <cellStyle name="Normal 48 4 5 3" xfId="26510" xr:uid="{00000000-0005-0000-0000-00003F510000}"/>
    <cellStyle name="Normal 48 4 6" xfId="14155" xr:uid="{00000000-0005-0000-0000-000040510000}"/>
    <cellStyle name="Normal 48 4 6 2" xfId="30699" xr:uid="{00000000-0005-0000-0000-000041510000}"/>
    <cellStyle name="Normal 48 4 7" xfId="22656" xr:uid="{00000000-0005-0000-0000-000042510000}"/>
    <cellStyle name="Normal 48 5" xfId="4625" xr:uid="{00000000-0005-0000-0000-000043510000}"/>
    <cellStyle name="Normal 48 5 2" xfId="4626" xr:uid="{00000000-0005-0000-0000-000044510000}"/>
    <cellStyle name="Normal 48 5 2 2" xfId="4627" xr:uid="{00000000-0005-0000-0000-000045510000}"/>
    <cellStyle name="Normal 48 5 2 2 2" xfId="4628" xr:uid="{00000000-0005-0000-0000-000046510000}"/>
    <cellStyle name="Normal 48 5 2 2 2 2" xfId="8626" xr:uid="{00000000-0005-0000-0000-000047510000}"/>
    <cellStyle name="Normal 48 5 2 2 2 2 2" xfId="17984" xr:uid="{00000000-0005-0000-0000-000048510000}"/>
    <cellStyle name="Normal 48 5 2 2 2 2 2 2" xfId="34558" xr:uid="{00000000-0005-0000-0000-000049510000}"/>
    <cellStyle name="Normal 48 5 2 2 2 2 3" xfId="26511" xr:uid="{00000000-0005-0000-0000-00004A510000}"/>
    <cellStyle name="Normal 48 5 2 2 2 3" xfId="14166" xr:uid="{00000000-0005-0000-0000-00004B510000}"/>
    <cellStyle name="Normal 48 5 2 2 2 3 2" xfId="30710" xr:uid="{00000000-0005-0000-0000-00004C510000}"/>
    <cellStyle name="Normal 48 5 2 2 2 4" xfId="22667" xr:uid="{00000000-0005-0000-0000-00004D510000}"/>
    <cellStyle name="Normal 48 5 2 2 3" xfId="8627" xr:uid="{00000000-0005-0000-0000-00004E510000}"/>
    <cellStyle name="Normal 48 5 2 2 3 2" xfId="17985" xr:uid="{00000000-0005-0000-0000-00004F510000}"/>
    <cellStyle name="Normal 48 5 2 2 3 2 2" xfId="34559" xr:uid="{00000000-0005-0000-0000-000050510000}"/>
    <cellStyle name="Normal 48 5 2 2 3 3" xfId="26512" xr:uid="{00000000-0005-0000-0000-000051510000}"/>
    <cellStyle name="Normal 48 5 2 2 4" xfId="14165" xr:uid="{00000000-0005-0000-0000-000052510000}"/>
    <cellStyle name="Normal 48 5 2 2 4 2" xfId="30709" xr:uid="{00000000-0005-0000-0000-000053510000}"/>
    <cellStyle name="Normal 48 5 2 2 5" xfId="22666" xr:uid="{00000000-0005-0000-0000-000054510000}"/>
    <cellStyle name="Normal 48 5 2 3" xfId="4629" xr:uid="{00000000-0005-0000-0000-000055510000}"/>
    <cellStyle name="Normal 48 5 2 3 2" xfId="8628" xr:uid="{00000000-0005-0000-0000-000056510000}"/>
    <cellStyle name="Normal 48 5 2 3 2 2" xfId="17986" xr:uid="{00000000-0005-0000-0000-000057510000}"/>
    <cellStyle name="Normal 48 5 2 3 2 2 2" xfId="34560" xr:uid="{00000000-0005-0000-0000-000058510000}"/>
    <cellStyle name="Normal 48 5 2 3 2 3" xfId="26513" xr:uid="{00000000-0005-0000-0000-000059510000}"/>
    <cellStyle name="Normal 48 5 2 3 3" xfId="14167" xr:uid="{00000000-0005-0000-0000-00005A510000}"/>
    <cellStyle name="Normal 48 5 2 3 3 2" xfId="30711" xr:uid="{00000000-0005-0000-0000-00005B510000}"/>
    <cellStyle name="Normal 48 5 2 3 4" xfId="22668" xr:uid="{00000000-0005-0000-0000-00005C510000}"/>
    <cellStyle name="Normal 48 5 2 4" xfId="8629" xr:uid="{00000000-0005-0000-0000-00005D510000}"/>
    <cellStyle name="Normal 48 5 2 4 2" xfId="17987" xr:uid="{00000000-0005-0000-0000-00005E510000}"/>
    <cellStyle name="Normal 48 5 2 4 2 2" xfId="34561" xr:uid="{00000000-0005-0000-0000-00005F510000}"/>
    <cellStyle name="Normal 48 5 2 4 3" xfId="26514" xr:uid="{00000000-0005-0000-0000-000060510000}"/>
    <cellStyle name="Normal 48 5 2 5" xfId="14164" xr:uid="{00000000-0005-0000-0000-000061510000}"/>
    <cellStyle name="Normal 48 5 2 5 2" xfId="30708" xr:uid="{00000000-0005-0000-0000-000062510000}"/>
    <cellStyle name="Normal 48 5 2 6" xfId="22665" xr:uid="{00000000-0005-0000-0000-000063510000}"/>
    <cellStyle name="Normal 48 5 3" xfId="4630" xr:uid="{00000000-0005-0000-0000-000064510000}"/>
    <cellStyle name="Normal 48 5 3 2" xfId="4631" xr:uid="{00000000-0005-0000-0000-000065510000}"/>
    <cellStyle name="Normal 48 5 3 2 2" xfId="8630" xr:uid="{00000000-0005-0000-0000-000066510000}"/>
    <cellStyle name="Normal 48 5 3 2 2 2" xfId="17988" xr:uid="{00000000-0005-0000-0000-000067510000}"/>
    <cellStyle name="Normal 48 5 3 2 2 2 2" xfId="34562" xr:uid="{00000000-0005-0000-0000-000068510000}"/>
    <cellStyle name="Normal 48 5 3 2 2 3" xfId="26515" xr:uid="{00000000-0005-0000-0000-000069510000}"/>
    <cellStyle name="Normal 48 5 3 2 3" xfId="14169" xr:uid="{00000000-0005-0000-0000-00006A510000}"/>
    <cellStyle name="Normal 48 5 3 2 3 2" xfId="30713" xr:uid="{00000000-0005-0000-0000-00006B510000}"/>
    <cellStyle name="Normal 48 5 3 2 4" xfId="22670" xr:uid="{00000000-0005-0000-0000-00006C510000}"/>
    <cellStyle name="Normal 48 5 3 3" xfId="8631" xr:uid="{00000000-0005-0000-0000-00006D510000}"/>
    <cellStyle name="Normal 48 5 3 3 2" xfId="17989" xr:uid="{00000000-0005-0000-0000-00006E510000}"/>
    <cellStyle name="Normal 48 5 3 3 2 2" xfId="34563" xr:uid="{00000000-0005-0000-0000-00006F510000}"/>
    <cellStyle name="Normal 48 5 3 3 3" xfId="26516" xr:uid="{00000000-0005-0000-0000-000070510000}"/>
    <cellStyle name="Normal 48 5 3 4" xfId="14168" xr:uid="{00000000-0005-0000-0000-000071510000}"/>
    <cellStyle name="Normal 48 5 3 4 2" xfId="30712" xr:uid="{00000000-0005-0000-0000-000072510000}"/>
    <cellStyle name="Normal 48 5 3 5" xfId="22669" xr:uid="{00000000-0005-0000-0000-000073510000}"/>
    <cellStyle name="Normal 48 5 4" xfId="4632" xr:uid="{00000000-0005-0000-0000-000074510000}"/>
    <cellStyle name="Normal 48 5 4 2" xfId="8632" xr:uid="{00000000-0005-0000-0000-000075510000}"/>
    <cellStyle name="Normal 48 5 4 2 2" xfId="17990" xr:uid="{00000000-0005-0000-0000-000076510000}"/>
    <cellStyle name="Normal 48 5 4 2 2 2" xfId="34564" xr:uid="{00000000-0005-0000-0000-000077510000}"/>
    <cellStyle name="Normal 48 5 4 2 3" xfId="26517" xr:uid="{00000000-0005-0000-0000-000078510000}"/>
    <cellStyle name="Normal 48 5 4 3" xfId="14170" xr:uid="{00000000-0005-0000-0000-000079510000}"/>
    <cellStyle name="Normal 48 5 4 3 2" xfId="30714" xr:uid="{00000000-0005-0000-0000-00007A510000}"/>
    <cellStyle name="Normal 48 5 4 4" xfId="22671" xr:uid="{00000000-0005-0000-0000-00007B510000}"/>
    <cellStyle name="Normal 48 5 5" xfId="8633" xr:uid="{00000000-0005-0000-0000-00007C510000}"/>
    <cellStyle name="Normal 48 5 5 2" xfId="17991" xr:uid="{00000000-0005-0000-0000-00007D510000}"/>
    <cellStyle name="Normal 48 5 5 2 2" xfId="34565" xr:uid="{00000000-0005-0000-0000-00007E510000}"/>
    <cellStyle name="Normal 48 5 5 3" xfId="26518" xr:uid="{00000000-0005-0000-0000-00007F510000}"/>
    <cellStyle name="Normal 48 5 6" xfId="14163" xr:uid="{00000000-0005-0000-0000-000080510000}"/>
    <cellStyle name="Normal 48 5 6 2" xfId="30707" xr:uid="{00000000-0005-0000-0000-000081510000}"/>
    <cellStyle name="Normal 48 5 7" xfId="22664" xr:uid="{00000000-0005-0000-0000-000082510000}"/>
    <cellStyle name="Normal 48 6" xfId="4633" xr:uid="{00000000-0005-0000-0000-000083510000}"/>
    <cellStyle name="Normal 48 6 2" xfId="4634" xr:uid="{00000000-0005-0000-0000-000084510000}"/>
    <cellStyle name="Normal 48 6 2 2" xfId="4635" xr:uid="{00000000-0005-0000-0000-000085510000}"/>
    <cellStyle name="Normal 48 6 2 2 2" xfId="8634" xr:uid="{00000000-0005-0000-0000-000086510000}"/>
    <cellStyle name="Normal 48 6 2 2 2 2" xfId="17992" xr:uid="{00000000-0005-0000-0000-000087510000}"/>
    <cellStyle name="Normal 48 6 2 2 2 2 2" xfId="34566" xr:uid="{00000000-0005-0000-0000-000088510000}"/>
    <cellStyle name="Normal 48 6 2 2 2 3" xfId="26519" xr:uid="{00000000-0005-0000-0000-000089510000}"/>
    <cellStyle name="Normal 48 6 2 2 3" xfId="14173" xr:uid="{00000000-0005-0000-0000-00008A510000}"/>
    <cellStyle name="Normal 48 6 2 2 3 2" xfId="30717" xr:uid="{00000000-0005-0000-0000-00008B510000}"/>
    <cellStyle name="Normal 48 6 2 2 4" xfId="22674" xr:uid="{00000000-0005-0000-0000-00008C510000}"/>
    <cellStyle name="Normal 48 6 2 3" xfId="8635" xr:uid="{00000000-0005-0000-0000-00008D510000}"/>
    <cellStyle name="Normal 48 6 2 3 2" xfId="17993" xr:uid="{00000000-0005-0000-0000-00008E510000}"/>
    <cellStyle name="Normal 48 6 2 3 2 2" xfId="34567" xr:uid="{00000000-0005-0000-0000-00008F510000}"/>
    <cellStyle name="Normal 48 6 2 3 3" xfId="26520" xr:uid="{00000000-0005-0000-0000-000090510000}"/>
    <cellStyle name="Normal 48 6 2 4" xfId="14172" xr:uid="{00000000-0005-0000-0000-000091510000}"/>
    <cellStyle name="Normal 48 6 2 4 2" xfId="30716" xr:uid="{00000000-0005-0000-0000-000092510000}"/>
    <cellStyle name="Normal 48 6 2 5" xfId="22673" xr:uid="{00000000-0005-0000-0000-000093510000}"/>
    <cellStyle name="Normal 48 6 3" xfId="4636" xr:uid="{00000000-0005-0000-0000-000094510000}"/>
    <cellStyle name="Normal 48 6 3 2" xfId="8636" xr:uid="{00000000-0005-0000-0000-000095510000}"/>
    <cellStyle name="Normal 48 6 3 2 2" xfId="17994" xr:uid="{00000000-0005-0000-0000-000096510000}"/>
    <cellStyle name="Normal 48 6 3 2 2 2" xfId="34568" xr:uid="{00000000-0005-0000-0000-000097510000}"/>
    <cellStyle name="Normal 48 6 3 2 3" xfId="26521" xr:uid="{00000000-0005-0000-0000-000098510000}"/>
    <cellStyle name="Normal 48 6 3 3" xfId="14174" xr:uid="{00000000-0005-0000-0000-000099510000}"/>
    <cellStyle name="Normal 48 6 3 3 2" xfId="30718" xr:uid="{00000000-0005-0000-0000-00009A510000}"/>
    <cellStyle name="Normal 48 6 3 4" xfId="22675" xr:uid="{00000000-0005-0000-0000-00009B510000}"/>
    <cellStyle name="Normal 48 6 4" xfId="8637" xr:uid="{00000000-0005-0000-0000-00009C510000}"/>
    <cellStyle name="Normal 48 6 4 2" xfId="17995" xr:uid="{00000000-0005-0000-0000-00009D510000}"/>
    <cellStyle name="Normal 48 6 4 2 2" xfId="34569" xr:uid="{00000000-0005-0000-0000-00009E510000}"/>
    <cellStyle name="Normal 48 6 4 3" xfId="26522" xr:uid="{00000000-0005-0000-0000-00009F510000}"/>
    <cellStyle name="Normal 48 6 5" xfId="14171" xr:uid="{00000000-0005-0000-0000-0000A0510000}"/>
    <cellStyle name="Normal 48 6 5 2" xfId="30715" xr:uid="{00000000-0005-0000-0000-0000A1510000}"/>
    <cellStyle name="Normal 48 6 6" xfId="22672" xr:uid="{00000000-0005-0000-0000-0000A2510000}"/>
    <cellStyle name="Normal 48 7" xfId="4637" xr:uid="{00000000-0005-0000-0000-0000A3510000}"/>
    <cellStyle name="Normal 48 7 2" xfId="4638" xr:uid="{00000000-0005-0000-0000-0000A4510000}"/>
    <cellStyle name="Normal 48 7 2 2" xfId="8638" xr:uid="{00000000-0005-0000-0000-0000A5510000}"/>
    <cellStyle name="Normal 48 7 2 2 2" xfId="17996" xr:uid="{00000000-0005-0000-0000-0000A6510000}"/>
    <cellStyle name="Normal 48 7 2 2 2 2" xfId="34570" xr:uid="{00000000-0005-0000-0000-0000A7510000}"/>
    <cellStyle name="Normal 48 7 2 2 3" xfId="26523" xr:uid="{00000000-0005-0000-0000-0000A8510000}"/>
    <cellStyle name="Normal 48 7 2 3" xfId="14176" xr:uid="{00000000-0005-0000-0000-0000A9510000}"/>
    <cellStyle name="Normal 48 7 2 3 2" xfId="30720" xr:uid="{00000000-0005-0000-0000-0000AA510000}"/>
    <cellStyle name="Normal 48 7 2 4" xfId="22677" xr:uid="{00000000-0005-0000-0000-0000AB510000}"/>
    <cellStyle name="Normal 48 7 3" xfId="8639" xr:uid="{00000000-0005-0000-0000-0000AC510000}"/>
    <cellStyle name="Normal 48 7 3 2" xfId="17997" xr:uid="{00000000-0005-0000-0000-0000AD510000}"/>
    <cellStyle name="Normal 48 7 3 2 2" xfId="34571" xr:uid="{00000000-0005-0000-0000-0000AE510000}"/>
    <cellStyle name="Normal 48 7 3 3" xfId="26524" xr:uid="{00000000-0005-0000-0000-0000AF510000}"/>
    <cellStyle name="Normal 48 7 4" xfId="14175" xr:uid="{00000000-0005-0000-0000-0000B0510000}"/>
    <cellStyle name="Normal 48 7 4 2" xfId="30719" xr:uid="{00000000-0005-0000-0000-0000B1510000}"/>
    <cellStyle name="Normal 48 7 5" xfId="22676" xr:uid="{00000000-0005-0000-0000-0000B2510000}"/>
    <cellStyle name="Normal 48 8" xfId="4639" xr:uid="{00000000-0005-0000-0000-0000B3510000}"/>
    <cellStyle name="Normal 48 8 2" xfId="8640" xr:uid="{00000000-0005-0000-0000-0000B4510000}"/>
    <cellStyle name="Normal 48 8 2 2" xfId="17998" xr:uid="{00000000-0005-0000-0000-0000B5510000}"/>
    <cellStyle name="Normal 48 8 2 2 2" xfId="34572" xr:uid="{00000000-0005-0000-0000-0000B6510000}"/>
    <cellStyle name="Normal 48 8 2 3" xfId="26525" xr:uid="{00000000-0005-0000-0000-0000B7510000}"/>
    <cellStyle name="Normal 48 8 3" xfId="14177" xr:uid="{00000000-0005-0000-0000-0000B8510000}"/>
    <cellStyle name="Normal 48 8 3 2" xfId="30721" xr:uid="{00000000-0005-0000-0000-0000B9510000}"/>
    <cellStyle name="Normal 48 8 4" xfId="22678" xr:uid="{00000000-0005-0000-0000-0000BA510000}"/>
    <cellStyle name="Normal 48 9" xfId="8641" xr:uid="{00000000-0005-0000-0000-0000BB510000}"/>
    <cellStyle name="Normal 48 9 2" xfId="17999" xr:uid="{00000000-0005-0000-0000-0000BC510000}"/>
    <cellStyle name="Normal 48 9 2 2" xfId="34573" xr:uid="{00000000-0005-0000-0000-0000BD510000}"/>
    <cellStyle name="Normal 48 9 3" xfId="26526" xr:uid="{00000000-0005-0000-0000-0000BE510000}"/>
    <cellStyle name="Normal 49" xfId="4640" xr:uid="{00000000-0005-0000-0000-0000BF510000}"/>
    <cellStyle name="Normal 49 10" xfId="14178" xr:uid="{00000000-0005-0000-0000-0000C0510000}"/>
    <cellStyle name="Normal 49 10 2" xfId="30722" xr:uid="{00000000-0005-0000-0000-0000C1510000}"/>
    <cellStyle name="Normal 49 11" xfId="22679" xr:uid="{00000000-0005-0000-0000-0000C2510000}"/>
    <cellStyle name="Normal 49 2" xfId="4641" xr:uid="{00000000-0005-0000-0000-0000C3510000}"/>
    <cellStyle name="Normal 49 2 2" xfId="4642" xr:uid="{00000000-0005-0000-0000-0000C4510000}"/>
    <cellStyle name="Normal 49 2 3" xfId="14179" xr:uid="{00000000-0005-0000-0000-0000C5510000}"/>
    <cellStyle name="Normal 49 2 3 2" xfId="30723" xr:uid="{00000000-0005-0000-0000-0000C6510000}"/>
    <cellStyle name="Normal 49 2 4" xfId="22680" xr:uid="{00000000-0005-0000-0000-0000C7510000}"/>
    <cellStyle name="Normal 49 3" xfId="4643" xr:uid="{00000000-0005-0000-0000-0000C8510000}"/>
    <cellStyle name="Normal 49 3 2" xfId="4644" xr:uid="{00000000-0005-0000-0000-0000C9510000}"/>
    <cellStyle name="Normal 49 3 2 2" xfId="4645" xr:uid="{00000000-0005-0000-0000-0000CA510000}"/>
    <cellStyle name="Normal 49 3 2 2 2" xfId="4646" xr:uid="{00000000-0005-0000-0000-0000CB510000}"/>
    <cellStyle name="Normal 49 3 2 2 2 2" xfId="8642" xr:uid="{00000000-0005-0000-0000-0000CC510000}"/>
    <cellStyle name="Normal 49 3 2 2 2 2 2" xfId="18000" xr:uid="{00000000-0005-0000-0000-0000CD510000}"/>
    <cellStyle name="Normal 49 3 2 2 2 2 2 2" xfId="34574" xr:uid="{00000000-0005-0000-0000-0000CE510000}"/>
    <cellStyle name="Normal 49 3 2 2 2 2 3" xfId="26527" xr:uid="{00000000-0005-0000-0000-0000CF510000}"/>
    <cellStyle name="Normal 49 3 2 2 2 3" xfId="14182" xr:uid="{00000000-0005-0000-0000-0000D0510000}"/>
    <cellStyle name="Normal 49 3 2 2 2 3 2" xfId="30726" xr:uid="{00000000-0005-0000-0000-0000D1510000}"/>
    <cellStyle name="Normal 49 3 2 2 2 4" xfId="22683" xr:uid="{00000000-0005-0000-0000-0000D2510000}"/>
    <cellStyle name="Normal 49 3 2 2 3" xfId="8643" xr:uid="{00000000-0005-0000-0000-0000D3510000}"/>
    <cellStyle name="Normal 49 3 2 2 3 2" xfId="18001" xr:uid="{00000000-0005-0000-0000-0000D4510000}"/>
    <cellStyle name="Normal 49 3 2 2 3 2 2" xfId="34575" xr:uid="{00000000-0005-0000-0000-0000D5510000}"/>
    <cellStyle name="Normal 49 3 2 2 3 3" xfId="26528" xr:uid="{00000000-0005-0000-0000-0000D6510000}"/>
    <cellStyle name="Normal 49 3 2 2 4" xfId="14181" xr:uid="{00000000-0005-0000-0000-0000D7510000}"/>
    <cellStyle name="Normal 49 3 2 2 4 2" xfId="30725" xr:uid="{00000000-0005-0000-0000-0000D8510000}"/>
    <cellStyle name="Normal 49 3 2 2 5" xfId="22682" xr:uid="{00000000-0005-0000-0000-0000D9510000}"/>
    <cellStyle name="Normal 49 3 2 3" xfId="4647" xr:uid="{00000000-0005-0000-0000-0000DA510000}"/>
    <cellStyle name="Normal 49 3 2 3 2" xfId="8644" xr:uid="{00000000-0005-0000-0000-0000DB510000}"/>
    <cellStyle name="Normal 49 3 2 3 2 2" xfId="18002" xr:uid="{00000000-0005-0000-0000-0000DC510000}"/>
    <cellStyle name="Normal 49 3 2 3 2 2 2" xfId="34576" xr:uid="{00000000-0005-0000-0000-0000DD510000}"/>
    <cellStyle name="Normal 49 3 2 3 2 3" xfId="26529" xr:uid="{00000000-0005-0000-0000-0000DE510000}"/>
    <cellStyle name="Normal 49 3 2 3 3" xfId="14183" xr:uid="{00000000-0005-0000-0000-0000DF510000}"/>
    <cellStyle name="Normal 49 3 2 3 3 2" xfId="30727" xr:uid="{00000000-0005-0000-0000-0000E0510000}"/>
    <cellStyle name="Normal 49 3 2 3 4" xfId="22684" xr:uid="{00000000-0005-0000-0000-0000E1510000}"/>
    <cellStyle name="Normal 49 3 2 4" xfId="8645" xr:uid="{00000000-0005-0000-0000-0000E2510000}"/>
    <cellStyle name="Normal 49 3 2 4 2" xfId="18003" xr:uid="{00000000-0005-0000-0000-0000E3510000}"/>
    <cellStyle name="Normal 49 3 2 4 2 2" xfId="34577" xr:uid="{00000000-0005-0000-0000-0000E4510000}"/>
    <cellStyle name="Normal 49 3 2 4 3" xfId="26530" xr:uid="{00000000-0005-0000-0000-0000E5510000}"/>
    <cellStyle name="Normal 49 3 2 5" xfId="14180" xr:uid="{00000000-0005-0000-0000-0000E6510000}"/>
    <cellStyle name="Normal 49 3 2 5 2" xfId="30724" xr:uid="{00000000-0005-0000-0000-0000E7510000}"/>
    <cellStyle name="Normal 49 3 2 6" xfId="22681" xr:uid="{00000000-0005-0000-0000-0000E8510000}"/>
    <cellStyle name="Normal 49 3 3" xfId="4648" xr:uid="{00000000-0005-0000-0000-0000E9510000}"/>
    <cellStyle name="Normal 49 3 3 2" xfId="4649" xr:uid="{00000000-0005-0000-0000-0000EA510000}"/>
    <cellStyle name="Normal 49 3 3 2 2" xfId="8646" xr:uid="{00000000-0005-0000-0000-0000EB510000}"/>
    <cellStyle name="Normal 49 3 3 2 2 2" xfId="18004" xr:uid="{00000000-0005-0000-0000-0000EC510000}"/>
    <cellStyle name="Normal 49 3 3 2 2 2 2" xfId="34578" xr:uid="{00000000-0005-0000-0000-0000ED510000}"/>
    <cellStyle name="Normal 49 3 3 2 2 3" xfId="26531" xr:uid="{00000000-0005-0000-0000-0000EE510000}"/>
    <cellStyle name="Normal 49 3 3 2 3" xfId="14185" xr:uid="{00000000-0005-0000-0000-0000EF510000}"/>
    <cellStyle name="Normal 49 3 3 2 3 2" xfId="30729" xr:uid="{00000000-0005-0000-0000-0000F0510000}"/>
    <cellStyle name="Normal 49 3 3 2 4" xfId="22686" xr:uid="{00000000-0005-0000-0000-0000F1510000}"/>
    <cellStyle name="Normal 49 3 3 3" xfId="8647" xr:uid="{00000000-0005-0000-0000-0000F2510000}"/>
    <cellStyle name="Normal 49 3 3 3 2" xfId="18005" xr:uid="{00000000-0005-0000-0000-0000F3510000}"/>
    <cellStyle name="Normal 49 3 3 3 2 2" xfId="34579" xr:uid="{00000000-0005-0000-0000-0000F4510000}"/>
    <cellStyle name="Normal 49 3 3 3 3" xfId="26532" xr:uid="{00000000-0005-0000-0000-0000F5510000}"/>
    <cellStyle name="Normal 49 3 3 4" xfId="14184" xr:uid="{00000000-0005-0000-0000-0000F6510000}"/>
    <cellStyle name="Normal 49 3 3 4 2" xfId="30728" xr:uid="{00000000-0005-0000-0000-0000F7510000}"/>
    <cellStyle name="Normal 49 3 3 5" xfId="22685" xr:uid="{00000000-0005-0000-0000-0000F8510000}"/>
    <cellStyle name="Normal 49 3 4" xfId="4650" xr:uid="{00000000-0005-0000-0000-0000F9510000}"/>
    <cellStyle name="Normal 49 3 4 2" xfId="8648" xr:uid="{00000000-0005-0000-0000-0000FA510000}"/>
    <cellStyle name="Normal 49 3 4 2 2" xfId="18006" xr:uid="{00000000-0005-0000-0000-0000FB510000}"/>
    <cellStyle name="Normal 49 3 4 2 2 2" xfId="34580" xr:uid="{00000000-0005-0000-0000-0000FC510000}"/>
    <cellStyle name="Normal 49 3 4 2 3" xfId="26533" xr:uid="{00000000-0005-0000-0000-0000FD510000}"/>
    <cellStyle name="Normal 49 3 4 3" xfId="14186" xr:uid="{00000000-0005-0000-0000-0000FE510000}"/>
    <cellStyle name="Normal 49 3 4 3 2" xfId="30730" xr:uid="{00000000-0005-0000-0000-0000FF510000}"/>
    <cellStyle name="Normal 49 3 4 4" xfId="22687" xr:uid="{00000000-0005-0000-0000-000000520000}"/>
    <cellStyle name="Normal 49 3 5" xfId="4651" xr:uid="{00000000-0005-0000-0000-000001520000}"/>
    <cellStyle name="Normal 49 3 5 2" xfId="14187" xr:uid="{00000000-0005-0000-0000-000002520000}"/>
    <cellStyle name="Normal 49 3 5 2 2" xfId="30731" xr:uid="{00000000-0005-0000-0000-000003520000}"/>
    <cellStyle name="Normal 49 3 5 3" xfId="22688" xr:uid="{00000000-0005-0000-0000-000004520000}"/>
    <cellStyle name="Normal 49 4" xfId="4652" xr:uid="{00000000-0005-0000-0000-000005520000}"/>
    <cellStyle name="Normal 49 4 2" xfId="4653" xr:uid="{00000000-0005-0000-0000-000006520000}"/>
    <cellStyle name="Normal 49 4 2 2" xfId="4654" xr:uid="{00000000-0005-0000-0000-000007520000}"/>
    <cellStyle name="Normal 49 4 2 2 2" xfId="4655" xr:uid="{00000000-0005-0000-0000-000008520000}"/>
    <cellStyle name="Normal 49 4 2 2 2 2" xfId="8649" xr:uid="{00000000-0005-0000-0000-000009520000}"/>
    <cellStyle name="Normal 49 4 2 2 2 2 2" xfId="18007" xr:uid="{00000000-0005-0000-0000-00000A520000}"/>
    <cellStyle name="Normal 49 4 2 2 2 2 2 2" xfId="34581" xr:uid="{00000000-0005-0000-0000-00000B520000}"/>
    <cellStyle name="Normal 49 4 2 2 2 2 3" xfId="26534" xr:uid="{00000000-0005-0000-0000-00000C520000}"/>
    <cellStyle name="Normal 49 4 2 2 2 3" xfId="14191" xr:uid="{00000000-0005-0000-0000-00000D520000}"/>
    <cellStyle name="Normal 49 4 2 2 2 3 2" xfId="30735" xr:uid="{00000000-0005-0000-0000-00000E520000}"/>
    <cellStyle name="Normal 49 4 2 2 2 4" xfId="22692" xr:uid="{00000000-0005-0000-0000-00000F520000}"/>
    <cellStyle name="Normal 49 4 2 2 3" xfId="8650" xr:uid="{00000000-0005-0000-0000-000010520000}"/>
    <cellStyle name="Normal 49 4 2 2 3 2" xfId="18008" xr:uid="{00000000-0005-0000-0000-000011520000}"/>
    <cellStyle name="Normal 49 4 2 2 3 2 2" xfId="34582" xr:uid="{00000000-0005-0000-0000-000012520000}"/>
    <cellStyle name="Normal 49 4 2 2 3 3" xfId="26535" xr:uid="{00000000-0005-0000-0000-000013520000}"/>
    <cellStyle name="Normal 49 4 2 2 4" xfId="14190" xr:uid="{00000000-0005-0000-0000-000014520000}"/>
    <cellStyle name="Normal 49 4 2 2 4 2" xfId="30734" xr:uid="{00000000-0005-0000-0000-000015520000}"/>
    <cellStyle name="Normal 49 4 2 2 5" xfId="22691" xr:uid="{00000000-0005-0000-0000-000016520000}"/>
    <cellStyle name="Normal 49 4 2 3" xfId="4656" xr:uid="{00000000-0005-0000-0000-000017520000}"/>
    <cellStyle name="Normal 49 4 2 3 2" xfId="8651" xr:uid="{00000000-0005-0000-0000-000018520000}"/>
    <cellStyle name="Normal 49 4 2 3 2 2" xfId="18009" xr:uid="{00000000-0005-0000-0000-000019520000}"/>
    <cellStyle name="Normal 49 4 2 3 2 2 2" xfId="34583" xr:uid="{00000000-0005-0000-0000-00001A520000}"/>
    <cellStyle name="Normal 49 4 2 3 2 3" xfId="26536" xr:uid="{00000000-0005-0000-0000-00001B520000}"/>
    <cellStyle name="Normal 49 4 2 3 3" xfId="14192" xr:uid="{00000000-0005-0000-0000-00001C520000}"/>
    <cellStyle name="Normal 49 4 2 3 3 2" xfId="30736" xr:uid="{00000000-0005-0000-0000-00001D520000}"/>
    <cellStyle name="Normal 49 4 2 3 4" xfId="22693" xr:uid="{00000000-0005-0000-0000-00001E520000}"/>
    <cellStyle name="Normal 49 4 2 4" xfId="8652" xr:uid="{00000000-0005-0000-0000-00001F520000}"/>
    <cellStyle name="Normal 49 4 2 4 2" xfId="18010" xr:uid="{00000000-0005-0000-0000-000020520000}"/>
    <cellStyle name="Normal 49 4 2 4 2 2" xfId="34584" xr:uid="{00000000-0005-0000-0000-000021520000}"/>
    <cellStyle name="Normal 49 4 2 4 3" xfId="26537" xr:uid="{00000000-0005-0000-0000-000022520000}"/>
    <cellStyle name="Normal 49 4 2 5" xfId="14189" xr:uid="{00000000-0005-0000-0000-000023520000}"/>
    <cellStyle name="Normal 49 4 2 5 2" xfId="30733" xr:uid="{00000000-0005-0000-0000-000024520000}"/>
    <cellStyle name="Normal 49 4 2 6" xfId="22690" xr:uid="{00000000-0005-0000-0000-000025520000}"/>
    <cellStyle name="Normal 49 4 3" xfId="4657" xr:uid="{00000000-0005-0000-0000-000026520000}"/>
    <cellStyle name="Normal 49 4 3 2" xfId="4658" xr:uid="{00000000-0005-0000-0000-000027520000}"/>
    <cellStyle name="Normal 49 4 3 2 2" xfId="8653" xr:uid="{00000000-0005-0000-0000-000028520000}"/>
    <cellStyle name="Normal 49 4 3 2 2 2" xfId="18011" xr:uid="{00000000-0005-0000-0000-000029520000}"/>
    <cellStyle name="Normal 49 4 3 2 2 2 2" xfId="34585" xr:uid="{00000000-0005-0000-0000-00002A520000}"/>
    <cellStyle name="Normal 49 4 3 2 2 3" xfId="26538" xr:uid="{00000000-0005-0000-0000-00002B520000}"/>
    <cellStyle name="Normal 49 4 3 2 3" xfId="14194" xr:uid="{00000000-0005-0000-0000-00002C520000}"/>
    <cellStyle name="Normal 49 4 3 2 3 2" xfId="30738" xr:uid="{00000000-0005-0000-0000-00002D520000}"/>
    <cellStyle name="Normal 49 4 3 2 4" xfId="22695" xr:uid="{00000000-0005-0000-0000-00002E520000}"/>
    <cellStyle name="Normal 49 4 3 3" xfId="8654" xr:uid="{00000000-0005-0000-0000-00002F520000}"/>
    <cellStyle name="Normal 49 4 3 3 2" xfId="18012" xr:uid="{00000000-0005-0000-0000-000030520000}"/>
    <cellStyle name="Normal 49 4 3 3 2 2" xfId="34586" xr:uid="{00000000-0005-0000-0000-000031520000}"/>
    <cellStyle name="Normal 49 4 3 3 3" xfId="26539" xr:uid="{00000000-0005-0000-0000-000032520000}"/>
    <cellStyle name="Normal 49 4 3 4" xfId="14193" xr:uid="{00000000-0005-0000-0000-000033520000}"/>
    <cellStyle name="Normal 49 4 3 4 2" xfId="30737" xr:uid="{00000000-0005-0000-0000-000034520000}"/>
    <cellStyle name="Normal 49 4 3 5" xfId="22694" xr:uid="{00000000-0005-0000-0000-000035520000}"/>
    <cellStyle name="Normal 49 4 4" xfId="4659" xr:uid="{00000000-0005-0000-0000-000036520000}"/>
    <cellStyle name="Normal 49 4 4 2" xfId="8655" xr:uid="{00000000-0005-0000-0000-000037520000}"/>
    <cellStyle name="Normal 49 4 4 2 2" xfId="18013" xr:uid="{00000000-0005-0000-0000-000038520000}"/>
    <cellStyle name="Normal 49 4 4 2 2 2" xfId="34587" xr:uid="{00000000-0005-0000-0000-000039520000}"/>
    <cellStyle name="Normal 49 4 4 2 3" xfId="26540" xr:uid="{00000000-0005-0000-0000-00003A520000}"/>
    <cellStyle name="Normal 49 4 4 3" xfId="14195" xr:uid="{00000000-0005-0000-0000-00003B520000}"/>
    <cellStyle name="Normal 49 4 4 3 2" xfId="30739" xr:uid="{00000000-0005-0000-0000-00003C520000}"/>
    <cellStyle name="Normal 49 4 4 4" xfId="22696" xr:uid="{00000000-0005-0000-0000-00003D520000}"/>
    <cellStyle name="Normal 49 4 5" xfId="8656" xr:uid="{00000000-0005-0000-0000-00003E520000}"/>
    <cellStyle name="Normal 49 4 5 2" xfId="18014" xr:uid="{00000000-0005-0000-0000-00003F520000}"/>
    <cellStyle name="Normal 49 4 5 2 2" xfId="34588" xr:uid="{00000000-0005-0000-0000-000040520000}"/>
    <cellStyle name="Normal 49 4 5 3" xfId="26541" xr:uid="{00000000-0005-0000-0000-000041520000}"/>
    <cellStyle name="Normal 49 4 6" xfId="14188" xr:uid="{00000000-0005-0000-0000-000042520000}"/>
    <cellStyle name="Normal 49 4 6 2" xfId="30732" xr:uid="{00000000-0005-0000-0000-000043520000}"/>
    <cellStyle name="Normal 49 4 7" xfId="22689" xr:uid="{00000000-0005-0000-0000-000044520000}"/>
    <cellStyle name="Normal 49 5" xfId="4660" xr:uid="{00000000-0005-0000-0000-000045520000}"/>
    <cellStyle name="Normal 49 5 2" xfId="4661" xr:uid="{00000000-0005-0000-0000-000046520000}"/>
    <cellStyle name="Normal 49 5 2 2" xfId="4662" xr:uid="{00000000-0005-0000-0000-000047520000}"/>
    <cellStyle name="Normal 49 5 2 2 2" xfId="4663" xr:uid="{00000000-0005-0000-0000-000048520000}"/>
    <cellStyle name="Normal 49 5 2 2 2 2" xfId="8657" xr:uid="{00000000-0005-0000-0000-000049520000}"/>
    <cellStyle name="Normal 49 5 2 2 2 2 2" xfId="18015" xr:uid="{00000000-0005-0000-0000-00004A520000}"/>
    <cellStyle name="Normal 49 5 2 2 2 2 2 2" xfId="34589" xr:uid="{00000000-0005-0000-0000-00004B520000}"/>
    <cellStyle name="Normal 49 5 2 2 2 2 3" xfId="26542" xr:uid="{00000000-0005-0000-0000-00004C520000}"/>
    <cellStyle name="Normal 49 5 2 2 2 3" xfId="14199" xr:uid="{00000000-0005-0000-0000-00004D520000}"/>
    <cellStyle name="Normal 49 5 2 2 2 3 2" xfId="30743" xr:uid="{00000000-0005-0000-0000-00004E520000}"/>
    <cellStyle name="Normal 49 5 2 2 2 4" xfId="22700" xr:uid="{00000000-0005-0000-0000-00004F520000}"/>
    <cellStyle name="Normal 49 5 2 2 3" xfId="8658" xr:uid="{00000000-0005-0000-0000-000050520000}"/>
    <cellStyle name="Normal 49 5 2 2 3 2" xfId="18016" xr:uid="{00000000-0005-0000-0000-000051520000}"/>
    <cellStyle name="Normal 49 5 2 2 3 2 2" xfId="34590" xr:uid="{00000000-0005-0000-0000-000052520000}"/>
    <cellStyle name="Normal 49 5 2 2 3 3" xfId="26543" xr:uid="{00000000-0005-0000-0000-000053520000}"/>
    <cellStyle name="Normal 49 5 2 2 4" xfId="14198" xr:uid="{00000000-0005-0000-0000-000054520000}"/>
    <cellStyle name="Normal 49 5 2 2 4 2" xfId="30742" xr:uid="{00000000-0005-0000-0000-000055520000}"/>
    <cellStyle name="Normal 49 5 2 2 5" xfId="22699" xr:uid="{00000000-0005-0000-0000-000056520000}"/>
    <cellStyle name="Normal 49 5 2 3" xfId="4664" xr:uid="{00000000-0005-0000-0000-000057520000}"/>
    <cellStyle name="Normal 49 5 2 3 2" xfId="8659" xr:uid="{00000000-0005-0000-0000-000058520000}"/>
    <cellStyle name="Normal 49 5 2 3 2 2" xfId="18017" xr:uid="{00000000-0005-0000-0000-000059520000}"/>
    <cellStyle name="Normal 49 5 2 3 2 2 2" xfId="34591" xr:uid="{00000000-0005-0000-0000-00005A520000}"/>
    <cellStyle name="Normal 49 5 2 3 2 3" xfId="26544" xr:uid="{00000000-0005-0000-0000-00005B520000}"/>
    <cellStyle name="Normal 49 5 2 3 3" xfId="14200" xr:uid="{00000000-0005-0000-0000-00005C520000}"/>
    <cellStyle name="Normal 49 5 2 3 3 2" xfId="30744" xr:uid="{00000000-0005-0000-0000-00005D520000}"/>
    <cellStyle name="Normal 49 5 2 3 4" xfId="22701" xr:uid="{00000000-0005-0000-0000-00005E520000}"/>
    <cellStyle name="Normal 49 5 2 4" xfId="8660" xr:uid="{00000000-0005-0000-0000-00005F520000}"/>
    <cellStyle name="Normal 49 5 2 4 2" xfId="18018" xr:uid="{00000000-0005-0000-0000-000060520000}"/>
    <cellStyle name="Normal 49 5 2 4 2 2" xfId="34592" xr:uid="{00000000-0005-0000-0000-000061520000}"/>
    <cellStyle name="Normal 49 5 2 4 3" xfId="26545" xr:uid="{00000000-0005-0000-0000-000062520000}"/>
    <cellStyle name="Normal 49 5 2 5" xfId="14197" xr:uid="{00000000-0005-0000-0000-000063520000}"/>
    <cellStyle name="Normal 49 5 2 5 2" xfId="30741" xr:uid="{00000000-0005-0000-0000-000064520000}"/>
    <cellStyle name="Normal 49 5 2 6" xfId="22698" xr:uid="{00000000-0005-0000-0000-000065520000}"/>
    <cellStyle name="Normal 49 5 3" xfId="4665" xr:uid="{00000000-0005-0000-0000-000066520000}"/>
    <cellStyle name="Normal 49 5 3 2" xfId="4666" xr:uid="{00000000-0005-0000-0000-000067520000}"/>
    <cellStyle name="Normal 49 5 3 2 2" xfId="8661" xr:uid="{00000000-0005-0000-0000-000068520000}"/>
    <cellStyle name="Normal 49 5 3 2 2 2" xfId="18019" xr:uid="{00000000-0005-0000-0000-000069520000}"/>
    <cellStyle name="Normal 49 5 3 2 2 2 2" xfId="34593" xr:uid="{00000000-0005-0000-0000-00006A520000}"/>
    <cellStyle name="Normal 49 5 3 2 2 3" xfId="26546" xr:uid="{00000000-0005-0000-0000-00006B520000}"/>
    <cellStyle name="Normal 49 5 3 2 3" xfId="14202" xr:uid="{00000000-0005-0000-0000-00006C520000}"/>
    <cellStyle name="Normal 49 5 3 2 3 2" xfId="30746" xr:uid="{00000000-0005-0000-0000-00006D520000}"/>
    <cellStyle name="Normal 49 5 3 2 4" xfId="22703" xr:uid="{00000000-0005-0000-0000-00006E520000}"/>
    <cellStyle name="Normal 49 5 3 3" xfId="8662" xr:uid="{00000000-0005-0000-0000-00006F520000}"/>
    <cellStyle name="Normal 49 5 3 3 2" xfId="18020" xr:uid="{00000000-0005-0000-0000-000070520000}"/>
    <cellStyle name="Normal 49 5 3 3 2 2" xfId="34594" xr:uid="{00000000-0005-0000-0000-000071520000}"/>
    <cellStyle name="Normal 49 5 3 3 3" xfId="26547" xr:uid="{00000000-0005-0000-0000-000072520000}"/>
    <cellStyle name="Normal 49 5 3 4" xfId="14201" xr:uid="{00000000-0005-0000-0000-000073520000}"/>
    <cellStyle name="Normal 49 5 3 4 2" xfId="30745" xr:uid="{00000000-0005-0000-0000-000074520000}"/>
    <cellStyle name="Normal 49 5 3 5" xfId="22702" xr:uid="{00000000-0005-0000-0000-000075520000}"/>
    <cellStyle name="Normal 49 5 4" xfId="4667" xr:uid="{00000000-0005-0000-0000-000076520000}"/>
    <cellStyle name="Normal 49 5 4 2" xfId="8663" xr:uid="{00000000-0005-0000-0000-000077520000}"/>
    <cellStyle name="Normal 49 5 4 2 2" xfId="18021" xr:uid="{00000000-0005-0000-0000-000078520000}"/>
    <cellStyle name="Normal 49 5 4 2 2 2" xfId="34595" xr:uid="{00000000-0005-0000-0000-000079520000}"/>
    <cellStyle name="Normal 49 5 4 2 3" xfId="26548" xr:uid="{00000000-0005-0000-0000-00007A520000}"/>
    <cellStyle name="Normal 49 5 4 3" xfId="14203" xr:uid="{00000000-0005-0000-0000-00007B520000}"/>
    <cellStyle name="Normal 49 5 4 3 2" xfId="30747" xr:uid="{00000000-0005-0000-0000-00007C520000}"/>
    <cellStyle name="Normal 49 5 4 4" xfId="22704" xr:uid="{00000000-0005-0000-0000-00007D520000}"/>
    <cellStyle name="Normal 49 5 5" xfId="8664" xr:uid="{00000000-0005-0000-0000-00007E520000}"/>
    <cellStyle name="Normal 49 5 5 2" xfId="18022" xr:uid="{00000000-0005-0000-0000-00007F520000}"/>
    <cellStyle name="Normal 49 5 5 2 2" xfId="34596" xr:uid="{00000000-0005-0000-0000-000080520000}"/>
    <cellStyle name="Normal 49 5 5 3" xfId="26549" xr:uid="{00000000-0005-0000-0000-000081520000}"/>
    <cellStyle name="Normal 49 5 6" xfId="14196" xr:uid="{00000000-0005-0000-0000-000082520000}"/>
    <cellStyle name="Normal 49 5 6 2" xfId="30740" xr:uid="{00000000-0005-0000-0000-000083520000}"/>
    <cellStyle name="Normal 49 5 7" xfId="22697" xr:uid="{00000000-0005-0000-0000-000084520000}"/>
    <cellStyle name="Normal 49 6" xfId="4668" xr:uid="{00000000-0005-0000-0000-000085520000}"/>
    <cellStyle name="Normal 49 6 2" xfId="4669" xr:uid="{00000000-0005-0000-0000-000086520000}"/>
    <cellStyle name="Normal 49 6 2 2" xfId="4670" xr:uid="{00000000-0005-0000-0000-000087520000}"/>
    <cellStyle name="Normal 49 6 2 2 2" xfId="8665" xr:uid="{00000000-0005-0000-0000-000088520000}"/>
    <cellStyle name="Normal 49 6 2 2 2 2" xfId="18023" xr:uid="{00000000-0005-0000-0000-000089520000}"/>
    <cellStyle name="Normal 49 6 2 2 2 2 2" xfId="34597" xr:uid="{00000000-0005-0000-0000-00008A520000}"/>
    <cellStyle name="Normal 49 6 2 2 2 3" xfId="26550" xr:uid="{00000000-0005-0000-0000-00008B520000}"/>
    <cellStyle name="Normal 49 6 2 2 3" xfId="14206" xr:uid="{00000000-0005-0000-0000-00008C520000}"/>
    <cellStyle name="Normal 49 6 2 2 3 2" xfId="30750" xr:uid="{00000000-0005-0000-0000-00008D520000}"/>
    <cellStyle name="Normal 49 6 2 2 4" xfId="22707" xr:uid="{00000000-0005-0000-0000-00008E520000}"/>
    <cellStyle name="Normal 49 6 2 3" xfId="8666" xr:uid="{00000000-0005-0000-0000-00008F520000}"/>
    <cellStyle name="Normal 49 6 2 3 2" xfId="18024" xr:uid="{00000000-0005-0000-0000-000090520000}"/>
    <cellStyle name="Normal 49 6 2 3 2 2" xfId="34598" xr:uid="{00000000-0005-0000-0000-000091520000}"/>
    <cellStyle name="Normal 49 6 2 3 3" xfId="26551" xr:uid="{00000000-0005-0000-0000-000092520000}"/>
    <cellStyle name="Normal 49 6 2 4" xfId="14205" xr:uid="{00000000-0005-0000-0000-000093520000}"/>
    <cellStyle name="Normal 49 6 2 4 2" xfId="30749" xr:uid="{00000000-0005-0000-0000-000094520000}"/>
    <cellStyle name="Normal 49 6 2 5" xfId="22706" xr:uid="{00000000-0005-0000-0000-000095520000}"/>
    <cellStyle name="Normal 49 6 3" xfId="4671" xr:uid="{00000000-0005-0000-0000-000096520000}"/>
    <cellStyle name="Normal 49 6 3 2" xfId="8667" xr:uid="{00000000-0005-0000-0000-000097520000}"/>
    <cellStyle name="Normal 49 6 3 2 2" xfId="18025" xr:uid="{00000000-0005-0000-0000-000098520000}"/>
    <cellStyle name="Normal 49 6 3 2 2 2" xfId="34599" xr:uid="{00000000-0005-0000-0000-000099520000}"/>
    <cellStyle name="Normal 49 6 3 2 3" xfId="26552" xr:uid="{00000000-0005-0000-0000-00009A520000}"/>
    <cellStyle name="Normal 49 6 3 3" xfId="14207" xr:uid="{00000000-0005-0000-0000-00009B520000}"/>
    <cellStyle name="Normal 49 6 3 3 2" xfId="30751" xr:uid="{00000000-0005-0000-0000-00009C520000}"/>
    <cellStyle name="Normal 49 6 3 4" xfId="22708" xr:uid="{00000000-0005-0000-0000-00009D520000}"/>
    <cellStyle name="Normal 49 6 4" xfId="8668" xr:uid="{00000000-0005-0000-0000-00009E520000}"/>
    <cellStyle name="Normal 49 6 4 2" xfId="18026" xr:uid="{00000000-0005-0000-0000-00009F520000}"/>
    <cellStyle name="Normal 49 6 4 2 2" xfId="34600" xr:uid="{00000000-0005-0000-0000-0000A0520000}"/>
    <cellStyle name="Normal 49 6 4 3" xfId="26553" xr:uid="{00000000-0005-0000-0000-0000A1520000}"/>
    <cellStyle name="Normal 49 6 5" xfId="14204" xr:uid="{00000000-0005-0000-0000-0000A2520000}"/>
    <cellStyle name="Normal 49 6 5 2" xfId="30748" xr:uid="{00000000-0005-0000-0000-0000A3520000}"/>
    <cellStyle name="Normal 49 6 6" xfId="22705" xr:uid="{00000000-0005-0000-0000-0000A4520000}"/>
    <cellStyle name="Normal 49 7" xfId="4672" xr:uid="{00000000-0005-0000-0000-0000A5520000}"/>
    <cellStyle name="Normal 49 7 2" xfId="4673" xr:uid="{00000000-0005-0000-0000-0000A6520000}"/>
    <cellStyle name="Normal 49 7 2 2" xfId="8669" xr:uid="{00000000-0005-0000-0000-0000A7520000}"/>
    <cellStyle name="Normal 49 7 2 2 2" xfId="18027" xr:uid="{00000000-0005-0000-0000-0000A8520000}"/>
    <cellStyle name="Normal 49 7 2 2 2 2" xfId="34601" xr:uid="{00000000-0005-0000-0000-0000A9520000}"/>
    <cellStyle name="Normal 49 7 2 2 3" xfId="26554" xr:uid="{00000000-0005-0000-0000-0000AA520000}"/>
    <cellStyle name="Normal 49 7 2 3" xfId="14209" xr:uid="{00000000-0005-0000-0000-0000AB520000}"/>
    <cellStyle name="Normal 49 7 2 3 2" xfId="30753" xr:uid="{00000000-0005-0000-0000-0000AC520000}"/>
    <cellStyle name="Normal 49 7 2 4" xfId="22710" xr:uid="{00000000-0005-0000-0000-0000AD520000}"/>
    <cellStyle name="Normal 49 7 3" xfId="8670" xr:uid="{00000000-0005-0000-0000-0000AE520000}"/>
    <cellStyle name="Normal 49 7 3 2" xfId="18028" xr:uid="{00000000-0005-0000-0000-0000AF520000}"/>
    <cellStyle name="Normal 49 7 3 2 2" xfId="34602" xr:uid="{00000000-0005-0000-0000-0000B0520000}"/>
    <cellStyle name="Normal 49 7 3 3" xfId="26555" xr:uid="{00000000-0005-0000-0000-0000B1520000}"/>
    <cellStyle name="Normal 49 7 4" xfId="14208" xr:uid="{00000000-0005-0000-0000-0000B2520000}"/>
    <cellStyle name="Normal 49 7 4 2" xfId="30752" xr:uid="{00000000-0005-0000-0000-0000B3520000}"/>
    <cellStyle name="Normal 49 7 5" xfId="22709" xr:uid="{00000000-0005-0000-0000-0000B4520000}"/>
    <cellStyle name="Normal 49 8" xfId="4674" xr:uid="{00000000-0005-0000-0000-0000B5520000}"/>
    <cellStyle name="Normal 49 8 2" xfId="8671" xr:uid="{00000000-0005-0000-0000-0000B6520000}"/>
    <cellStyle name="Normal 49 8 2 2" xfId="18029" xr:uid="{00000000-0005-0000-0000-0000B7520000}"/>
    <cellStyle name="Normal 49 8 2 2 2" xfId="34603" xr:uid="{00000000-0005-0000-0000-0000B8520000}"/>
    <cellStyle name="Normal 49 8 2 3" xfId="26556" xr:uid="{00000000-0005-0000-0000-0000B9520000}"/>
    <cellStyle name="Normal 49 8 3" xfId="14210" xr:uid="{00000000-0005-0000-0000-0000BA520000}"/>
    <cellStyle name="Normal 49 8 3 2" xfId="30754" xr:uid="{00000000-0005-0000-0000-0000BB520000}"/>
    <cellStyle name="Normal 49 8 4" xfId="22711" xr:uid="{00000000-0005-0000-0000-0000BC520000}"/>
    <cellStyle name="Normal 49 9" xfId="8672" xr:uid="{00000000-0005-0000-0000-0000BD520000}"/>
    <cellStyle name="Normal 49 9 2" xfId="18030" xr:uid="{00000000-0005-0000-0000-0000BE520000}"/>
    <cellStyle name="Normal 49 9 2 2" xfId="34604" xr:uid="{00000000-0005-0000-0000-0000BF520000}"/>
    <cellStyle name="Normal 49 9 3" xfId="26557" xr:uid="{00000000-0005-0000-0000-0000C0520000}"/>
    <cellStyle name="Normal 5" xfId="29" xr:uid="{00000000-0005-0000-0000-0000C1520000}"/>
    <cellStyle name="Normal 5 10" xfId="8674" xr:uid="{00000000-0005-0000-0000-0000C2520000}"/>
    <cellStyle name="Normal 5 10 2" xfId="18031" xr:uid="{00000000-0005-0000-0000-0000C3520000}"/>
    <cellStyle name="Normal 5 10 2 2" xfId="34605" xr:uid="{00000000-0005-0000-0000-0000C4520000}"/>
    <cellStyle name="Normal 5 10 3" xfId="26558" xr:uid="{00000000-0005-0000-0000-0000C5520000}"/>
    <cellStyle name="Normal 5 11" xfId="8673" xr:uid="{00000000-0005-0000-0000-0000C6520000}"/>
    <cellStyle name="Normal 5 12" xfId="6614" xr:uid="{00000000-0005-0000-0000-0000C7520000}"/>
    <cellStyle name="Normal 5 13" xfId="10902" xr:uid="{00000000-0005-0000-0000-0000C8520000}"/>
    <cellStyle name="Normal 5 13 2" xfId="30755" xr:uid="{00000000-0005-0000-0000-0000C9520000}"/>
    <cellStyle name="Normal 5 14" xfId="22712" xr:uid="{00000000-0005-0000-0000-0000CA520000}"/>
    <cellStyle name="Normal 5 2" xfId="278" xr:uid="{00000000-0005-0000-0000-0000CB520000}"/>
    <cellStyle name="Normal 5 2 2" xfId="279" xr:uid="{00000000-0005-0000-0000-0000CC520000}"/>
    <cellStyle name="Normal 5 2 2 2" xfId="4676" xr:uid="{00000000-0005-0000-0000-0000CD520000}"/>
    <cellStyle name="Normal 5 2 3" xfId="4675" xr:uid="{00000000-0005-0000-0000-0000CE520000}"/>
    <cellStyle name="Normal 5 2 3 2" xfId="30756" xr:uid="{00000000-0005-0000-0000-0000CF520000}"/>
    <cellStyle name="Normal 5 2 4" xfId="22713" xr:uid="{00000000-0005-0000-0000-0000D0520000}"/>
    <cellStyle name="Normal 5 3" xfId="280" xr:uid="{00000000-0005-0000-0000-0000D1520000}"/>
    <cellStyle name="Normal 5 3 2" xfId="4678" xr:uid="{00000000-0005-0000-0000-0000D2520000}"/>
    <cellStyle name="Normal 5 3 2 2" xfId="4679" xr:uid="{00000000-0005-0000-0000-0000D3520000}"/>
    <cellStyle name="Normal 5 3 2 2 2" xfId="4680" xr:uid="{00000000-0005-0000-0000-0000D4520000}"/>
    <cellStyle name="Normal 5 3 2 2 2 2" xfId="8675" xr:uid="{00000000-0005-0000-0000-0000D5520000}"/>
    <cellStyle name="Normal 5 3 2 2 2 2 2" xfId="18032" xr:uid="{00000000-0005-0000-0000-0000D6520000}"/>
    <cellStyle name="Normal 5 3 2 2 2 2 2 2" xfId="34606" xr:uid="{00000000-0005-0000-0000-0000D7520000}"/>
    <cellStyle name="Normal 5 3 2 2 2 2 3" xfId="26559" xr:uid="{00000000-0005-0000-0000-0000D8520000}"/>
    <cellStyle name="Normal 5 3 2 2 2 3" xfId="14213" xr:uid="{00000000-0005-0000-0000-0000D9520000}"/>
    <cellStyle name="Normal 5 3 2 2 2 3 2" xfId="30759" xr:uid="{00000000-0005-0000-0000-0000DA520000}"/>
    <cellStyle name="Normal 5 3 2 2 2 4" xfId="22716" xr:uid="{00000000-0005-0000-0000-0000DB520000}"/>
    <cellStyle name="Normal 5 3 2 2 3" xfId="8676" xr:uid="{00000000-0005-0000-0000-0000DC520000}"/>
    <cellStyle name="Normal 5 3 2 2 3 2" xfId="18033" xr:uid="{00000000-0005-0000-0000-0000DD520000}"/>
    <cellStyle name="Normal 5 3 2 2 3 2 2" xfId="34607" xr:uid="{00000000-0005-0000-0000-0000DE520000}"/>
    <cellStyle name="Normal 5 3 2 2 3 3" xfId="26560" xr:uid="{00000000-0005-0000-0000-0000DF520000}"/>
    <cellStyle name="Normal 5 3 2 2 4" xfId="14212" xr:uid="{00000000-0005-0000-0000-0000E0520000}"/>
    <cellStyle name="Normal 5 3 2 2 4 2" xfId="30758" xr:uid="{00000000-0005-0000-0000-0000E1520000}"/>
    <cellStyle name="Normal 5 3 2 2 5" xfId="22715" xr:uid="{00000000-0005-0000-0000-0000E2520000}"/>
    <cellStyle name="Normal 5 3 2 3" xfId="4681" xr:uid="{00000000-0005-0000-0000-0000E3520000}"/>
    <cellStyle name="Normal 5 3 2 3 2" xfId="8677" xr:uid="{00000000-0005-0000-0000-0000E4520000}"/>
    <cellStyle name="Normal 5 3 2 3 2 2" xfId="18034" xr:uid="{00000000-0005-0000-0000-0000E5520000}"/>
    <cellStyle name="Normal 5 3 2 3 2 2 2" xfId="34608" xr:uid="{00000000-0005-0000-0000-0000E6520000}"/>
    <cellStyle name="Normal 5 3 2 3 2 3" xfId="26561" xr:uid="{00000000-0005-0000-0000-0000E7520000}"/>
    <cellStyle name="Normal 5 3 2 3 3" xfId="14214" xr:uid="{00000000-0005-0000-0000-0000E8520000}"/>
    <cellStyle name="Normal 5 3 2 3 3 2" xfId="30760" xr:uid="{00000000-0005-0000-0000-0000E9520000}"/>
    <cellStyle name="Normal 5 3 2 3 4" xfId="22717" xr:uid="{00000000-0005-0000-0000-0000EA520000}"/>
    <cellStyle name="Normal 5 3 2 4" xfId="8678" xr:uid="{00000000-0005-0000-0000-0000EB520000}"/>
    <cellStyle name="Normal 5 3 2 4 2" xfId="18035" xr:uid="{00000000-0005-0000-0000-0000EC520000}"/>
    <cellStyle name="Normal 5 3 2 4 2 2" xfId="34609" xr:uid="{00000000-0005-0000-0000-0000ED520000}"/>
    <cellStyle name="Normal 5 3 2 4 3" xfId="26562" xr:uid="{00000000-0005-0000-0000-0000EE520000}"/>
    <cellStyle name="Normal 5 3 2 5" xfId="14211" xr:uid="{00000000-0005-0000-0000-0000EF520000}"/>
    <cellStyle name="Normal 5 3 2 5 2" xfId="30757" xr:uid="{00000000-0005-0000-0000-0000F0520000}"/>
    <cellStyle name="Normal 5 3 2 6" xfId="22714" xr:uid="{00000000-0005-0000-0000-0000F1520000}"/>
    <cellStyle name="Normal 5 3 3" xfId="4682" xr:uid="{00000000-0005-0000-0000-0000F2520000}"/>
    <cellStyle name="Normal 5 3 3 2" xfId="4683" xr:uid="{00000000-0005-0000-0000-0000F3520000}"/>
    <cellStyle name="Normal 5 3 3 2 2" xfId="8679" xr:uid="{00000000-0005-0000-0000-0000F4520000}"/>
    <cellStyle name="Normal 5 3 3 2 2 2" xfId="18036" xr:uid="{00000000-0005-0000-0000-0000F5520000}"/>
    <cellStyle name="Normal 5 3 3 2 2 2 2" xfId="34610" xr:uid="{00000000-0005-0000-0000-0000F6520000}"/>
    <cellStyle name="Normal 5 3 3 2 2 3" xfId="26563" xr:uid="{00000000-0005-0000-0000-0000F7520000}"/>
    <cellStyle name="Normal 5 3 3 2 3" xfId="14216" xr:uid="{00000000-0005-0000-0000-0000F8520000}"/>
    <cellStyle name="Normal 5 3 3 2 3 2" xfId="30762" xr:uid="{00000000-0005-0000-0000-0000F9520000}"/>
    <cellStyle name="Normal 5 3 3 2 4" xfId="22719" xr:uid="{00000000-0005-0000-0000-0000FA520000}"/>
    <cellStyle name="Normal 5 3 3 3" xfId="8680" xr:uid="{00000000-0005-0000-0000-0000FB520000}"/>
    <cellStyle name="Normal 5 3 3 3 2" xfId="18037" xr:uid="{00000000-0005-0000-0000-0000FC520000}"/>
    <cellStyle name="Normal 5 3 3 3 2 2" xfId="34611" xr:uid="{00000000-0005-0000-0000-0000FD520000}"/>
    <cellStyle name="Normal 5 3 3 3 3" xfId="26564" xr:uid="{00000000-0005-0000-0000-0000FE520000}"/>
    <cellStyle name="Normal 5 3 3 4" xfId="14215" xr:uid="{00000000-0005-0000-0000-0000FF520000}"/>
    <cellStyle name="Normal 5 3 3 4 2" xfId="30761" xr:uid="{00000000-0005-0000-0000-000000530000}"/>
    <cellStyle name="Normal 5 3 3 5" xfId="22718" xr:uid="{00000000-0005-0000-0000-000001530000}"/>
    <cellStyle name="Normal 5 3 4" xfId="4684" xr:uid="{00000000-0005-0000-0000-000002530000}"/>
    <cellStyle name="Normal 5 3 4 2" xfId="8681" xr:uid="{00000000-0005-0000-0000-000003530000}"/>
    <cellStyle name="Normal 5 3 4 2 2" xfId="18038" xr:uid="{00000000-0005-0000-0000-000004530000}"/>
    <cellStyle name="Normal 5 3 4 2 2 2" xfId="34612" xr:uid="{00000000-0005-0000-0000-000005530000}"/>
    <cellStyle name="Normal 5 3 4 2 3" xfId="26565" xr:uid="{00000000-0005-0000-0000-000006530000}"/>
    <cellStyle name="Normal 5 3 4 3" xfId="14217" xr:uid="{00000000-0005-0000-0000-000007530000}"/>
    <cellStyle name="Normal 5 3 4 3 2" xfId="30763" xr:uid="{00000000-0005-0000-0000-000008530000}"/>
    <cellStyle name="Normal 5 3 4 4" xfId="22720" xr:uid="{00000000-0005-0000-0000-000009530000}"/>
    <cellStyle name="Normal 5 3 5" xfId="4685" xr:uid="{00000000-0005-0000-0000-00000A530000}"/>
    <cellStyle name="Normal 5 3 5 2" xfId="14218" xr:uid="{00000000-0005-0000-0000-00000B530000}"/>
    <cellStyle name="Normal 5 3 5 2 2" xfId="30764" xr:uid="{00000000-0005-0000-0000-00000C530000}"/>
    <cellStyle name="Normal 5 3 5 3" xfId="22721" xr:uid="{00000000-0005-0000-0000-00000D530000}"/>
    <cellStyle name="Normal 5 3 6" xfId="4677" xr:uid="{00000000-0005-0000-0000-00000E530000}"/>
    <cellStyle name="Normal 5 4" xfId="1576" xr:uid="{00000000-0005-0000-0000-00000F530000}"/>
    <cellStyle name="Normal 5 4 2" xfId="4686" xr:uid="{00000000-0005-0000-0000-000010530000}"/>
    <cellStyle name="Normal 5 4 2 2" xfId="4687" xr:uid="{00000000-0005-0000-0000-000011530000}"/>
    <cellStyle name="Normal 5 4 2 2 2" xfId="4688" xr:uid="{00000000-0005-0000-0000-000012530000}"/>
    <cellStyle name="Normal 5 4 2 2 2 2" xfId="8682" xr:uid="{00000000-0005-0000-0000-000013530000}"/>
    <cellStyle name="Normal 5 4 2 2 2 2 2" xfId="18039" xr:uid="{00000000-0005-0000-0000-000014530000}"/>
    <cellStyle name="Normal 5 4 2 2 2 2 2 2" xfId="34613" xr:uid="{00000000-0005-0000-0000-000015530000}"/>
    <cellStyle name="Normal 5 4 2 2 2 2 3" xfId="26566" xr:uid="{00000000-0005-0000-0000-000016530000}"/>
    <cellStyle name="Normal 5 4 2 2 2 3" xfId="14222" xr:uid="{00000000-0005-0000-0000-000017530000}"/>
    <cellStyle name="Normal 5 4 2 2 2 3 2" xfId="30768" xr:uid="{00000000-0005-0000-0000-000018530000}"/>
    <cellStyle name="Normal 5 4 2 2 2 4" xfId="22725" xr:uid="{00000000-0005-0000-0000-000019530000}"/>
    <cellStyle name="Normal 5 4 2 2 3" xfId="8683" xr:uid="{00000000-0005-0000-0000-00001A530000}"/>
    <cellStyle name="Normal 5 4 2 2 3 2" xfId="18040" xr:uid="{00000000-0005-0000-0000-00001B530000}"/>
    <cellStyle name="Normal 5 4 2 2 3 2 2" xfId="34614" xr:uid="{00000000-0005-0000-0000-00001C530000}"/>
    <cellStyle name="Normal 5 4 2 2 3 3" xfId="26567" xr:uid="{00000000-0005-0000-0000-00001D530000}"/>
    <cellStyle name="Normal 5 4 2 2 4" xfId="14221" xr:uid="{00000000-0005-0000-0000-00001E530000}"/>
    <cellStyle name="Normal 5 4 2 2 4 2" xfId="30767" xr:uid="{00000000-0005-0000-0000-00001F530000}"/>
    <cellStyle name="Normal 5 4 2 2 5" xfId="22724" xr:uid="{00000000-0005-0000-0000-000020530000}"/>
    <cellStyle name="Normal 5 4 2 3" xfId="4689" xr:uid="{00000000-0005-0000-0000-000021530000}"/>
    <cellStyle name="Normal 5 4 2 3 2" xfId="8684" xr:uid="{00000000-0005-0000-0000-000022530000}"/>
    <cellStyle name="Normal 5 4 2 3 2 2" xfId="18041" xr:uid="{00000000-0005-0000-0000-000023530000}"/>
    <cellStyle name="Normal 5 4 2 3 2 2 2" xfId="34615" xr:uid="{00000000-0005-0000-0000-000024530000}"/>
    <cellStyle name="Normal 5 4 2 3 2 3" xfId="26568" xr:uid="{00000000-0005-0000-0000-000025530000}"/>
    <cellStyle name="Normal 5 4 2 3 3" xfId="14223" xr:uid="{00000000-0005-0000-0000-000026530000}"/>
    <cellStyle name="Normal 5 4 2 3 3 2" xfId="30769" xr:uid="{00000000-0005-0000-0000-000027530000}"/>
    <cellStyle name="Normal 5 4 2 3 4" xfId="22726" xr:uid="{00000000-0005-0000-0000-000028530000}"/>
    <cellStyle name="Normal 5 4 2 4" xfId="8685" xr:uid="{00000000-0005-0000-0000-000029530000}"/>
    <cellStyle name="Normal 5 4 2 4 2" xfId="18042" xr:uid="{00000000-0005-0000-0000-00002A530000}"/>
    <cellStyle name="Normal 5 4 2 4 2 2" xfId="34616" xr:uid="{00000000-0005-0000-0000-00002B530000}"/>
    <cellStyle name="Normal 5 4 2 4 3" xfId="26569" xr:uid="{00000000-0005-0000-0000-00002C530000}"/>
    <cellStyle name="Normal 5 4 2 5" xfId="14220" xr:uid="{00000000-0005-0000-0000-00002D530000}"/>
    <cellStyle name="Normal 5 4 2 5 2" xfId="30766" xr:uid="{00000000-0005-0000-0000-00002E530000}"/>
    <cellStyle name="Normal 5 4 2 6" xfId="22723" xr:uid="{00000000-0005-0000-0000-00002F530000}"/>
    <cellStyle name="Normal 5 4 3" xfId="4690" xr:uid="{00000000-0005-0000-0000-000030530000}"/>
    <cellStyle name="Normal 5 4 3 2" xfId="4691" xr:uid="{00000000-0005-0000-0000-000031530000}"/>
    <cellStyle name="Normal 5 4 3 2 2" xfId="8686" xr:uid="{00000000-0005-0000-0000-000032530000}"/>
    <cellStyle name="Normal 5 4 3 2 2 2" xfId="18043" xr:uid="{00000000-0005-0000-0000-000033530000}"/>
    <cellStyle name="Normal 5 4 3 2 2 2 2" xfId="34617" xr:uid="{00000000-0005-0000-0000-000034530000}"/>
    <cellStyle name="Normal 5 4 3 2 2 3" xfId="26570" xr:uid="{00000000-0005-0000-0000-000035530000}"/>
    <cellStyle name="Normal 5 4 3 2 3" xfId="14225" xr:uid="{00000000-0005-0000-0000-000036530000}"/>
    <cellStyle name="Normal 5 4 3 2 3 2" xfId="30771" xr:uid="{00000000-0005-0000-0000-000037530000}"/>
    <cellStyle name="Normal 5 4 3 2 4" xfId="22728" xr:uid="{00000000-0005-0000-0000-000038530000}"/>
    <cellStyle name="Normal 5 4 3 3" xfId="8687" xr:uid="{00000000-0005-0000-0000-000039530000}"/>
    <cellStyle name="Normal 5 4 3 3 2" xfId="18044" xr:uid="{00000000-0005-0000-0000-00003A530000}"/>
    <cellStyle name="Normal 5 4 3 3 2 2" xfId="34618" xr:uid="{00000000-0005-0000-0000-00003B530000}"/>
    <cellStyle name="Normal 5 4 3 3 3" xfId="26571" xr:uid="{00000000-0005-0000-0000-00003C530000}"/>
    <cellStyle name="Normal 5 4 3 4" xfId="14224" xr:uid="{00000000-0005-0000-0000-00003D530000}"/>
    <cellStyle name="Normal 5 4 3 4 2" xfId="30770" xr:uid="{00000000-0005-0000-0000-00003E530000}"/>
    <cellStyle name="Normal 5 4 3 5" xfId="22727" xr:uid="{00000000-0005-0000-0000-00003F530000}"/>
    <cellStyle name="Normal 5 4 4" xfId="4692" xr:uid="{00000000-0005-0000-0000-000040530000}"/>
    <cellStyle name="Normal 5 4 4 2" xfId="8688" xr:uid="{00000000-0005-0000-0000-000041530000}"/>
    <cellStyle name="Normal 5 4 4 2 2" xfId="18045" xr:uid="{00000000-0005-0000-0000-000042530000}"/>
    <cellStyle name="Normal 5 4 4 2 2 2" xfId="34619" xr:uid="{00000000-0005-0000-0000-000043530000}"/>
    <cellStyle name="Normal 5 4 4 2 3" xfId="26572" xr:uid="{00000000-0005-0000-0000-000044530000}"/>
    <cellStyle name="Normal 5 4 4 3" xfId="14226" xr:uid="{00000000-0005-0000-0000-000045530000}"/>
    <cellStyle name="Normal 5 4 4 3 2" xfId="30772" xr:uid="{00000000-0005-0000-0000-000046530000}"/>
    <cellStyle name="Normal 5 4 4 4" xfId="22729" xr:uid="{00000000-0005-0000-0000-000047530000}"/>
    <cellStyle name="Normal 5 4 5" xfId="8689" xr:uid="{00000000-0005-0000-0000-000048530000}"/>
    <cellStyle name="Normal 5 4 5 2" xfId="18046" xr:uid="{00000000-0005-0000-0000-000049530000}"/>
    <cellStyle name="Normal 5 4 5 2 2" xfId="34620" xr:uid="{00000000-0005-0000-0000-00004A530000}"/>
    <cellStyle name="Normal 5 4 5 3" xfId="26573" xr:uid="{00000000-0005-0000-0000-00004B530000}"/>
    <cellStyle name="Normal 5 4 6" xfId="14219" xr:uid="{00000000-0005-0000-0000-00004C530000}"/>
    <cellStyle name="Normal 5 4 6 2" xfId="30765" xr:uid="{00000000-0005-0000-0000-00004D530000}"/>
    <cellStyle name="Normal 5 4 7" xfId="22722" xr:uid="{00000000-0005-0000-0000-00004E530000}"/>
    <cellStyle name="Normal 5 5" xfId="4693" xr:uid="{00000000-0005-0000-0000-00004F530000}"/>
    <cellStyle name="Normal 5 5 2" xfId="4694" xr:uid="{00000000-0005-0000-0000-000050530000}"/>
    <cellStyle name="Normal 5 5 2 2" xfId="4695" xr:uid="{00000000-0005-0000-0000-000051530000}"/>
    <cellStyle name="Normal 5 5 2 2 2" xfId="4696" xr:uid="{00000000-0005-0000-0000-000052530000}"/>
    <cellStyle name="Normal 5 5 2 2 2 2" xfId="8690" xr:uid="{00000000-0005-0000-0000-000053530000}"/>
    <cellStyle name="Normal 5 5 2 2 2 2 2" xfId="18047" xr:uid="{00000000-0005-0000-0000-000054530000}"/>
    <cellStyle name="Normal 5 5 2 2 2 2 2 2" xfId="34621" xr:uid="{00000000-0005-0000-0000-000055530000}"/>
    <cellStyle name="Normal 5 5 2 2 2 2 3" xfId="26574" xr:uid="{00000000-0005-0000-0000-000056530000}"/>
    <cellStyle name="Normal 5 5 2 2 2 3" xfId="14230" xr:uid="{00000000-0005-0000-0000-000057530000}"/>
    <cellStyle name="Normal 5 5 2 2 2 3 2" xfId="30776" xr:uid="{00000000-0005-0000-0000-000058530000}"/>
    <cellStyle name="Normal 5 5 2 2 2 4" xfId="22733" xr:uid="{00000000-0005-0000-0000-000059530000}"/>
    <cellStyle name="Normal 5 5 2 2 3" xfId="8691" xr:uid="{00000000-0005-0000-0000-00005A530000}"/>
    <cellStyle name="Normal 5 5 2 2 3 2" xfId="18048" xr:uid="{00000000-0005-0000-0000-00005B530000}"/>
    <cellStyle name="Normal 5 5 2 2 3 2 2" xfId="34622" xr:uid="{00000000-0005-0000-0000-00005C530000}"/>
    <cellStyle name="Normal 5 5 2 2 3 3" xfId="26575" xr:uid="{00000000-0005-0000-0000-00005D530000}"/>
    <cellStyle name="Normal 5 5 2 2 4" xfId="14229" xr:uid="{00000000-0005-0000-0000-00005E530000}"/>
    <cellStyle name="Normal 5 5 2 2 4 2" xfId="30775" xr:uid="{00000000-0005-0000-0000-00005F530000}"/>
    <cellStyle name="Normal 5 5 2 2 5" xfId="22732" xr:uid="{00000000-0005-0000-0000-000060530000}"/>
    <cellStyle name="Normal 5 5 2 3" xfId="4697" xr:uid="{00000000-0005-0000-0000-000061530000}"/>
    <cellStyle name="Normal 5 5 2 3 2" xfId="8692" xr:uid="{00000000-0005-0000-0000-000062530000}"/>
    <cellStyle name="Normal 5 5 2 3 2 2" xfId="18049" xr:uid="{00000000-0005-0000-0000-000063530000}"/>
    <cellStyle name="Normal 5 5 2 3 2 2 2" xfId="34623" xr:uid="{00000000-0005-0000-0000-000064530000}"/>
    <cellStyle name="Normal 5 5 2 3 2 3" xfId="26576" xr:uid="{00000000-0005-0000-0000-000065530000}"/>
    <cellStyle name="Normal 5 5 2 3 3" xfId="14231" xr:uid="{00000000-0005-0000-0000-000066530000}"/>
    <cellStyle name="Normal 5 5 2 3 3 2" xfId="30777" xr:uid="{00000000-0005-0000-0000-000067530000}"/>
    <cellStyle name="Normal 5 5 2 3 4" xfId="22734" xr:uid="{00000000-0005-0000-0000-000068530000}"/>
    <cellStyle name="Normal 5 5 2 4" xfId="8693" xr:uid="{00000000-0005-0000-0000-000069530000}"/>
    <cellStyle name="Normal 5 5 2 4 2" xfId="18050" xr:uid="{00000000-0005-0000-0000-00006A530000}"/>
    <cellStyle name="Normal 5 5 2 4 2 2" xfId="34624" xr:uid="{00000000-0005-0000-0000-00006B530000}"/>
    <cellStyle name="Normal 5 5 2 4 3" xfId="26577" xr:uid="{00000000-0005-0000-0000-00006C530000}"/>
    <cellStyle name="Normal 5 5 2 5" xfId="14228" xr:uid="{00000000-0005-0000-0000-00006D530000}"/>
    <cellStyle name="Normal 5 5 2 5 2" xfId="30774" xr:uid="{00000000-0005-0000-0000-00006E530000}"/>
    <cellStyle name="Normal 5 5 2 6" xfId="22731" xr:uid="{00000000-0005-0000-0000-00006F530000}"/>
    <cellStyle name="Normal 5 5 3" xfId="4698" xr:uid="{00000000-0005-0000-0000-000070530000}"/>
    <cellStyle name="Normal 5 5 3 2" xfId="4699" xr:uid="{00000000-0005-0000-0000-000071530000}"/>
    <cellStyle name="Normal 5 5 3 2 2" xfId="8694" xr:uid="{00000000-0005-0000-0000-000072530000}"/>
    <cellStyle name="Normal 5 5 3 2 2 2" xfId="18051" xr:uid="{00000000-0005-0000-0000-000073530000}"/>
    <cellStyle name="Normal 5 5 3 2 2 2 2" xfId="34625" xr:uid="{00000000-0005-0000-0000-000074530000}"/>
    <cellStyle name="Normal 5 5 3 2 2 3" xfId="26578" xr:uid="{00000000-0005-0000-0000-000075530000}"/>
    <cellStyle name="Normal 5 5 3 2 3" xfId="14233" xr:uid="{00000000-0005-0000-0000-000076530000}"/>
    <cellStyle name="Normal 5 5 3 2 3 2" xfId="30779" xr:uid="{00000000-0005-0000-0000-000077530000}"/>
    <cellStyle name="Normal 5 5 3 2 4" xfId="22736" xr:uid="{00000000-0005-0000-0000-000078530000}"/>
    <cellStyle name="Normal 5 5 3 3" xfId="8695" xr:uid="{00000000-0005-0000-0000-000079530000}"/>
    <cellStyle name="Normal 5 5 3 3 2" xfId="18052" xr:uid="{00000000-0005-0000-0000-00007A530000}"/>
    <cellStyle name="Normal 5 5 3 3 2 2" xfId="34626" xr:uid="{00000000-0005-0000-0000-00007B530000}"/>
    <cellStyle name="Normal 5 5 3 3 3" xfId="26579" xr:uid="{00000000-0005-0000-0000-00007C530000}"/>
    <cellStyle name="Normal 5 5 3 4" xfId="14232" xr:uid="{00000000-0005-0000-0000-00007D530000}"/>
    <cellStyle name="Normal 5 5 3 4 2" xfId="30778" xr:uid="{00000000-0005-0000-0000-00007E530000}"/>
    <cellStyle name="Normal 5 5 3 5" xfId="22735" xr:uid="{00000000-0005-0000-0000-00007F530000}"/>
    <cellStyle name="Normal 5 5 4" xfId="4700" xr:uid="{00000000-0005-0000-0000-000080530000}"/>
    <cellStyle name="Normal 5 5 4 2" xfId="8696" xr:uid="{00000000-0005-0000-0000-000081530000}"/>
    <cellStyle name="Normal 5 5 4 2 2" xfId="18053" xr:uid="{00000000-0005-0000-0000-000082530000}"/>
    <cellStyle name="Normal 5 5 4 2 2 2" xfId="34627" xr:uid="{00000000-0005-0000-0000-000083530000}"/>
    <cellStyle name="Normal 5 5 4 2 3" xfId="26580" xr:uid="{00000000-0005-0000-0000-000084530000}"/>
    <cellStyle name="Normal 5 5 4 3" xfId="14234" xr:uid="{00000000-0005-0000-0000-000085530000}"/>
    <cellStyle name="Normal 5 5 4 3 2" xfId="30780" xr:uid="{00000000-0005-0000-0000-000086530000}"/>
    <cellStyle name="Normal 5 5 4 4" xfId="22737" xr:uid="{00000000-0005-0000-0000-000087530000}"/>
    <cellStyle name="Normal 5 5 5" xfId="8697" xr:uid="{00000000-0005-0000-0000-000088530000}"/>
    <cellStyle name="Normal 5 5 5 2" xfId="18054" xr:uid="{00000000-0005-0000-0000-000089530000}"/>
    <cellStyle name="Normal 5 5 5 2 2" xfId="34628" xr:uid="{00000000-0005-0000-0000-00008A530000}"/>
    <cellStyle name="Normal 5 5 5 3" xfId="26581" xr:uid="{00000000-0005-0000-0000-00008B530000}"/>
    <cellStyle name="Normal 5 5 6" xfId="14227" xr:uid="{00000000-0005-0000-0000-00008C530000}"/>
    <cellStyle name="Normal 5 5 6 2" xfId="30773" xr:uid="{00000000-0005-0000-0000-00008D530000}"/>
    <cellStyle name="Normal 5 5 7" xfId="22730" xr:uid="{00000000-0005-0000-0000-00008E530000}"/>
    <cellStyle name="Normal 5 6" xfId="4701" xr:uid="{00000000-0005-0000-0000-00008F530000}"/>
    <cellStyle name="Normal 5 6 2" xfId="4702" xr:uid="{00000000-0005-0000-0000-000090530000}"/>
    <cellStyle name="Normal 5 6 2 2" xfId="4703" xr:uid="{00000000-0005-0000-0000-000091530000}"/>
    <cellStyle name="Normal 5 6 2 2 2" xfId="8698" xr:uid="{00000000-0005-0000-0000-000092530000}"/>
    <cellStyle name="Normal 5 6 2 2 2 2" xfId="18055" xr:uid="{00000000-0005-0000-0000-000093530000}"/>
    <cellStyle name="Normal 5 6 2 2 2 2 2" xfId="34629" xr:uid="{00000000-0005-0000-0000-000094530000}"/>
    <cellStyle name="Normal 5 6 2 2 2 3" xfId="26582" xr:uid="{00000000-0005-0000-0000-000095530000}"/>
    <cellStyle name="Normal 5 6 2 2 3" xfId="14237" xr:uid="{00000000-0005-0000-0000-000096530000}"/>
    <cellStyle name="Normal 5 6 2 2 3 2" xfId="30783" xr:uid="{00000000-0005-0000-0000-000097530000}"/>
    <cellStyle name="Normal 5 6 2 2 4" xfId="22740" xr:uid="{00000000-0005-0000-0000-000098530000}"/>
    <cellStyle name="Normal 5 6 2 3" xfId="8699" xr:uid="{00000000-0005-0000-0000-000099530000}"/>
    <cellStyle name="Normal 5 6 2 3 2" xfId="18056" xr:uid="{00000000-0005-0000-0000-00009A530000}"/>
    <cellStyle name="Normal 5 6 2 3 2 2" xfId="34630" xr:uid="{00000000-0005-0000-0000-00009B530000}"/>
    <cellStyle name="Normal 5 6 2 3 3" xfId="26583" xr:uid="{00000000-0005-0000-0000-00009C530000}"/>
    <cellStyle name="Normal 5 6 2 4" xfId="14236" xr:uid="{00000000-0005-0000-0000-00009D530000}"/>
    <cellStyle name="Normal 5 6 2 4 2" xfId="30782" xr:uid="{00000000-0005-0000-0000-00009E530000}"/>
    <cellStyle name="Normal 5 6 2 5" xfId="22739" xr:uid="{00000000-0005-0000-0000-00009F530000}"/>
    <cellStyle name="Normal 5 6 3" xfId="4704" xr:uid="{00000000-0005-0000-0000-0000A0530000}"/>
    <cellStyle name="Normal 5 6 3 2" xfId="8700" xr:uid="{00000000-0005-0000-0000-0000A1530000}"/>
    <cellStyle name="Normal 5 6 3 2 2" xfId="18057" xr:uid="{00000000-0005-0000-0000-0000A2530000}"/>
    <cellStyle name="Normal 5 6 3 2 2 2" xfId="34631" xr:uid="{00000000-0005-0000-0000-0000A3530000}"/>
    <cellStyle name="Normal 5 6 3 2 3" xfId="26584" xr:uid="{00000000-0005-0000-0000-0000A4530000}"/>
    <cellStyle name="Normal 5 6 3 3" xfId="14238" xr:uid="{00000000-0005-0000-0000-0000A5530000}"/>
    <cellStyle name="Normal 5 6 3 3 2" xfId="30784" xr:uid="{00000000-0005-0000-0000-0000A6530000}"/>
    <cellStyle name="Normal 5 6 3 4" xfId="22741" xr:uid="{00000000-0005-0000-0000-0000A7530000}"/>
    <cellStyle name="Normal 5 6 4" xfId="8701" xr:uid="{00000000-0005-0000-0000-0000A8530000}"/>
    <cellStyle name="Normal 5 6 4 2" xfId="18058" xr:uid="{00000000-0005-0000-0000-0000A9530000}"/>
    <cellStyle name="Normal 5 6 4 2 2" xfId="34632" xr:uid="{00000000-0005-0000-0000-0000AA530000}"/>
    <cellStyle name="Normal 5 6 4 3" xfId="26585" xr:uid="{00000000-0005-0000-0000-0000AB530000}"/>
    <cellStyle name="Normal 5 6 5" xfId="14235" xr:uid="{00000000-0005-0000-0000-0000AC530000}"/>
    <cellStyle name="Normal 5 6 5 2" xfId="30781" xr:uid="{00000000-0005-0000-0000-0000AD530000}"/>
    <cellStyle name="Normal 5 6 6" xfId="22738" xr:uid="{00000000-0005-0000-0000-0000AE530000}"/>
    <cellStyle name="Normal 5 7" xfId="4705" xr:uid="{00000000-0005-0000-0000-0000AF530000}"/>
    <cellStyle name="Normal 5 7 2" xfId="4706" xr:uid="{00000000-0005-0000-0000-0000B0530000}"/>
    <cellStyle name="Normal 5 7 2 2" xfId="8702" xr:uid="{00000000-0005-0000-0000-0000B1530000}"/>
    <cellStyle name="Normal 5 7 2 2 2" xfId="18059" xr:uid="{00000000-0005-0000-0000-0000B2530000}"/>
    <cellStyle name="Normal 5 7 2 2 2 2" xfId="34633" xr:uid="{00000000-0005-0000-0000-0000B3530000}"/>
    <cellStyle name="Normal 5 7 2 2 3" xfId="26586" xr:uid="{00000000-0005-0000-0000-0000B4530000}"/>
    <cellStyle name="Normal 5 7 2 3" xfId="14240" xr:uid="{00000000-0005-0000-0000-0000B5530000}"/>
    <cellStyle name="Normal 5 7 2 3 2" xfId="30786" xr:uid="{00000000-0005-0000-0000-0000B6530000}"/>
    <cellStyle name="Normal 5 7 2 4" xfId="22743" xr:uid="{00000000-0005-0000-0000-0000B7530000}"/>
    <cellStyle name="Normal 5 7 3" xfId="8703" xr:uid="{00000000-0005-0000-0000-0000B8530000}"/>
    <cellStyle name="Normal 5 7 3 2" xfId="18060" xr:uid="{00000000-0005-0000-0000-0000B9530000}"/>
    <cellStyle name="Normal 5 7 3 2 2" xfId="34634" xr:uid="{00000000-0005-0000-0000-0000BA530000}"/>
    <cellStyle name="Normal 5 7 3 3" xfId="26587" xr:uid="{00000000-0005-0000-0000-0000BB530000}"/>
    <cellStyle name="Normal 5 7 4" xfId="14239" xr:uid="{00000000-0005-0000-0000-0000BC530000}"/>
    <cellStyle name="Normal 5 7 4 2" xfId="30785" xr:uid="{00000000-0005-0000-0000-0000BD530000}"/>
    <cellStyle name="Normal 5 7 5" xfId="22742" xr:uid="{00000000-0005-0000-0000-0000BE530000}"/>
    <cellStyle name="Normal 5 8" xfId="4707" xr:uid="{00000000-0005-0000-0000-0000BF530000}"/>
    <cellStyle name="Normal 5 8 2" xfId="8704" xr:uid="{00000000-0005-0000-0000-0000C0530000}"/>
    <cellStyle name="Normal 5 8 2 2" xfId="18061" xr:uid="{00000000-0005-0000-0000-0000C1530000}"/>
    <cellStyle name="Normal 5 8 2 2 2" xfId="34635" xr:uid="{00000000-0005-0000-0000-0000C2530000}"/>
    <cellStyle name="Normal 5 8 2 3" xfId="26588" xr:uid="{00000000-0005-0000-0000-0000C3530000}"/>
    <cellStyle name="Normal 5 8 3" xfId="14241" xr:uid="{00000000-0005-0000-0000-0000C4530000}"/>
    <cellStyle name="Normal 5 8 3 2" xfId="30787" xr:uid="{00000000-0005-0000-0000-0000C5530000}"/>
    <cellStyle name="Normal 5 8 4" xfId="22744" xr:uid="{00000000-0005-0000-0000-0000C6530000}"/>
    <cellStyle name="Normal 5 9" xfId="8705" xr:uid="{00000000-0005-0000-0000-0000C7530000}"/>
    <cellStyle name="Normal 5 9 2" xfId="18062" xr:uid="{00000000-0005-0000-0000-0000C8530000}"/>
    <cellStyle name="Normal 5 9 2 2" xfId="34636" xr:uid="{00000000-0005-0000-0000-0000C9530000}"/>
    <cellStyle name="Normal 5 9 3" xfId="26589" xr:uid="{00000000-0005-0000-0000-0000CA530000}"/>
    <cellStyle name="Normal 50" xfId="4708" xr:uid="{00000000-0005-0000-0000-0000CB530000}"/>
    <cellStyle name="Normal 50 10" xfId="14242" xr:uid="{00000000-0005-0000-0000-0000CC530000}"/>
    <cellStyle name="Normal 50 10 2" xfId="30788" xr:uid="{00000000-0005-0000-0000-0000CD530000}"/>
    <cellStyle name="Normal 50 11" xfId="22745" xr:uid="{00000000-0005-0000-0000-0000CE530000}"/>
    <cellStyle name="Normal 50 2" xfId="4709" xr:uid="{00000000-0005-0000-0000-0000CF530000}"/>
    <cellStyle name="Normal 50 2 2" xfId="4710" xr:uid="{00000000-0005-0000-0000-0000D0530000}"/>
    <cellStyle name="Normal 50 2 3" xfId="14243" xr:uid="{00000000-0005-0000-0000-0000D1530000}"/>
    <cellStyle name="Normal 50 2 3 2" xfId="30789" xr:uid="{00000000-0005-0000-0000-0000D2530000}"/>
    <cellStyle name="Normal 50 2 4" xfId="22746" xr:uid="{00000000-0005-0000-0000-0000D3530000}"/>
    <cellStyle name="Normal 50 3" xfId="4711" xr:uid="{00000000-0005-0000-0000-0000D4530000}"/>
    <cellStyle name="Normal 50 3 2" xfId="4712" xr:uid="{00000000-0005-0000-0000-0000D5530000}"/>
    <cellStyle name="Normal 50 3 2 2" xfId="4713" xr:uid="{00000000-0005-0000-0000-0000D6530000}"/>
    <cellStyle name="Normal 50 3 2 2 2" xfId="4714" xr:uid="{00000000-0005-0000-0000-0000D7530000}"/>
    <cellStyle name="Normal 50 3 2 2 2 2" xfId="8706" xr:uid="{00000000-0005-0000-0000-0000D8530000}"/>
    <cellStyle name="Normal 50 3 2 2 2 2 2" xfId="18063" xr:uid="{00000000-0005-0000-0000-0000D9530000}"/>
    <cellStyle name="Normal 50 3 2 2 2 2 2 2" xfId="34637" xr:uid="{00000000-0005-0000-0000-0000DA530000}"/>
    <cellStyle name="Normal 50 3 2 2 2 2 3" xfId="26590" xr:uid="{00000000-0005-0000-0000-0000DB530000}"/>
    <cellStyle name="Normal 50 3 2 2 2 3" xfId="14246" xr:uid="{00000000-0005-0000-0000-0000DC530000}"/>
    <cellStyle name="Normal 50 3 2 2 2 3 2" xfId="30792" xr:uid="{00000000-0005-0000-0000-0000DD530000}"/>
    <cellStyle name="Normal 50 3 2 2 2 4" xfId="22749" xr:uid="{00000000-0005-0000-0000-0000DE530000}"/>
    <cellStyle name="Normal 50 3 2 2 3" xfId="8707" xr:uid="{00000000-0005-0000-0000-0000DF530000}"/>
    <cellStyle name="Normal 50 3 2 2 3 2" xfId="18064" xr:uid="{00000000-0005-0000-0000-0000E0530000}"/>
    <cellStyle name="Normal 50 3 2 2 3 2 2" xfId="34638" xr:uid="{00000000-0005-0000-0000-0000E1530000}"/>
    <cellStyle name="Normal 50 3 2 2 3 3" xfId="26591" xr:uid="{00000000-0005-0000-0000-0000E2530000}"/>
    <cellStyle name="Normal 50 3 2 2 4" xfId="14245" xr:uid="{00000000-0005-0000-0000-0000E3530000}"/>
    <cellStyle name="Normal 50 3 2 2 4 2" xfId="30791" xr:uid="{00000000-0005-0000-0000-0000E4530000}"/>
    <cellStyle name="Normal 50 3 2 2 5" xfId="22748" xr:uid="{00000000-0005-0000-0000-0000E5530000}"/>
    <cellStyle name="Normal 50 3 2 3" xfId="4715" xr:uid="{00000000-0005-0000-0000-0000E6530000}"/>
    <cellStyle name="Normal 50 3 2 3 2" xfId="8708" xr:uid="{00000000-0005-0000-0000-0000E7530000}"/>
    <cellStyle name="Normal 50 3 2 3 2 2" xfId="18065" xr:uid="{00000000-0005-0000-0000-0000E8530000}"/>
    <cellStyle name="Normal 50 3 2 3 2 2 2" xfId="34639" xr:uid="{00000000-0005-0000-0000-0000E9530000}"/>
    <cellStyle name="Normal 50 3 2 3 2 3" xfId="26592" xr:uid="{00000000-0005-0000-0000-0000EA530000}"/>
    <cellStyle name="Normal 50 3 2 3 3" xfId="14247" xr:uid="{00000000-0005-0000-0000-0000EB530000}"/>
    <cellStyle name="Normal 50 3 2 3 3 2" xfId="30793" xr:uid="{00000000-0005-0000-0000-0000EC530000}"/>
    <cellStyle name="Normal 50 3 2 3 4" xfId="22750" xr:uid="{00000000-0005-0000-0000-0000ED530000}"/>
    <cellStyle name="Normal 50 3 2 4" xfId="8709" xr:uid="{00000000-0005-0000-0000-0000EE530000}"/>
    <cellStyle name="Normal 50 3 2 4 2" xfId="18066" xr:uid="{00000000-0005-0000-0000-0000EF530000}"/>
    <cellStyle name="Normal 50 3 2 4 2 2" xfId="34640" xr:uid="{00000000-0005-0000-0000-0000F0530000}"/>
    <cellStyle name="Normal 50 3 2 4 3" xfId="26593" xr:uid="{00000000-0005-0000-0000-0000F1530000}"/>
    <cellStyle name="Normal 50 3 2 5" xfId="14244" xr:uid="{00000000-0005-0000-0000-0000F2530000}"/>
    <cellStyle name="Normal 50 3 2 5 2" xfId="30790" xr:uid="{00000000-0005-0000-0000-0000F3530000}"/>
    <cellStyle name="Normal 50 3 2 6" xfId="22747" xr:uid="{00000000-0005-0000-0000-0000F4530000}"/>
    <cellStyle name="Normal 50 3 3" xfId="4716" xr:uid="{00000000-0005-0000-0000-0000F5530000}"/>
    <cellStyle name="Normal 50 3 3 2" xfId="4717" xr:uid="{00000000-0005-0000-0000-0000F6530000}"/>
    <cellStyle name="Normal 50 3 3 2 2" xfId="8710" xr:uid="{00000000-0005-0000-0000-0000F7530000}"/>
    <cellStyle name="Normal 50 3 3 2 2 2" xfId="18067" xr:uid="{00000000-0005-0000-0000-0000F8530000}"/>
    <cellStyle name="Normal 50 3 3 2 2 2 2" xfId="34641" xr:uid="{00000000-0005-0000-0000-0000F9530000}"/>
    <cellStyle name="Normal 50 3 3 2 2 3" xfId="26594" xr:uid="{00000000-0005-0000-0000-0000FA530000}"/>
    <cellStyle name="Normal 50 3 3 2 3" xfId="14249" xr:uid="{00000000-0005-0000-0000-0000FB530000}"/>
    <cellStyle name="Normal 50 3 3 2 3 2" xfId="30795" xr:uid="{00000000-0005-0000-0000-0000FC530000}"/>
    <cellStyle name="Normal 50 3 3 2 4" xfId="22752" xr:uid="{00000000-0005-0000-0000-0000FD530000}"/>
    <cellStyle name="Normal 50 3 3 3" xfId="8711" xr:uid="{00000000-0005-0000-0000-0000FE530000}"/>
    <cellStyle name="Normal 50 3 3 3 2" xfId="18068" xr:uid="{00000000-0005-0000-0000-0000FF530000}"/>
    <cellStyle name="Normal 50 3 3 3 2 2" xfId="34642" xr:uid="{00000000-0005-0000-0000-000000540000}"/>
    <cellStyle name="Normal 50 3 3 3 3" xfId="26595" xr:uid="{00000000-0005-0000-0000-000001540000}"/>
    <cellStyle name="Normal 50 3 3 4" xfId="14248" xr:uid="{00000000-0005-0000-0000-000002540000}"/>
    <cellStyle name="Normal 50 3 3 4 2" xfId="30794" xr:uid="{00000000-0005-0000-0000-000003540000}"/>
    <cellStyle name="Normal 50 3 3 5" xfId="22751" xr:uid="{00000000-0005-0000-0000-000004540000}"/>
    <cellStyle name="Normal 50 3 4" xfId="4718" xr:uid="{00000000-0005-0000-0000-000005540000}"/>
    <cellStyle name="Normal 50 3 4 2" xfId="8712" xr:uid="{00000000-0005-0000-0000-000006540000}"/>
    <cellStyle name="Normal 50 3 4 2 2" xfId="18069" xr:uid="{00000000-0005-0000-0000-000007540000}"/>
    <cellStyle name="Normal 50 3 4 2 2 2" xfId="34643" xr:uid="{00000000-0005-0000-0000-000008540000}"/>
    <cellStyle name="Normal 50 3 4 2 3" xfId="26596" xr:uid="{00000000-0005-0000-0000-000009540000}"/>
    <cellStyle name="Normal 50 3 4 3" xfId="14250" xr:uid="{00000000-0005-0000-0000-00000A540000}"/>
    <cellStyle name="Normal 50 3 4 3 2" xfId="30796" xr:uid="{00000000-0005-0000-0000-00000B540000}"/>
    <cellStyle name="Normal 50 3 4 4" xfId="22753" xr:uid="{00000000-0005-0000-0000-00000C540000}"/>
    <cellStyle name="Normal 50 3 5" xfId="4719" xr:uid="{00000000-0005-0000-0000-00000D540000}"/>
    <cellStyle name="Normal 50 3 5 2" xfId="14251" xr:uid="{00000000-0005-0000-0000-00000E540000}"/>
    <cellStyle name="Normal 50 3 5 2 2" xfId="30797" xr:uid="{00000000-0005-0000-0000-00000F540000}"/>
    <cellStyle name="Normal 50 3 5 3" xfId="22754" xr:uid="{00000000-0005-0000-0000-000010540000}"/>
    <cellStyle name="Normal 50 4" xfId="4720" xr:uid="{00000000-0005-0000-0000-000011540000}"/>
    <cellStyle name="Normal 50 4 2" xfId="4721" xr:uid="{00000000-0005-0000-0000-000012540000}"/>
    <cellStyle name="Normal 50 4 2 2" xfId="4722" xr:uid="{00000000-0005-0000-0000-000013540000}"/>
    <cellStyle name="Normal 50 4 2 2 2" xfId="4723" xr:uid="{00000000-0005-0000-0000-000014540000}"/>
    <cellStyle name="Normal 50 4 2 2 2 2" xfId="8713" xr:uid="{00000000-0005-0000-0000-000015540000}"/>
    <cellStyle name="Normal 50 4 2 2 2 2 2" xfId="18070" xr:uid="{00000000-0005-0000-0000-000016540000}"/>
    <cellStyle name="Normal 50 4 2 2 2 2 2 2" xfId="34644" xr:uid="{00000000-0005-0000-0000-000017540000}"/>
    <cellStyle name="Normal 50 4 2 2 2 2 3" xfId="26597" xr:uid="{00000000-0005-0000-0000-000018540000}"/>
    <cellStyle name="Normal 50 4 2 2 2 3" xfId="14255" xr:uid="{00000000-0005-0000-0000-000019540000}"/>
    <cellStyle name="Normal 50 4 2 2 2 3 2" xfId="30801" xr:uid="{00000000-0005-0000-0000-00001A540000}"/>
    <cellStyle name="Normal 50 4 2 2 2 4" xfId="22758" xr:uid="{00000000-0005-0000-0000-00001B540000}"/>
    <cellStyle name="Normal 50 4 2 2 3" xfId="8714" xr:uid="{00000000-0005-0000-0000-00001C540000}"/>
    <cellStyle name="Normal 50 4 2 2 3 2" xfId="18071" xr:uid="{00000000-0005-0000-0000-00001D540000}"/>
    <cellStyle name="Normal 50 4 2 2 3 2 2" xfId="34645" xr:uid="{00000000-0005-0000-0000-00001E540000}"/>
    <cellStyle name="Normal 50 4 2 2 3 3" xfId="26598" xr:uid="{00000000-0005-0000-0000-00001F540000}"/>
    <cellStyle name="Normal 50 4 2 2 4" xfId="14254" xr:uid="{00000000-0005-0000-0000-000020540000}"/>
    <cellStyle name="Normal 50 4 2 2 4 2" xfId="30800" xr:uid="{00000000-0005-0000-0000-000021540000}"/>
    <cellStyle name="Normal 50 4 2 2 5" xfId="22757" xr:uid="{00000000-0005-0000-0000-000022540000}"/>
    <cellStyle name="Normal 50 4 2 3" xfId="4724" xr:uid="{00000000-0005-0000-0000-000023540000}"/>
    <cellStyle name="Normal 50 4 2 3 2" xfId="8715" xr:uid="{00000000-0005-0000-0000-000024540000}"/>
    <cellStyle name="Normal 50 4 2 3 2 2" xfId="18072" xr:uid="{00000000-0005-0000-0000-000025540000}"/>
    <cellStyle name="Normal 50 4 2 3 2 2 2" xfId="34646" xr:uid="{00000000-0005-0000-0000-000026540000}"/>
    <cellStyle name="Normal 50 4 2 3 2 3" xfId="26599" xr:uid="{00000000-0005-0000-0000-000027540000}"/>
    <cellStyle name="Normal 50 4 2 3 3" xfId="14256" xr:uid="{00000000-0005-0000-0000-000028540000}"/>
    <cellStyle name="Normal 50 4 2 3 3 2" xfId="30802" xr:uid="{00000000-0005-0000-0000-000029540000}"/>
    <cellStyle name="Normal 50 4 2 3 4" xfId="22759" xr:uid="{00000000-0005-0000-0000-00002A540000}"/>
    <cellStyle name="Normal 50 4 2 4" xfId="8716" xr:uid="{00000000-0005-0000-0000-00002B540000}"/>
    <cellStyle name="Normal 50 4 2 4 2" xfId="18073" xr:uid="{00000000-0005-0000-0000-00002C540000}"/>
    <cellStyle name="Normal 50 4 2 4 2 2" xfId="34647" xr:uid="{00000000-0005-0000-0000-00002D540000}"/>
    <cellStyle name="Normal 50 4 2 4 3" xfId="26600" xr:uid="{00000000-0005-0000-0000-00002E540000}"/>
    <cellStyle name="Normal 50 4 2 5" xfId="14253" xr:uid="{00000000-0005-0000-0000-00002F540000}"/>
    <cellStyle name="Normal 50 4 2 5 2" xfId="30799" xr:uid="{00000000-0005-0000-0000-000030540000}"/>
    <cellStyle name="Normal 50 4 2 6" xfId="22756" xr:uid="{00000000-0005-0000-0000-000031540000}"/>
    <cellStyle name="Normal 50 4 3" xfId="4725" xr:uid="{00000000-0005-0000-0000-000032540000}"/>
    <cellStyle name="Normal 50 4 3 2" xfId="4726" xr:uid="{00000000-0005-0000-0000-000033540000}"/>
    <cellStyle name="Normal 50 4 3 2 2" xfId="8717" xr:uid="{00000000-0005-0000-0000-000034540000}"/>
    <cellStyle name="Normal 50 4 3 2 2 2" xfId="18074" xr:uid="{00000000-0005-0000-0000-000035540000}"/>
    <cellStyle name="Normal 50 4 3 2 2 2 2" xfId="34648" xr:uid="{00000000-0005-0000-0000-000036540000}"/>
    <cellStyle name="Normal 50 4 3 2 2 3" xfId="26601" xr:uid="{00000000-0005-0000-0000-000037540000}"/>
    <cellStyle name="Normal 50 4 3 2 3" xfId="14258" xr:uid="{00000000-0005-0000-0000-000038540000}"/>
    <cellStyle name="Normal 50 4 3 2 3 2" xfId="30804" xr:uid="{00000000-0005-0000-0000-000039540000}"/>
    <cellStyle name="Normal 50 4 3 2 4" xfId="22761" xr:uid="{00000000-0005-0000-0000-00003A540000}"/>
    <cellStyle name="Normal 50 4 3 3" xfId="8718" xr:uid="{00000000-0005-0000-0000-00003B540000}"/>
    <cellStyle name="Normal 50 4 3 3 2" xfId="18075" xr:uid="{00000000-0005-0000-0000-00003C540000}"/>
    <cellStyle name="Normal 50 4 3 3 2 2" xfId="34649" xr:uid="{00000000-0005-0000-0000-00003D540000}"/>
    <cellStyle name="Normal 50 4 3 3 3" xfId="26602" xr:uid="{00000000-0005-0000-0000-00003E540000}"/>
    <cellStyle name="Normal 50 4 3 4" xfId="14257" xr:uid="{00000000-0005-0000-0000-00003F540000}"/>
    <cellStyle name="Normal 50 4 3 4 2" xfId="30803" xr:uid="{00000000-0005-0000-0000-000040540000}"/>
    <cellStyle name="Normal 50 4 3 5" xfId="22760" xr:uid="{00000000-0005-0000-0000-000041540000}"/>
    <cellStyle name="Normal 50 4 4" xfId="4727" xr:uid="{00000000-0005-0000-0000-000042540000}"/>
    <cellStyle name="Normal 50 4 4 2" xfId="8719" xr:uid="{00000000-0005-0000-0000-000043540000}"/>
    <cellStyle name="Normal 50 4 4 2 2" xfId="18076" xr:uid="{00000000-0005-0000-0000-000044540000}"/>
    <cellStyle name="Normal 50 4 4 2 2 2" xfId="34650" xr:uid="{00000000-0005-0000-0000-000045540000}"/>
    <cellStyle name="Normal 50 4 4 2 3" xfId="26603" xr:uid="{00000000-0005-0000-0000-000046540000}"/>
    <cellStyle name="Normal 50 4 4 3" xfId="14259" xr:uid="{00000000-0005-0000-0000-000047540000}"/>
    <cellStyle name="Normal 50 4 4 3 2" xfId="30805" xr:uid="{00000000-0005-0000-0000-000048540000}"/>
    <cellStyle name="Normal 50 4 4 4" xfId="22762" xr:uid="{00000000-0005-0000-0000-000049540000}"/>
    <cellStyle name="Normal 50 4 5" xfId="8720" xr:uid="{00000000-0005-0000-0000-00004A540000}"/>
    <cellStyle name="Normal 50 4 5 2" xfId="18077" xr:uid="{00000000-0005-0000-0000-00004B540000}"/>
    <cellStyle name="Normal 50 4 5 2 2" xfId="34651" xr:uid="{00000000-0005-0000-0000-00004C540000}"/>
    <cellStyle name="Normal 50 4 5 3" xfId="26604" xr:uid="{00000000-0005-0000-0000-00004D540000}"/>
    <cellStyle name="Normal 50 4 6" xfId="14252" xr:uid="{00000000-0005-0000-0000-00004E540000}"/>
    <cellStyle name="Normal 50 4 6 2" xfId="30798" xr:uid="{00000000-0005-0000-0000-00004F540000}"/>
    <cellStyle name="Normal 50 4 7" xfId="22755" xr:uid="{00000000-0005-0000-0000-000050540000}"/>
    <cellStyle name="Normal 50 5" xfId="4728" xr:uid="{00000000-0005-0000-0000-000051540000}"/>
    <cellStyle name="Normal 50 5 2" xfId="4729" xr:uid="{00000000-0005-0000-0000-000052540000}"/>
    <cellStyle name="Normal 50 5 2 2" xfId="4730" xr:uid="{00000000-0005-0000-0000-000053540000}"/>
    <cellStyle name="Normal 50 5 2 2 2" xfId="4731" xr:uid="{00000000-0005-0000-0000-000054540000}"/>
    <cellStyle name="Normal 50 5 2 2 2 2" xfId="8721" xr:uid="{00000000-0005-0000-0000-000055540000}"/>
    <cellStyle name="Normal 50 5 2 2 2 2 2" xfId="18078" xr:uid="{00000000-0005-0000-0000-000056540000}"/>
    <cellStyle name="Normal 50 5 2 2 2 2 2 2" xfId="34652" xr:uid="{00000000-0005-0000-0000-000057540000}"/>
    <cellStyle name="Normal 50 5 2 2 2 2 3" xfId="26605" xr:uid="{00000000-0005-0000-0000-000058540000}"/>
    <cellStyle name="Normal 50 5 2 2 2 3" xfId="14263" xr:uid="{00000000-0005-0000-0000-000059540000}"/>
    <cellStyle name="Normal 50 5 2 2 2 3 2" xfId="30809" xr:uid="{00000000-0005-0000-0000-00005A540000}"/>
    <cellStyle name="Normal 50 5 2 2 2 4" xfId="22766" xr:uid="{00000000-0005-0000-0000-00005B540000}"/>
    <cellStyle name="Normal 50 5 2 2 3" xfId="8722" xr:uid="{00000000-0005-0000-0000-00005C540000}"/>
    <cellStyle name="Normal 50 5 2 2 3 2" xfId="18079" xr:uid="{00000000-0005-0000-0000-00005D540000}"/>
    <cellStyle name="Normal 50 5 2 2 3 2 2" xfId="34653" xr:uid="{00000000-0005-0000-0000-00005E540000}"/>
    <cellStyle name="Normal 50 5 2 2 3 3" xfId="26606" xr:uid="{00000000-0005-0000-0000-00005F540000}"/>
    <cellStyle name="Normal 50 5 2 2 4" xfId="14262" xr:uid="{00000000-0005-0000-0000-000060540000}"/>
    <cellStyle name="Normal 50 5 2 2 4 2" xfId="30808" xr:uid="{00000000-0005-0000-0000-000061540000}"/>
    <cellStyle name="Normal 50 5 2 2 5" xfId="22765" xr:uid="{00000000-0005-0000-0000-000062540000}"/>
    <cellStyle name="Normal 50 5 2 3" xfId="4732" xr:uid="{00000000-0005-0000-0000-000063540000}"/>
    <cellStyle name="Normal 50 5 2 3 2" xfId="8723" xr:uid="{00000000-0005-0000-0000-000064540000}"/>
    <cellStyle name="Normal 50 5 2 3 2 2" xfId="18080" xr:uid="{00000000-0005-0000-0000-000065540000}"/>
    <cellStyle name="Normal 50 5 2 3 2 2 2" xfId="34654" xr:uid="{00000000-0005-0000-0000-000066540000}"/>
    <cellStyle name="Normal 50 5 2 3 2 3" xfId="26607" xr:uid="{00000000-0005-0000-0000-000067540000}"/>
    <cellStyle name="Normal 50 5 2 3 3" xfId="14264" xr:uid="{00000000-0005-0000-0000-000068540000}"/>
    <cellStyle name="Normal 50 5 2 3 3 2" xfId="30810" xr:uid="{00000000-0005-0000-0000-000069540000}"/>
    <cellStyle name="Normal 50 5 2 3 4" xfId="22767" xr:uid="{00000000-0005-0000-0000-00006A540000}"/>
    <cellStyle name="Normal 50 5 2 4" xfId="8724" xr:uid="{00000000-0005-0000-0000-00006B540000}"/>
    <cellStyle name="Normal 50 5 2 4 2" xfId="18081" xr:uid="{00000000-0005-0000-0000-00006C540000}"/>
    <cellStyle name="Normal 50 5 2 4 2 2" xfId="34655" xr:uid="{00000000-0005-0000-0000-00006D540000}"/>
    <cellStyle name="Normal 50 5 2 4 3" xfId="26608" xr:uid="{00000000-0005-0000-0000-00006E540000}"/>
    <cellStyle name="Normal 50 5 2 5" xfId="14261" xr:uid="{00000000-0005-0000-0000-00006F540000}"/>
    <cellStyle name="Normal 50 5 2 5 2" xfId="30807" xr:uid="{00000000-0005-0000-0000-000070540000}"/>
    <cellStyle name="Normal 50 5 2 6" xfId="22764" xr:uid="{00000000-0005-0000-0000-000071540000}"/>
    <cellStyle name="Normal 50 5 3" xfId="4733" xr:uid="{00000000-0005-0000-0000-000072540000}"/>
    <cellStyle name="Normal 50 5 3 2" xfId="4734" xr:uid="{00000000-0005-0000-0000-000073540000}"/>
    <cellStyle name="Normal 50 5 3 2 2" xfId="8725" xr:uid="{00000000-0005-0000-0000-000074540000}"/>
    <cellStyle name="Normal 50 5 3 2 2 2" xfId="18082" xr:uid="{00000000-0005-0000-0000-000075540000}"/>
    <cellStyle name="Normal 50 5 3 2 2 2 2" xfId="34656" xr:uid="{00000000-0005-0000-0000-000076540000}"/>
    <cellStyle name="Normal 50 5 3 2 2 3" xfId="26609" xr:uid="{00000000-0005-0000-0000-000077540000}"/>
    <cellStyle name="Normal 50 5 3 2 3" xfId="14266" xr:uid="{00000000-0005-0000-0000-000078540000}"/>
    <cellStyle name="Normal 50 5 3 2 3 2" xfId="30812" xr:uid="{00000000-0005-0000-0000-000079540000}"/>
    <cellStyle name="Normal 50 5 3 2 4" xfId="22769" xr:uid="{00000000-0005-0000-0000-00007A540000}"/>
    <cellStyle name="Normal 50 5 3 3" xfId="8726" xr:uid="{00000000-0005-0000-0000-00007B540000}"/>
    <cellStyle name="Normal 50 5 3 3 2" xfId="18083" xr:uid="{00000000-0005-0000-0000-00007C540000}"/>
    <cellStyle name="Normal 50 5 3 3 2 2" xfId="34657" xr:uid="{00000000-0005-0000-0000-00007D540000}"/>
    <cellStyle name="Normal 50 5 3 3 3" xfId="26610" xr:uid="{00000000-0005-0000-0000-00007E540000}"/>
    <cellStyle name="Normal 50 5 3 4" xfId="14265" xr:uid="{00000000-0005-0000-0000-00007F540000}"/>
    <cellStyle name="Normal 50 5 3 4 2" xfId="30811" xr:uid="{00000000-0005-0000-0000-000080540000}"/>
    <cellStyle name="Normal 50 5 3 5" xfId="22768" xr:uid="{00000000-0005-0000-0000-000081540000}"/>
    <cellStyle name="Normal 50 5 4" xfId="4735" xr:uid="{00000000-0005-0000-0000-000082540000}"/>
    <cellStyle name="Normal 50 5 4 2" xfId="8727" xr:uid="{00000000-0005-0000-0000-000083540000}"/>
    <cellStyle name="Normal 50 5 4 2 2" xfId="18084" xr:uid="{00000000-0005-0000-0000-000084540000}"/>
    <cellStyle name="Normal 50 5 4 2 2 2" xfId="34658" xr:uid="{00000000-0005-0000-0000-000085540000}"/>
    <cellStyle name="Normal 50 5 4 2 3" xfId="26611" xr:uid="{00000000-0005-0000-0000-000086540000}"/>
    <cellStyle name="Normal 50 5 4 3" xfId="14267" xr:uid="{00000000-0005-0000-0000-000087540000}"/>
    <cellStyle name="Normal 50 5 4 3 2" xfId="30813" xr:uid="{00000000-0005-0000-0000-000088540000}"/>
    <cellStyle name="Normal 50 5 4 4" xfId="22770" xr:uid="{00000000-0005-0000-0000-000089540000}"/>
    <cellStyle name="Normal 50 5 5" xfId="8728" xr:uid="{00000000-0005-0000-0000-00008A540000}"/>
    <cellStyle name="Normal 50 5 5 2" xfId="18085" xr:uid="{00000000-0005-0000-0000-00008B540000}"/>
    <cellStyle name="Normal 50 5 5 2 2" xfId="34659" xr:uid="{00000000-0005-0000-0000-00008C540000}"/>
    <cellStyle name="Normal 50 5 5 3" xfId="26612" xr:uid="{00000000-0005-0000-0000-00008D540000}"/>
    <cellStyle name="Normal 50 5 6" xfId="14260" xr:uid="{00000000-0005-0000-0000-00008E540000}"/>
    <cellStyle name="Normal 50 5 6 2" xfId="30806" xr:uid="{00000000-0005-0000-0000-00008F540000}"/>
    <cellStyle name="Normal 50 5 7" xfId="22763" xr:uid="{00000000-0005-0000-0000-000090540000}"/>
    <cellStyle name="Normal 50 6" xfId="4736" xr:uid="{00000000-0005-0000-0000-000091540000}"/>
    <cellStyle name="Normal 50 6 2" xfId="4737" xr:uid="{00000000-0005-0000-0000-000092540000}"/>
    <cellStyle name="Normal 50 6 2 2" xfId="4738" xr:uid="{00000000-0005-0000-0000-000093540000}"/>
    <cellStyle name="Normal 50 6 2 2 2" xfId="8729" xr:uid="{00000000-0005-0000-0000-000094540000}"/>
    <cellStyle name="Normal 50 6 2 2 2 2" xfId="18086" xr:uid="{00000000-0005-0000-0000-000095540000}"/>
    <cellStyle name="Normal 50 6 2 2 2 2 2" xfId="34660" xr:uid="{00000000-0005-0000-0000-000096540000}"/>
    <cellStyle name="Normal 50 6 2 2 2 3" xfId="26613" xr:uid="{00000000-0005-0000-0000-000097540000}"/>
    <cellStyle name="Normal 50 6 2 2 3" xfId="14270" xr:uid="{00000000-0005-0000-0000-000098540000}"/>
    <cellStyle name="Normal 50 6 2 2 3 2" xfId="30816" xr:uid="{00000000-0005-0000-0000-000099540000}"/>
    <cellStyle name="Normal 50 6 2 2 4" xfId="22773" xr:uid="{00000000-0005-0000-0000-00009A540000}"/>
    <cellStyle name="Normal 50 6 2 3" xfId="8730" xr:uid="{00000000-0005-0000-0000-00009B540000}"/>
    <cellStyle name="Normal 50 6 2 3 2" xfId="18087" xr:uid="{00000000-0005-0000-0000-00009C540000}"/>
    <cellStyle name="Normal 50 6 2 3 2 2" xfId="34661" xr:uid="{00000000-0005-0000-0000-00009D540000}"/>
    <cellStyle name="Normal 50 6 2 3 3" xfId="26614" xr:uid="{00000000-0005-0000-0000-00009E540000}"/>
    <cellStyle name="Normal 50 6 2 4" xfId="14269" xr:uid="{00000000-0005-0000-0000-00009F540000}"/>
    <cellStyle name="Normal 50 6 2 4 2" xfId="30815" xr:uid="{00000000-0005-0000-0000-0000A0540000}"/>
    <cellStyle name="Normal 50 6 2 5" xfId="22772" xr:uid="{00000000-0005-0000-0000-0000A1540000}"/>
    <cellStyle name="Normal 50 6 3" xfId="4739" xr:uid="{00000000-0005-0000-0000-0000A2540000}"/>
    <cellStyle name="Normal 50 6 3 2" xfId="8731" xr:uid="{00000000-0005-0000-0000-0000A3540000}"/>
    <cellStyle name="Normal 50 6 3 2 2" xfId="18088" xr:uid="{00000000-0005-0000-0000-0000A4540000}"/>
    <cellStyle name="Normal 50 6 3 2 2 2" xfId="34662" xr:uid="{00000000-0005-0000-0000-0000A5540000}"/>
    <cellStyle name="Normal 50 6 3 2 3" xfId="26615" xr:uid="{00000000-0005-0000-0000-0000A6540000}"/>
    <cellStyle name="Normal 50 6 3 3" xfId="14271" xr:uid="{00000000-0005-0000-0000-0000A7540000}"/>
    <cellStyle name="Normal 50 6 3 3 2" xfId="30817" xr:uid="{00000000-0005-0000-0000-0000A8540000}"/>
    <cellStyle name="Normal 50 6 3 4" xfId="22774" xr:uid="{00000000-0005-0000-0000-0000A9540000}"/>
    <cellStyle name="Normal 50 6 4" xfId="8732" xr:uid="{00000000-0005-0000-0000-0000AA540000}"/>
    <cellStyle name="Normal 50 6 4 2" xfId="18089" xr:uid="{00000000-0005-0000-0000-0000AB540000}"/>
    <cellStyle name="Normal 50 6 4 2 2" xfId="34663" xr:uid="{00000000-0005-0000-0000-0000AC540000}"/>
    <cellStyle name="Normal 50 6 4 3" xfId="26616" xr:uid="{00000000-0005-0000-0000-0000AD540000}"/>
    <cellStyle name="Normal 50 6 5" xfId="14268" xr:uid="{00000000-0005-0000-0000-0000AE540000}"/>
    <cellStyle name="Normal 50 6 5 2" xfId="30814" xr:uid="{00000000-0005-0000-0000-0000AF540000}"/>
    <cellStyle name="Normal 50 6 6" xfId="22771" xr:uid="{00000000-0005-0000-0000-0000B0540000}"/>
    <cellStyle name="Normal 50 7" xfId="4740" xr:uid="{00000000-0005-0000-0000-0000B1540000}"/>
    <cellStyle name="Normal 50 7 2" xfId="4741" xr:uid="{00000000-0005-0000-0000-0000B2540000}"/>
    <cellStyle name="Normal 50 7 2 2" xfId="8733" xr:uid="{00000000-0005-0000-0000-0000B3540000}"/>
    <cellStyle name="Normal 50 7 2 2 2" xfId="18090" xr:uid="{00000000-0005-0000-0000-0000B4540000}"/>
    <cellStyle name="Normal 50 7 2 2 2 2" xfId="34664" xr:uid="{00000000-0005-0000-0000-0000B5540000}"/>
    <cellStyle name="Normal 50 7 2 2 3" xfId="26617" xr:uid="{00000000-0005-0000-0000-0000B6540000}"/>
    <cellStyle name="Normal 50 7 2 3" xfId="14273" xr:uid="{00000000-0005-0000-0000-0000B7540000}"/>
    <cellStyle name="Normal 50 7 2 3 2" xfId="30819" xr:uid="{00000000-0005-0000-0000-0000B8540000}"/>
    <cellStyle name="Normal 50 7 2 4" xfId="22776" xr:uid="{00000000-0005-0000-0000-0000B9540000}"/>
    <cellStyle name="Normal 50 7 3" xfId="8734" xr:uid="{00000000-0005-0000-0000-0000BA540000}"/>
    <cellStyle name="Normal 50 7 3 2" xfId="18091" xr:uid="{00000000-0005-0000-0000-0000BB540000}"/>
    <cellStyle name="Normal 50 7 3 2 2" xfId="34665" xr:uid="{00000000-0005-0000-0000-0000BC540000}"/>
    <cellStyle name="Normal 50 7 3 3" xfId="26618" xr:uid="{00000000-0005-0000-0000-0000BD540000}"/>
    <cellStyle name="Normal 50 7 4" xfId="14272" xr:uid="{00000000-0005-0000-0000-0000BE540000}"/>
    <cellStyle name="Normal 50 7 4 2" xfId="30818" xr:uid="{00000000-0005-0000-0000-0000BF540000}"/>
    <cellStyle name="Normal 50 7 5" xfId="22775" xr:uid="{00000000-0005-0000-0000-0000C0540000}"/>
    <cellStyle name="Normal 50 8" xfId="4742" xr:uid="{00000000-0005-0000-0000-0000C1540000}"/>
    <cellStyle name="Normal 50 8 2" xfId="8735" xr:uid="{00000000-0005-0000-0000-0000C2540000}"/>
    <cellStyle name="Normal 50 8 2 2" xfId="18092" xr:uid="{00000000-0005-0000-0000-0000C3540000}"/>
    <cellStyle name="Normal 50 8 2 2 2" xfId="34666" xr:uid="{00000000-0005-0000-0000-0000C4540000}"/>
    <cellStyle name="Normal 50 8 2 3" xfId="26619" xr:uid="{00000000-0005-0000-0000-0000C5540000}"/>
    <cellStyle name="Normal 50 8 3" xfId="14274" xr:uid="{00000000-0005-0000-0000-0000C6540000}"/>
    <cellStyle name="Normal 50 8 3 2" xfId="30820" xr:uid="{00000000-0005-0000-0000-0000C7540000}"/>
    <cellStyle name="Normal 50 8 4" xfId="22777" xr:uid="{00000000-0005-0000-0000-0000C8540000}"/>
    <cellStyle name="Normal 50 9" xfId="8736" xr:uid="{00000000-0005-0000-0000-0000C9540000}"/>
    <cellStyle name="Normal 50 9 2" xfId="18093" xr:uid="{00000000-0005-0000-0000-0000CA540000}"/>
    <cellStyle name="Normal 50 9 2 2" xfId="34667" xr:uid="{00000000-0005-0000-0000-0000CB540000}"/>
    <cellStyle name="Normal 50 9 3" xfId="26620" xr:uid="{00000000-0005-0000-0000-0000CC540000}"/>
    <cellStyle name="Normal 51" xfId="4743" xr:uid="{00000000-0005-0000-0000-0000CD540000}"/>
    <cellStyle name="Normal 51 10" xfId="14275" xr:uid="{00000000-0005-0000-0000-0000CE540000}"/>
    <cellStyle name="Normal 51 10 2" xfId="30821" xr:uid="{00000000-0005-0000-0000-0000CF540000}"/>
    <cellStyle name="Normal 51 11" xfId="22778" xr:uid="{00000000-0005-0000-0000-0000D0540000}"/>
    <cellStyle name="Normal 51 2" xfId="4744" xr:uid="{00000000-0005-0000-0000-0000D1540000}"/>
    <cellStyle name="Normal 51 2 2" xfId="4745" xr:uid="{00000000-0005-0000-0000-0000D2540000}"/>
    <cellStyle name="Normal 51 2 3" xfId="14276" xr:uid="{00000000-0005-0000-0000-0000D3540000}"/>
    <cellStyle name="Normal 51 2 3 2" xfId="30822" xr:uid="{00000000-0005-0000-0000-0000D4540000}"/>
    <cellStyle name="Normal 51 2 4" xfId="22779" xr:uid="{00000000-0005-0000-0000-0000D5540000}"/>
    <cellStyle name="Normal 51 3" xfId="4746" xr:uid="{00000000-0005-0000-0000-0000D6540000}"/>
    <cellStyle name="Normal 51 3 2" xfId="4747" xr:uid="{00000000-0005-0000-0000-0000D7540000}"/>
    <cellStyle name="Normal 51 3 2 2" xfId="4748" xr:uid="{00000000-0005-0000-0000-0000D8540000}"/>
    <cellStyle name="Normal 51 3 2 2 2" xfId="4749" xr:uid="{00000000-0005-0000-0000-0000D9540000}"/>
    <cellStyle name="Normal 51 3 2 2 2 2" xfId="8737" xr:uid="{00000000-0005-0000-0000-0000DA540000}"/>
    <cellStyle name="Normal 51 3 2 2 2 2 2" xfId="18094" xr:uid="{00000000-0005-0000-0000-0000DB540000}"/>
    <cellStyle name="Normal 51 3 2 2 2 2 2 2" xfId="34668" xr:uid="{00000000-0005-0000-0000-0000DC540000}"/>
    <cellStyle name="Normal 51 3 2 2 2 2 3" xfId="26621" xr:uid="{00000000-0005-0000-0000-0000DD540000}"/>
    <cellStyle name="Normal 51 3 2 2 2 3" xfId="14279" xr:uid="{00000000-0005-0000-0000-0000DE540000}"/>
    <cellStyle name="Normal 51 3 2 2 2 3 2" xfId="30825" xr:uid="{00000000-0005-0000-0000-0000DF540000}"/>
    <cellStyle name="Normal 51 3 2 2 2 4" xfId="22782" xr:uid="{00000000-0005-0000-0000-0000E0540000}"/>
    <cellStyle name="Normal 51 3 2 2 3" xfId="8738" xr:uid="{00000000-0005-0000-0000-0000E1540000}"/>
    <cellStyle name="Normal 51 3 2 2 3 2" xfId="18095" xr:uid="{00000000-0005-0000-0000-0000E2540000}"/>
    <cellStyle name="Normal 51 3 2 2 3 2 2" xfId="34669" xr:uid="{00000000-0005-0000-0000-0000E3540000}"/>
    <cellStyle name="Normal 51 3 2 2 3 3" xfId="26622" xr:uid="{00000000-0005-0000-0000-0000E4540000}"/>
    <cellStyle name="Normal 51 3 2 2 4" xfId="14278" xr:uid="{00000000-0005-0000-0000-0000E5540000}"/>
    <cellStyle name="Normal 51 3 2 2 4 2" xfId="30824" xr:uid="{00000000-0005-0000-0000-0000E6540000}"/>
    <cellStyle name="Normal 51 3 2 2 5" xfId="22781" xr:uid="{00000000-0005-0000-0000-0000E7540000}"/>
    <cellStyle name="Normal 51 3 2 3" xfId="4750" xr:uid="{00000000-0005-0000-0000-0000E8540000}"/>
    <cellStyle name="Normal 51 3 2 3 2" xfId="8739" xr:uid="{00000000-0005-0000-0000-0000E9540000}"/>
    <cellStyle name="Normal 51 3 2 3 2 2" xfId="18096" xr:uid="{00000000-0005-0000-0000-0000EA540000}"/>
    <cellStyle name="Normal 51 3 2 3 2 2 2" xfId="34670" xr:uid="{00000000-0005-0000-0000-0000EB540000}"/>
    <cellStyle name="Normal 51 3 2 3 2 3" xfId="26623" xr:uid="{00000000-0005-0000-0000-0000EC540000}"/>
    <cellStyle name="Normal 51 3 2 3 3" xfId="14280" xr:uid="{00000000-0005-0000-0000-0000ED540000}"/>
    <cellStyle name="Normal 51 3 2 3 3 2" xfId="30826" xr:uid="{00000000-0005-0000-0000-0000EE540000}"/>
    <cellStyle name="Normal 51 3 2 3 4" xfId="22783" xr:uid="{00000000-0005-0000-0000-0000EF540000}"/>
    <cellStyle name="Normal 51 3 2 4" xfId="8740" xr:uid="{00000000-0005-0000-0000-0000F0540000}"/>
    <cellStyle name="Normal 51 3 2 4 2" xfId="18097" xr:uid="{00000000-0005-0000-0000-0000F1540000}"/>
    <cellStyle name="Normal 51 3 2 4 2 2" xfId="34671" xr:uid="{00000000-0005-0000-0000-0000F2540000}"/>
    <cellStyle name="Normal 51 3 2 4 3" xfId="26624" xr:uid="{00000000-0005-0000-0000-0000F3540000}"/>
    <cellStyle name="Normal 51 3 2 5" xfId="14277" xr:uid="{00000000-0005-0000-0000-0000F4540000}"/>
    <cellStyle name="Normal 51 3 2 5 2" xfId="30823" xr:uid="{00000000-0005-0000-0000-0000F5540000}"/>
    <cellStyle name="Normal 51 3 2 6" xfId="22780" xr:uid="{00000000-0005-0000-0000-0000F6540000}"/>
    <cellStyle name="Normal 51 3 3" xfId="4751" xr:uid="{00000000-0005-0000-0000-0000F7540000}"/>
    <cellStyle name="Normal 51 3 3 2" xfId="4752" xr:uid="{00000000-0005-0000-0000-0000F8540000}"/>
    <cellStyle name="Normal 51 3 3 2 2" xfId="8741" xr:uid="{00000000-0005-0000-0000-0000F9540000}"/>
    <cellStyle name="Normal 51 3 3 2 2 2" xfId="18098" xr:uid="{00000000-0005-0000-0000-0000FA540000}"/>
    <cellStyle name="Normal 51 3 3 2 2 2 2" xfId="34672" xr:uid="{00000000-0005-0000-0000-0000FB540000}"/>
    <cellStyle name="Normal 51 3 3 2 2 3" xfId="26625" xr:uid="{00000000-0005-0000-0000-0000FC540000}"/>
    <cellStyle name="Normal 51 3 3 2 3" xfId="14282" xr:uid="{00000000-0005-0000-0000-0000FD540000}"/>
    <cellStyle name="Normal 51 3 3 2 3 2" xfId="30828" xr:uid="{00000000-0005-0000-0000-0000FE540000}"/>
    <cellStyle name="Normal 51 3 3 2 4" xfId="22785" xr:uid="{00000000-0005-0000-0000-0000FF540000}"/>
    <cellStyle name="Normal 51 3 3 3" xfId="8742" xr:uid="{00000000-0005-0000-0000-000000550000}"/>
    <cellStyle name="Normal 51 3 3 3 2" xfId="18099" xr:uid="{00000000-0005-0000-0000-000001550000}"/>
    <cellStyle name="Normal 51 3 3 3 2 2" xfId="34673" xr:uid="{00000000-0005-0000-0000-000002550000}"/>
    <cellStyle name="Normal 51 3 3 3 3" xfId="26626" xr:uid="{00000000-0005-0000-0000-000003550000}"/>
    <cellStyle name="Normal 51 3 3 4" xfId="14281" xr:uid="{00000000-0005-0000-0000-000004550000}"/>
    <cellStyle name="Normal 51 3 3 4 2" xfId="30827" xr:uid="{00000000-0005-0000-0000-000005550000}"/>
    <cellStyle name="Normal 51 3 3 5" xfId="22784" xr:uid="{00000000-0005-0000-0000-000006550000}"/>
    <cellStyle name="Normal 51 3 4" xfId="4753" xr:uid="{00000000-0005-0000-0000-000007550000}"/>
    <cellStyle name="Normal 51 3 4 2" xfId="8743" xr:uid="{00000000-0005-0000-0000-000008550000}"/>
    <cellStyle name="Normal 51 3 4 2 2" xfId="18100" xr:uid="{00000000-0005-0000-0000-000009550000}"/>
    <cellStyle name="Normal 51 3 4 2 2 2" xfId="34674" xr:uid="{00000000-0005-0000-0000-00000A550000}"/>
    <cellStyle name="Normal 51 3 4 2 3" xfId="26627" xr:uid="{00000000-0005-0000-0000-00000B550000}"/>
    <cellStyle name="Normal 51 3 4 3" xfId="14283" xr:uid="{00000000-0005-0000-0000-00000C550000}"/>
    <cellStyle name="Normal 51 3 4 3 2" xfId="30829" xr:uid="{00000000-0005-0000-0000-00000D550000}"/>
    <cellStyle name="Normal 51 3 4 4" xfId="22786" xr:uid="{00000000-0005-0000-0000-00000E550000}"/>
    <cellStyle name="Normal 51 3 5" xfId="4754" xr:uid="{00000000-0005-0000-0000-00000F550000}"/>
    <cellStyle name="Normal 51 3 5 2" xfId="14284" xr:uid="{00000000-0005-0000-0000-000010550000}"/>
    <cellStyle name="Normal 51 3 5 2 2" xfId="30830" xr:uid="{00000000-0005-0000-0000-000011550000}"/>
    <cellStyle name="Normal 51 3 5 3" xfId="22787" xr:uid="{00000000-0005-0000-0000-000012550000}"/>
    <cellStyle name="Normal 51 4" xfId="4755" xr:uid="{00000000-0005-0000-0000-000013550000}"/>
    <cellStyle name="Normal 51 4 2" xfId="4756" xr:uid="{00000000-0005-0000-0000-000014550000}"/>
    <cellStyle name="Normal 51 4 2 2" xfId="4757" xr:uid="{00000000-0005-0000-0000-000015550000}"/>
    <cellStyle name="Normal 51 4 2 2 2" xfId="4758" xr:uid="{00000000-0005-0000-0000-000016550000}"/>
    <cellStyle name="Normal 51 4 2 2 2 2" xfId="8744" xr:uid="{00000000-0005-0000-0000-000017550000}"/>
    <cellStyle name="Normal 51 4 2 2 2 2 2" xfId="18101" xr:uid="{00000000-0005-0000-0000-000018550000}"/>
    <cellStyle name="Normal 51 4 2 2 2 2 2 2" xfId="34675" xr:uid="{00000000-0005-0000-0000-000019550000}"/>
    <cellStyle name="Normal 51 4 2 2 2 2 3" xfId="26628" xr:uid="{00000000-0005-0000-0000-00001A550000}"/>
    <cellStyle name="Normal 51 4 2 2 2 3" xfId="14288" xr:uid="{00000000-0005-0000-0000-00001B550000}"/>
    <cellStyle name="Normal 51 4 2 2 2 3 2" xfId="30834" xr:uid="{00000000-0005-0000-0000-00001C550000}"/>
    <cellStyle name="Normal 51 4 2 2 2 4" xfId="22791" xr:uid="{00000000-0005-0000-0000-00001D550000}"/>
    <cellStyle name="Normal 51 4 2 2 3" xfId="8745" xr:uid="{00000000-0005-0000-0000-00001E550000}"/>
    <cellStyle name="Normal 51 4 2 2 3 2" xfId="18102" xr:uid="{00000000-0005-0000-0000-00001F550000}"/>
    <cellStyle name="Normal 51 4 2 2 3 2 2" xfId="34676" xr:uid="{00000000-0005-0000-0000-000020550000}"/>
    <cellStyle name="Normal 51 4 2 2 3 3" xfId="26629" xr:uid="{00000000-0005-0000-0000-000021550000}"/>
    <cellStyle name="Normal 51 4 2 2 4" xfId="14287" xr:uid="{00000000-0005-0000-0000-000022550000}"/>
    <cellStyle name="Normal 51 4 2 2 4 2" xfId="30833" xr:uid="{00000000-0005-0000-0000-000023550000}"/>
    <cellStyle name="Normal 51 4 2 2 5" xfId="22790" xr:uid="{00000000-0005-0000-0000-000024550000}"/>
    <cellStyle name="Normal 51 4 2 3" xfId="4759" xr:uid="{00000000-0005-0000-0000-000025550000}"/>
    <cellStyle name="Normal 51 4 2 3 2" xfId="8746" xr:uid="{00000000-0005-0000-0000-000026550000}"/>
    <cellStyle name="Normal 51 4 2 3 2 2" xfId="18103" xr:uid="{00000000-0005-0000-0000-000027550000}"/>
    <cellStyle name="Normal 51 4 2 3 2 2 2" xfId="34677" xr:uid="{00000000-0005-0000-0000-000028550000}"/>
    <cellStyle name="Normal 51 4 2 3 2 3" xfId="26630" xr:uid="{00000000-0005-0000-0000-000029550000}"/>
    <cellStyle name="Normal 51 4 2 3 3" xfId="14289" xr:uid="{00000000-0005-0000-0000-00002A550000}"/>
    <cellStyle name="Normal 51 4 2 3 3 2" xfId="30835" xr:uid="{00000000-0005-0000-0000-00002B550000}"/>
    <cellStyle name="Normal 51 4 2 3 4" xfId="22792" xr:uid="{00000000-0005-0000-0000-00002C550000}"/>
    <cellStyle name="Normal 51 4 2 4" xfId="8747" xr:uid="{00000000-0005-0000-0000-00002D550000}"/>
    <cellStyle name="Normal 51 4 2 4 2" xfId="18104" xr:uid="{00000000-0005-0000-0000-00002E550000}"/>
    <cellStyle name="Normal 51 4 2 4 2 2" xfId="34678" xr:uid="{00000000-0005-0000-0000-00002F550000}"/>
    <cellStyle name="Normal 51 4 2 4 3" xfId="26631" xr:uid="{00000000-0005-0000-0000-000030550000}"/>
    <cellStyle name="Normal 51 4 2 5" xfId="14286" xr:uid="{00000000-0005-0000-0000-000031550000}"/>
    <cellStyle name="Normal 51 4 2 5 2" xfId="30832" xr:uid="{00000000-0005-0000-0000-000032550000}"/>
    <cellStyle name="Normal 51 4 2 6" xfId="22789" xr:uid="{00000000-0005-0000-0000-000033550000}"/>
    <cellStyle name="Normal 51 4 3" xfId="4760" xr:uid="{00000000-0005-0000-0000-000034550000}"/>
    <cellStyle name="Normal 51 4 3 2" xfId="4761" xr:uid="{00000000-0005-0000-0000-000035550000}"/>
    <cellStyle name="Normal 51 4 3 2 2" xfId="8748" xr:uid="{00000000-0005-0000-0000-000036550000}"/>
    <cellStyle name="Normal 51 4 3 2 2 2" xfId="18105" xr:uid="{00000000-0005-0000-0000-000037550000}"/>
    <cellStyle name="Normal 51 4 3 2 2 2 2" xfId="34679" xr:uid="{00000000-0005-0000-0000-000038550000}"/>
    <cellStyle name="Normal 51 4 3 2 2 3" xfId="26632" xr:uid="{00000000-0005-0000-0000-000039550000}"/>
    <cellStyle name="Normal 51 4 3 2 3" xfId="14291" xr:uid="{00000000-0005-0000-0000-00003A550000}"/>
    <cellStyle name="Normal 51 4 3 2 3 2" xfId="30837" xr:uid="{00000000-0005-0000-0000-00003B550000}"/>
    <cellStyle name="Normal 51 4 3 2 4" xfId="22794" xr:uid="{00000000-0005-0000-0000-00003C550000}"/>
    <cellStyle name="Normal 51 4 3 3" xfId="8749" xr:uid="{00000000-0005-0000-0000-00003D550000}"/>
    <cellStyle name="Normal 51 4 3 3 2" xfId="18106" xr:uid="{00000000-0005-0000-0000-00003E550000}"/>
    <cellStyle name="Normal 51 4 3 3 2 2" xfId="34680" xr:uid="{00000000-0005-0000-0000-00003F550000}"/>
    <cellStyle name="Normal 51 4 3 3 3" xfId="26633" xr:uid="{00000000-0005-0000-0000-000040550000}"/>
    <cellStyle name="Normal 51 4 3 4" xfId="14290" xr:uid="{00000000-0005-0000-0000-000041550000}"/>
    <cellStyle name="Normal 51 4 3 4 2" xfId="30836" xr:uid="{00000000-0005-0000-0000-000042550000}"/>
    <cellStyle name="Normal 51 4 3 5" xfId="22793" xr:uid="{00000000-0005-0000-0000-000043550000}"/>
    <cellStyle name="Normal 51 4 4" xfId="4762" xr:uid="{00000000-0005-0000-0000-000044550000}"/>
    <cellStyle name="Normal 51 4 4 2" xfId="8750" xr:uid="{00000000-0005-0000-0000-000045550000}"/>
    <cellStyle name="Normal 51 4 4 2 2" xfId="18107" xr:uid="{00000000-0005-0000-0000-000046550000}"/>
    <cellStyle name="Normal 51 4 4 2 2 2" xfId="34681" xr:uid="{00000000-0005-0000-0000-000047550000}"/>
    <cellStyle name="Normal 51 4 4 2 3" xfId="26634" xr:uid="{00000000-0005-0000-0000-000048550000}"/>
    <cellStyle name="Normal 51 4 4 3" xfId="14292" xr:uid="{00000000-0005-0000-0000-000049550000}"/>
    <cellStyle name="Normal 51 4 4 3 2" xfId="30838" xr:uid="{00000000-0005-0000-0000-00004A550000}"/>
    <cellStyle name="Normal 51 4 4 4" xfId="22795" xr:uid="{00000000-0005-0000-0000-00004B550000}"/>
    <cellStyle name="Normal 51 4 5" xfId="8751" xr:uid="{00000000-0005-0000-0000-00004C550000}"/>
    <cellStyle name="Normal 51 4 5 2" xfId="18108" xr:uid="{00000000-0005-0000-0000-00004D550000}"/>
    <cellStyle name="Normal 51 4 5 2 2" xfId="34682" xr:uid="{00000000-0005-0000-0000-00004E550000}"/>
    <cellStyle name="Normal 51 4 5 3" xfId="26635" xr:uid="{00000000-0005-0000-0000-00004F550000}"/>
    <cellStyle name="Normal 51 4 6" xfId="14285" xr:uid="{00000000-0005-0000-0000-000050550000}"/>
    <cellStyle name="Normal 51 4 6 2" xfId="30831" xr:uid="{00000000-0005-0000-0000-000051550000}"/>
    <cellStyle name="Normal 51 4 7" xfId="22788" xr:uid="{00000000-0005-0000-0000-000052550000}"/>
    <cellStyle name="Normal 51 5" xfId="4763" xr:uid="{00000000-0005-0000-0000-000053550000}"/>
    <cellStyle name="Normal 51 5 2" xfId="4764" xr:uid="{00000000-0005-0000-0000-000054550000}"/>
    <cellStyle name="Normal 51 5 2 2" xfId="4765" xr:uid="{00000000-0005-0000-0000-000055550000}"/>
    <cellStyle name="Normal 51 5 2 2 2" xfId="4766" xr:uid="{00000000-0005-0000-0000-000056550000}"/>
    <cellStyle name="Normal 51 5 2 2 2 2" xfId="8752" xr:uid="{00000000-0005-0000-0000-000057550000}"/>
    <cellStyle name="Normal 51 5 2 2 2 2 2" xfId="18109" xr:uid="{00000000-0005-0000-0000-000058550000}"/>
    <cellStyle name="Normal 51 5 2 2 2 2 2 2" xfId="34683" xr:uid="{00000000-0005-0000-0000-000059550000}"/>
    <cellStyle name="Normal 51 5 2 2 2 2 3" xfId="26636" xr:uid="{00000000-0005-0000-0000-00005A550000}"/>
    <cellStyle name="Normal 51 5 2 2 2 3" xfId="14296" xr:uid="{00000000-0005-0000-0000-00005B550000}"/>
    <cellStyle name="Normal 51 5 2 2 2 3 2" xfId="30842" xr:uid="{00000000-0005-0000-0000-00005C550000}"/>
    <cellStyle name="Normal 51 5 2 2 2 4" xfId="22799" xr:uid="{00000000-0005-0000-0000-00005D550000}"/>
    <cellStyle name="Normal 51 5 2 2 3" xfId="8753" xr:uid="{00000000-0005-0000-0000-00005E550000}"/>
    <cellStyle name="Normal 51 5 2 2 3 2" xfId="18110" xr:uid="{00000000-0005-0000-0000-00005F550000}"/>
    <cellStyle name="Normal 51 5 2 2 3 2 2" xfId="34684" xr:uid="{00000000-0005-0000-0000-000060550000}"/>
    <cellStyle name="Normal 51 5 2 2 3 3" xfId="26637" xr:uid="{00000000-0005-0000-0000-000061550000}"/>
    <cellStyle name="Normal 51 5 2 2 4" xfId="14295" xr:uid="{00000000-0005-0000-0000-000062550000}"/>
    <cellStyle name="Normal 51 5 2 2 4 2" xfId="30841" xr:uid="{00000000-0005-0000-0000-000063550000}"/>
    <cellStyle name="Normal 51 5 2 2 5" xfId="22798" xr:uid="{00000000-0005-0000-0000-000064550000}"/>
    <cellStyle name="Normal 51 5 2 3" xfId="4767" xr:uid="{00000000-0005-0000-0000-000065550000}"/>
    <cellStyle name="Normal 51 5 2 3 2" xfId="8754" xr:uid="{00000000-0005-0000-0000-000066550000}"/>
    <cellStyle name="Normal 51 5 2 3 2 2" xfId="18111" xr:uid="{00000000-0005-0000-0000-000067550000}"/>
    <cellStyle name="Normal 51 5 2 3 2 2 2" xfId="34685" xr:uid="{00000000-0005-0000-0000-000068550000}"/>
    <cellStyle name="Normal 51 5 2 3 2 3" xfId="26638" xr:uid="{00000000-0005-0000-0000-000069550000}"/>
    <cellStyle name="Normal 51 5 2 3 3" xfId="14297" xr:uid="{00000000-0005-0000-0000-00006A550000}"/>
    <cellStyle name="Normal 51 5 2 3 3 2" xfId="30843" xr:uid="{00000000-0005-0000-0000-00006B550000}"/>
    <cellStyle name="Normal 51 5 2 3 4" xfId="22800" xr:uid="{00000000-0005-0000-0000-00006C550000}"/>
    <cellStyle name="Normal 51 5 2 4" xfId="8755" xr:uid="{00000000-0005-0000-0000-00006D550000}"/>
    <cellStyle name="Normal 51 5 2 4 2" xfId="18112" xr:uid="{00000000-0005-0000-0000-00006E550000}"/>
    <cellStyle name="Normal 51 5 2 4 2 2" xfId="34686" xr:uid="{00000000-0005-0000-0000-00006F550000}"/>
    <cellStyle name="Normal 51 5 2 4 3" xfId="26639" xr:uid="{00000000-0005-0000-0000-000070550000}"/>
    <cellStyle name="Normal 51 5 2 5" xfId="14294" xr:uid="{00000000-0005-0000-0000-000071550000}"/>
    <cellStyle name="Normal 51 5 2 5 2" xfId="30840" xr:uid="{00000000-0005-0000-0000-000072550000}"/>
    <cellStyle name="Normal 51 5 2 6" xfId="22797" xr:uid="{00000000-0005-0000-0000-000073550000}"/>
    <cellStyle name="Normal 51 5 3" xfId="4768" xr:uid="{00000000-0005-0000-0000-000074550000}"/>
    <cellStyle name="Normal 51 5 3 2" xfId="4769" xr:uid="{00000000-0005-0000-0000-000075550000}"/>
    <cellStyle name="Normal 51 5 3 2 2" xfId="8756" xr:uid="{00000000-0005-0000-0000-000076550000}"/>
    <cellStyle name="Normal 51 5 3 2 2 2" xfId="18113" xr:uid="{00000000-0005-0000-0000-000077550000}"/>
    <cellStyle name="Normal 51 5 3 2 2 2 2" xfId="34687" xr:uid="{00000000-0005-0000-0000-000078550000}"/>
    <cellStyle name="Normal 51 5 3 2 2 3" xfId="26640" xr:uid="{00000000-0005-0000-0000-000079550000}"/>
    <cellStyle name="Normal 51 5 3 2 3" xfId="14299" xr:uid="{00000000-0005-0000-0000-00007A550000}"/>
    <cellStyle name="Normal 51 5 3 2 3 2" xfId="30845" xr:uid="{00000000-0005-0000-0000-00007B550000}"/>
    <cellStyle name="Normal 51 5 3 2 4" xfId="22802" xr:uid="{00000000-0005-0000-0000-00007C550000}"/>
    <cellStyle name="Normal 51 5 3 3" xfId="8757" xr:uid="{00000000-0005-0000-0000-00007D550000}"/>
    <cellStyle name="Normal 51 5 3 3 2" xfId="18114" xr:uid="{00000000-0005-0000-0000-00007E550000}"/>
    <cellStyle name="Normal 51 5 3 3 2 2" xfId="34688" xr:uid="{00000000-0005-0000-0000-00007F550000}"/>
    <cellStyle name="Normal 51 5 3 3 3" xfId="26641" xr:uid="{00000000-0005-0000-0000-000080550000}"/>
    <cellStyle name="Normal 51 5 3 4" xfId="14298" xr:uid="{00000000-0005-0000-0000-000081550000}"/>
    <cellStyle name="Normal 51 5 3 4 2" xfId="30844" xr:uid="{00000000-0005-0000-0000-000082550000}"/>
    <cellStyle name="Normal 51 5 3 5" xfId="22801" xr:uid="{00000000-0005-0000-0000-000083550000}"/>
    <cellStyle name="Normal 51 5 4" xfId="4770" xr:uid="{00000000-0005-0000-0000-000084550000}"/>
    <cellStyle name="Normal 51 5 4 2" xfId="8758" xr:uid="{00000000-0005-0000-0000-000085550000}"/>
    <cellStyle name="Normal 51 5 4 2 2" xfId="18115" xr:uid="{00000000-0005-0000-0000-000086550000}"/>
    <cellStyle name="Normal 51 5 4 2 2 2" xfId="34689" xr:uid="{00000000-0005-0000-0000-000087550000}"/>
    <cellStyle name="Normal 51 5 4 2 3" xfId="26642" xr:uid="{00000000-0005-0000-0000-000088550000}"/>
    <cellStyle name="Normal 51 5 4 3" xfId="14300" xr:uid="{00000000-0005-0000-0000-000089550000}"/>
    <cellStyle name="Normal 51 5 4 3 2" xfId="30846" xr:uid="{00000000-0005-0000-0000-00008A550000}"/>
    <cellStyle name="Normal 51 5 4 4" xfId="22803" xr:uid="{00000000-0005-0000-0000-00008B550000}"/>
    <cellStyle name="Normal 51 5 5" xfId="8759" xr:uid="{00000000-0005-0000-0000-00008C550000}"/>
    <cellStyle name="Normal 51 5 5 2" xfId="18116" xr:uid="{00000000-0005-0000-0000-00008D550000}"/>
    <cellStyle name="Normal 51 5 5 2 2" xfId="34690" xr:uid="{00000000-0005-0000-0000-00008E550000}"/>
    <cellStyle name="Normal 51 5 5 3" xfId="26643" xr:uid="{00000000-0005-0000-0000-00008F550000}"/>
    <cellStyle name="Normal 51 5 6" xfId="14293" xr:uid="{00000000-0005-0000-0000-000090550000}"/>
    <cellStyle name="Normal 51 5 6 2" xfId="30839" xr:uid="{00000000-0005-0000-0000-000091550000}"/>
    <cellStyle name="Normal 51 5 7" xfId="22796" xr:uid="{00000000-0005-0000-0000-000092550000}"/>
    <cellStyle name="Normal 51 6" xfId="4771" xr:uid="{00000000-0005-0000-0000-000093550000}"/>
    <cellStyle name="Normal 51 6 2" xfId="4772" xr:uid="{00000000-0005-0000-0000-000094550000}"/>
    <cellStyle name="Normal 51 6 2 2" xfId="4773" xr:uid="{00000000-0005-0000-0000-000095550000}"/>
    <cellStyle name="Normal 51 6 2 2 2" xfId="8760" xr:uid="{00000000-0005-0000-0000-000096550000}"/>
    <cellStyle name="Normal 51 6 2 2 2 2" xfId="18117" xr:uid="{00000000-0005-0000-0000-000097550000}"/>
    <cellStyle name="Normal 51 6 2 2 2 2 2" xfId="34691" xr:uid="{00000000-0005-0000-0000-000098550000}"/>
    <cellStyle name="Normal 51 6 2 2 2 3" xfId="26644" xr:uid="{00000000-0005-0000-0000-000099550000}"/>
    <cellStyle name="Normal 51 6 2 2 3" xfId="14303" xr:uid="{00000000-0005-0000-0000-00009A550000}"/>
    <cellStyle name="Normal 51 6 2 2 3 2" xfId="30849" xr:uid="{00000000-0005-0000-0000-00009B550000}"/>
    <cellStyle name="Normal 51 6 2 2 4" xfId="22806" xr:uid="{00000000-0005-0000-0000-00009C550000}"/>
    <cellStyle name="Normal 51 6 2 3" xfId="8761" xr:uid="{00000000-0005-0000-0000-00009D550000}"/>
    <cellStyle name="Normal 51 6 2 3 2" xfId="18118" xr:uid="{00000000-0005-0000-0000-00009E550000}"/>
    <cellStyle name="Normal 51 6 2 3 2 2" xfId="34692" xr:uid="{00000000-0005-0000-0000-00009F550000}"/>
    <cellStyle name="Normal 51 6 2 3 3" xfId="26645" xr:uid="{00000000-0005-0000-0000-0000A0550000}"/>
    <cellStyle name="Normal 51 6 2 4" xfId="14302" xr:uid="{00000000-0005-0000-0000-0000A1550000}"/>
    <cellStyle name="Normal 51 6 2 4 2" xfId="30848" xr:uid="{00000000-0005-0000-0000-0000A2550000}"/>
    <cellStyle name="Normal 51 6 2 5" xfId="22805" xr:uid="{00000000-0005-0000-0000-0000A3550000}"/>
    <cellStyle name="Normal 51 6 3" xfId="4774" xr:uid="{00000000-0005-0000-0000-0000A4550000}"/>
    <cellStyle name="Normal 51 6 3 2" xfId="8762" xr:uid="{00000000-0005-0000-0000-0000A5550000}"/>
    <cellStyle name="Normal 51 6 3 2 2" xfId="18119" xr:uid="{00000000-0005-0000-0000-0000A6550000}"/>
    <cellStyle name="Normal 51 6 3 2 2 2" xfId="34693" xr:uid="{00000000-0005-0000-0000-0000A7550000}"/>
    <cellStyle name="Normal 51 6 3 2 3" xfId="26646" xr:uid="{00000000-0005-0000-0000-0000A8550000}"/>
    <cellStyle name="Normal 51 6 3 3" xfId="14304" xr:uid="{00000000-0005-0000-0000-0000A9550000}"/>
    <cellStyle name="Normal 51 6 3 3 2" xfId="30850" xr:uid="{00000000-0005-0000-0000-0000AA550000}"/>
    <cellStyle name="Normal 51 6 3 4" xfId="22807" xr:uid="{00000000-0005-0000-0000-0000AB550000}"/>
    <cellStyle name="Normal 51 6 4" xfId="8763" xr:uid="{00000000-0005-0000-0000-0000AC550000}"/>
    <cellStyle name="Normal 51 6 4 2" xfId="18120" xr:uid="{00000000-0005-0000-0000-0000AD550000}"/>
    <cellStyle name="Normal 51 6 4 2 2" xfId="34694" xr:uid="{00000000-0005-0000-0000-0000AE550000}"/>
    <cellStyle name="Normal 51 6 4 3" xfId="26647" xr:uid="{00000000-0005-0000-0000-0000AF550000}"/>
    <cellStyle name="Normal 51 6 5" xfId="14301" xr:uid="{00000000-0005-0000-0000-0000B0550000}"/>
    <cellStyle name="Normal 51 6 5 2" xfId="30847" xr:uid="{00000000-0005-0000-0000-0000B1550000}"/>
    <cellStyle name="Normal 51 6 6" xfId="22804" xr:uid="{00000000-0005-0000-0000-0000B2550000}"/>
    <cellStyle name="Normal 51 7" xfId="4775" xr:uid="{00000000-0005-0000-0000-0000B3550000}"/>
    <cellStyle name="Normal 51 7 2" xfId="4776" xr:uid="{00000000-0005-0000-0000-0000B4550000}"/>
    <cellStyle name="Normal 51 7 2 2" xfId="8764" xr:uid="{00000000-0005-0000-0000-0000B5550000}"/>
    <cellStyle name="Normal 51 7 2 2 2" xfId="18121" xr:uid="{00000000-0005-0000-0000-0000B6550000}"/>
    <cellStyle name="Normal 51 7 2 2 2 2" xfId="34695" xr:uid="{00000000-0005-0000-0000-0000B7550000}"/>
    <cellStyle name="Normal 51 7 2 2 3" xfId="26648" xr:uid="{00000000-0005-0000-0000-0000B8550000}"/>
    <cellStyle name="Normal 51 7 2 3" xfId="14306" xr:uid="{00000000-0005-0000-0000-0000B9550000}"/>
    <cellStyle name="Normal 51 7 2 3 2" xfId="30852" xr:uid="{00000000-0005-0000-0000-0000BA550000}"/>
    <cellStyle name="Normal 51 7 2 4" xfId="22809" xr:uid="{00000000-0005-0000-0000-0000BB550000}"/>
    <cellStyle name="Normal 51 7 3" xfId="8765" xr:uid="{00000000-0005-0000-0000-0000BC550000}"/>
    <cellStyle name="Normal 51 7 3 2" xfId="18122" xr:uid="{00000000-0005-0000-0000-0000BD550000}"/>
    <cellStyle name="Normal 51 7 3 2 2" xfId="34696" xr:uid="{00000000-0005-0000-0000-0000BE550000}"/>
    <cellStyle name="Normal 51 7 3 3" xfId="26649" xr:uid="{00000000-0005-0000-0000-0000BF550000}"/>
    <cellStyle name="Normal 51 7 4" xfId="14305" xr:uid="{00000000-0005-0000-0000-0000C0550000}"/>
    <cellStyle name="Normal 51 7 4 2" xfId="30851" xr:uid="{00000000-0005-0000-0000-0000C1550000}"/>
    <cellStyle name="Normal 51 7 5" xfId="22808" xr:uid="{00000000-0005-0000-0000-0000C2550000}"/>
    <cellStyle name="Normal 51 8" xfId="4777" xr:uid="{00000000-0005-0000-0000-0000C3550000}"/>
    <cellStyle name="Normal 51 8 2" xfId="8766" xr:uid="{00000000-0005-0000-0000-0000C4550000}"/>
    <cellStyle name="Normal 51 8 2 2" xfId="18123" xr:uid="{00000000-0005-0000-0000-0000C5550000}"/>
    <cellStyle name="Normal 51 8 2 2 2" xfId="34697" xr:uid="{00000000-0005-0000-0000-0000C6550000}"/>
    <cellStyle name="Normal 51 8 2 3" xfId="26650" xr:uid="{00000000-0005-0000-0000-0000C7550000}"/>
    <cellStyle name="Normal 51 8 3" xfId="14307" xr:uid="{00000000-0005-0000-0000-0000C8550000}"/>
    <cellStyle name="Normal 51 8 3 2" xfId="30853" xr:uid="{00000000-0005-0000-0000-0000C9550000}"/>
    <cellStyle name="Normal 51 8 4" xfId="22810" xr:uid="{00000000-0005-0000-0000-0000CA550000}"/>
    <cellStyle name="Normal 51 9" xfId="8767" xr:uid="{00000000-0005-0000-0000-0000CB550000}"/>
    <cellStyle name="Normal 51 9 2" xfId="18124" xr:uid="{00000000-0005-0000-0000-0000CC550000}"/>
    <cellStyle name="Normal 51 9 2 2" xfId="34698" xr:uid="{00000000-0005-0000-0000-0000CD550000}"/>
    <cellStyle name="Normal 51 9 3" xfId="26651" xr:uid="{00000000-0005-0000-0000-0000CE550000}"/>
    <cellStyle name="Normal 52" xfId="4778" xr:uid="{00000000-0005-0000-0000-0000CF550000}"/>
    <cellStyle name="Normal 52 10" xfId="14308" xr:uid="{00000000-0005-0000-0000-0000D0550000}"/>
    <cellStyle name="Normal 52 10 2" xfId="30854" xr:uid="{00000000-0005-0000-0000-0000D1550000}"/>
    <cellStyle name="Normal 52 11" xfId="22811" xr:uid="{00000000-0005-0000-0000-0000D2550000}"/>
    <cellStyle name="Normal 52 2" xfId="4779" xr:uid="{00000000-0005-0000-0000-0000D3550000}"/>
    <cellStyle name="Normal 52 2 2" xfId="4780" xr:uid="{00000000-0005-0000-0000-0000D4550000}"/>
    <cellStyle name="Normal 52 2 3" xfId="14309" xr:uid="{00000000-0005-0000-0000-0000D5550000}"/>
    <cellStyle name="Normal 52 2 3 2" xfId="30855" xr:uid="{00000000-0005-0000-0000-0000D6550000}"/>
    <cellStyle name="Normal 52 2 4" xfId="22812" xr:uid="{00000000-0005-0000-0000-0000D7550000}"/>
    <cellStyle name="Normal 52 3" xfId="4781" xr:uid="{00000000-0005-0000-0000-0000D8550000}"/>
    <cellStyle name="Normal 52 3 2" xfId="4782" xr:uid="{00000000-0005-0000-0000-0000D9550000}"/>
    <cellStyle name="Normal 52 3 2 2" xfId="4783" xr:uid="{00000000-0005-0000-0000-0000DA550000}"/>
    <cellStyle name="Normal 52 3 2 2 2" xfId="4784" xr:uid="{00000000-0005-0000-0000-0000DB550000}"/>
    <cellStyle name="Normal 52 3 2 2 2 2" xfId="8768" xr:uid="{00000000-0005-0000-0000-0000DC550000}"/>
    <cellStyle name="Normal 52 3 2 2 2 2 2" xfId="18125" xr:uid="{00000000-0005-0000-0000-0000DD550000}"/>
    <cellStyle name="Normal 52 3 2 2 2 2 2 2" xfId="34699" xr:uid="{00000000-0005-0000-0000-0000DE550000}"/>
    <cellStyle name="Normal 52 3 2 2 2 2 3" xfId="26652" xr:uid="{00000000-0005-0000-0000-0000DF550000}"/>
    <cellStyle name="Normal 52 3 2 2 2 3" xfId="14312" xr:uid="{00000000-0005-0000-0000-0000E0550000}"/>
    <cellStyle name="Normal 52 3 2 2 2 3 2" xfId="30858" xr:uid="{00000000-0005-0000-0000-0000E1550000}"/>
    <cellStyle name="Normal 52 3 2 2 2 4" xfId="22815" xr:uid="{00000000-0005-0000-0000-0000E2550000}"/>
    <cellStyle name="Normal 52 3 2 2 3" xfId="8769" xr:uid="{00000000-0005-0000-0000-0000E3550000}"/>
    <cellStyle name="Normal 52 3 2 2 3 2" xfId="18126" xr:uid="{00000000-0005-0000-0000-0000E4550000}"/>
    <cellStyle name="Normal 52 3 2 2 3 2 2" xfId="34700" xr:uid="{00000000-0005-0000-0000-0000E5550000}"/>
    <cellStyle name="Normal 52 3 2 2 3 3" xfId="26653" xr:uid="{00000000-0005-0000-0000-0000E6550000}"/>
    <cellStyle name="Normal 52 3 2 2 4" xfId="14311" xr:uid="{00000000-0005-0000-0000-0000E7550000}"/>
    <cellStyle name="Normal 52 3 2 2 4 2" xfId="30857" xr:uid="{00000000-0005-0000-0000-0000E8550000}"/>
    <cellStyle name="Normal 52 3 2 2 5" xfId="22814" xr:uid="{00000000-0005-0000-0000-0000E9550000}"/>
    <cellStyle name="Normal 52 3 2 3" xfId="4785" xr:uid="{00000000-0005-0000-0000-0000EA550000}"/>
    <cellStyle name="Normal 52 3 2 3 2" xfId="8770" xr:uid="{00000000-0005-0000-0000-0000EB550000}"/>
    <cellStyle name="Normal 52 3 2 3 2 2" xfId="18127" xr:uid="{00000000-0005-0000-0000-0000EC550000}"/>
    <cellStyle name="Normal 52 3 2 3 2 2 2" xfId="34701" xr:uid="{00000000-0005-0000-0000-0000ED550000}"/>
    <cellStyle name="Normal 52 3 2 3 2 3" xfId="26654" xr:uid="{00000000-0005-0000-0000-0000EE550000}"/>
    <cellStyle name="Normal 52 3 2 3 3" xfId="14313" xr:uid="{00000000-0005-0000-0000-0000EF550000}"/>
    <cellStyle name="Normal 52 3 2 3 3 2" xfId="30859" xr:uid="{00000000-0005-0000-0000-0000F0550000}"/>
    <cellStyle name="Normal 52 3 2 3 4" xfId="22816" xr:uid="{00000000-0005-0000-0000-0000F1550000}"/>
    <cellStyle name="Normal 52 3 2 4" xfId="8771" xr:uid="{00000000-0005-0000-0000-0000F2550000}"/>
    <cellStyle name="Normal 52 3 2 4 2" xfId="18128" xr:uid="{00000000-0005-0000-0000-0000F3550000}"/>
    <cellStyle name="Normal 52 3 2 4 2 2" xfId="34702" xr:uid="{00000000-0005-0000-0000-0000F4550000}"/>
    <cellStyle name="Normal 52 3 2 4 3" xfId="26655" xr:uid="{00000000-0005-0000-0000-0000F5550000}"/>
    <cellStyle name="Normal 52 3 2 5" xfId="14310" xr:uid="{00000000-0005-0000-0000-0000F6550000}"/>
    <cellStyle name="Normal 52 3 2 5 2" xfId="30856" xr:uid="{00000000-0005-0000-0000-0000F7550000}"/>
    <cellStyle name="Normal 52 3 2 6" xfId="22813" xr:uid="{00000000-0005-0000-0000-0000F8550000}"/>
    <cellStyle name="Normal 52 3 3" xfId="4786" xr:uid="{00000000-0005-0000-0000-0000F9550000}"/>
    <cellStyle name="Normal 52 3 3 2" xfId="4787" xr:uid="{00000000-0005-0000-0000-0000FA550000}"/>
    <cellStyle name="Normal 52 3 3 2 2" xfId="8772" xr:uid="{00000000-0005-0000-0000-0000FB550000}"/>
    <cellStyle name="Normal 52 3 3 2 2 2" xfId="18129" xr:uid="{00000000-0005-0000-0000-0000FC550000}"/>
    <cellStyle name="Normal 52 3 3 2 2 2 2" xfId="34703" xr:uid="{00000000-0005-0000-0000-0000FD550000}"/>
    <cellStyle name="Normal 52 3 3 2 2 3" xfId="26656" xr:uid="{00000000-0005-0000-0000-0000FE550000}"/>
    <cellStyle name="Normal 52 3 3 2 3" xfId="14315" xr:uid="{00000000-0005-0000-0000-0000FF550000}"/>
    <cellStyle name="Normal 52 3 3 2 3 2" xfId="30861" xr:uid="{00000000-0005-0000-0000-000000560000}"/>
    <cellStyle name="Normal 52 3 3 2 4" xfId="22818" xr:uid="{00000000-0005-0000-0000-000001560000}"/>
    <cellStyle name="Normal 52 3 3 3" xfId="8773" xr:uid="{00000000-0005-0000-0000-000002560000}"/>
    <cellStyle name="Normal 52 3 3 3 2" xfId="18130" xr:uid="{00000000-0005-0000-0000-000003560000}"/>
    <cellStyle name="Normal 52 3 3 3 2 2" xfId="34704" xr:uid="{00000000-0005-0000-0000-000004560000}"/>
    <cellStyle name="Normal 52 3 3 3 3" xfId="26657" xr:uid="{00000000-0005-0000-0000-000005560000}"/>
    <cellStyle name="Normal 52 3 3 4" xfId="14314" xr:uid="{00000000-0005-0000-0000-000006560000}"/>
    <cellStyle name="Normal 52 3 3 4 2" xfId="30860" xr:uid="{00000000-0005-0000-0000-000007560000}"/>
    <cellStyle name="Normal 52 3 3 5" xfId="22817" xr:uid="{00000000-0005-0000-0000-000008560000}"/>
    <cellStyle name="Normal 52 3 4" xfId="4788" xr:uid="{00000000-0005-0000-0000-000009560000}"/>
    <cellStyle name="Normal 52 3 4 2" xfId="8774" xr:uid="{00000000-0005-0000-0000-00000A560000}"/>
    <cellStyle name="Normal 52 3 4 2 2" xfId="18131" xr:uid="{00000000-0005-0000-0000-00000B560000}"/>
    <cellStyle name="Normal 52 3 4 2 2 2" xfId="34705" xr:uid="{00000000-0005-0000-0000-00000C560000}"/>
    <cellStyle name="Normal 52 3 4 2 3" xfId="26658" xr:uid="{00000000-0005-0000-0000-00000D560000}"/>
    <cellStyle name="Normal 52 3 4 3" xfId="14316" xr:uid="{00000000-0005-0000-0000-00000E560000}"/>
    <cellStyle name="Normal 52 3 4 3 2" xfId="30862" xr:uid="{00000000-0005-0000-0000-00000F560000}"/>
    <cellStyle name="Normal 52 3 4 4" xfId="22819" xr:uid="{00000000-0005-0000-0000-000010560000}"/>
    <cellStyle name="Normal 52 3 5" xfId="4789" xr:uid="{00000000-0005-0000-0000-000011560000}"/>
    <cellStyle name="Normal 52 3 5 2" xfId="14317" xr:uid="{00000000-0005-0000-0000-000012560000}"/>
    <cellStyle name="Normal 52 3 5 2 2" xfId="30863" xr:uid="{00000000-0005-0000-0000-000013560000}"/>
    <cellStyle name="Normal 52 3 5 3" xfId="22820" xr:uid="{00000000-0005-0000-0000-000014560000}"/>
    <cellStyle name="Normal 52 4" xfId="4790" xr:uid="{00000000-0005-0000-0000-000015560000}"/>
    <cellStyle name="Normal 52 4 2" xfId="4791" xr:uid="{00000000-0005-0000-0000-000016560000}"/>
    <cellStyle name="Normal 52 4 2 2" xfId="4792" xr:uid="{00000000-0005-0000-0000-000017560000}"/>
    <cellStyle name="Normal 52 4 2 2 2" xfId="4793" xr:uid="{00000000-0005-0000-0000-000018560000}"/>
    <cellStyle name="Normal 52 4 2 2 2 2" xfId="8775" xr:uid="{00000000-0005-0000-0000-000019560000}"/>
    <cellStyle name="Normal 52 4 2 2 2 2 2" xfId="18132" xr:uid="{00000000-0005-0000-0000-00001A560000}"/>
    <cellStyle name="Normal 52 4 2 2 2 2 2 2" xfId="34706" xr:uid="{00000000-0005-0000-0000-00001B560000}"/>
    <cellStyle name="Normal 52 4 2 2 2 2 3" xfId="26659" xr:uid="{00000000-0005-0000-0000-00001C560000}"/>
    <cellStyle name="Normal 52 4 2 2 2 3" xfId="14321" xr:uid="{00000000-0005-0000-0000-00001D560000}"/>
    <cellStyle name="Normal 52 4 2 2 2 3 2" xfId="30867" xr:uid="{00000000-0005-0000-0000-00001E560000}"/>
    <cellStyle name="Normal 52 4 2 2 2 4" xfId="22824" xr:uid="{00000000-0005-0000-0000-00001F560000}"/>
    <cellStyle name="Normal 52 4 2 2 3" xfId="8776" xr:uid="{00000000-0005-0000-0000-000020560000}"/>
    <cellStyle name="Normal 52 4 2 2 3 2" xfId="18133" xr:uid="{00000000-0005-0000-0000-000021560000}"/>
    <cellStyle name="Normal 52 4 2 2 3 2 2" xfId="34707" xr:uid="{00000000-0005-0000-0000-000022560000}"/>
    <cellStyle name="Normal 52 4 2 2 3 3" xfId="26660" xr:uid="{00000000-0005-0000-0000-000023560000}"/>
    <cellStyle name="Normal 52 4 2 2 4" xfId="14320" xr:uid="{00000000-0005-0000-0000-000024560000}"/>
    <cellStyle name="Normal 52 4 2 2 4 2" xfId="30866" xr:uid="{00000000-0005-0000-0000-000025560000}"/>
    <cellStyle name="Normal 52 4 2 2 5" xfId="22823" xr:uid="{00000000-0005-0000-0000-000026560000}"/>
    <cellStyle name="Normal 52 4 2 3" xfId="4794" xr:uid="{00000000-0005-0000-0000-000027560000}"/>
    <cellStyle name="Normal 52 4 2 3 2" xfId="8777" xr:uid="{00000000-0005-0000-0000-000028560000}"/>
    <cellStyle name="Normal 52 4 2 3 2 2" xfId="18134" xr:uid="{00000000-0005-0000-0000-000029560000}"/>
    <cellStyle name="Normal 52 4 2 3 2 2 2" xfId="34708" xr:uid="{00000000-0005-0000-0000-00002A560000}"/>
    <cellStyle name="Normal 52 4 2 3 2 3" xfId="26661" xr:uid="{00000000-0005-0000-0000-00002B560000}"/>
    <cellStyle name="Normal 52 4 2 3 3" xfId="14322" xr:uid="{00000000-0005-0000-0000-00002C560000}"/>
    <cellStyle name="Normal 52 4 2 3 3 2" xfId="30868" xr:uid="{00000000-0005-0000-0000-00002D560000}"/>
    <cellStyle name="Normal 52 4 2 3 4" xfId="22825" xr:uid="{00000000-0005-0000-0000-00002E560000}"/>
    <cellStyle name="Normal 52 4 2 4" xfId="8778" xr:uid="{00000000-0005-0000-0000-00002F560000}"/>
    <cellStyle name="Normal 52 4 2 4 2" xfId="18135" xr:uid="{00000000-0005-0000-0000-000030560000}"/>
    <cellStyle name="Normal 52 4 2 4 2 2" xfId="34709" xr:uid="{00000000-0005-0000-0000-000031560000}"/>
    <cellStyle name="Normal 52 4 2 4 3" xfId="26662" xr:uid="{00000000-0005-0000-0000-000032560000}"/>
    <cellStyle name="Normal 52 4 2 5" xfId="14319" xr:uid="{00000000-0005-0000-0000-000033560000}"/>
    <cellStyle name="Normal 52 4 2 5 2" xfId="30865" xr:uid="{00000000-0005-0000-0000-000034560000}"/>
    <cellStyle name="Normal 52 4 2 6" xfId="22822" xr:uid="{00000000-0005-0000-0000-000035560000}"/>
    <cellStyle name="Normal 52 4 3" xfId="4795" xr:uid="{00000000-0005-0000-0000-000036560000}"/>
    <cellStyle name="Normal 52 4 3 2" xfId="4796" xr:uid="{00000000-0005-0000-0000-000037560000}"/>
    <cellStyle name="Normal 52 4 3 2 2" xfId="8779" xr:uid="{00000000-0005-0000-0000-000038560000}"/>
    <cellStyle name="Normal 52 4 3 2 2 2" xfId="18136" xr:uid="{00000000-0005-0000-0000-000039560000}"/>
    <cellStyle name="Normal 52 4 3 2 2 2 2" xfId="34710" xr:uid="{00000000-0005-0000-0000-00003A560000}"/>
    <cellStyle name="Normal 52 4 3 2 2 3" xfId="26663" xr:uid="{00000000-0005-0000-0000-00003B560000}"/>
    <cellStyle name="Normal 52 4 3 2 3" xfId="14324" xr:uid="{00000000-0005-0000-0000-00003C560000}"/>
    <cellStyle name="Normal 52 4 3 2 3 2" xfId="30870" xr:uid="{00000000-0005-0000-0000-00003D560000}"/>
    <cellStyle name="Normal 52 4 3 2 4" xfId="22827" xr:uid="{00000000-0005-0000-0000-00003E560000}"/>
    <cellStyle name="Normal 52 4 3 3" xfId="8780" xr:uid="{00000000-0005-0000-0000-00003F560000}"/>
    <cellStyle name="Normal 52 4 3 3 2" xfId="18137" xr:uid="{00000000-0005-0000-0000-000040560000}"/>
    <cellStyle name="Normal 52 4 3 3 2 2" xfId="34711" xr:uid="{00000000-0005-0000-0000-000041560000}"/>
    <cellStyle name="Normal 52 4 3 3 3" xfId="26664" xr:uid="{00000000-0005-0000-0000-000042560000}"/>
    <cellStyle name="Normal 52 4 3 4" xfId="14323" xr:uid="{00000000-0005-0000-0000-000043560000}"/>
    <cellStyle name="Normal 52 4 3 4 2" xfId="30869" xr:uid="{00000000-0005-0000-0000-000044560000}"/>
    <cellStyle name="Normal 52 4 3 5" xfId="22826" xr:uid="{00000000-0005-0000-0000-000045560000}"/>
    <cellStyle name="Normal 52 4 4" xfId="4797" xr:uid="{00000000-0005-0000-0000-000046560000}"/>
    <cellStyle name="Normal 52 4 4 2" xfId="8781" xr:uid="{00000000-0005-0000-0000-000047560000}"/>
    <cellStyle name="Normal 52 4 4 2 2" xfId="18138" xr:uid="{00000000-0005-0000-0000-000048560000}"/>
    <cellStyle name="Normal 52 4 4 2 2 2" xfId="34712" xr:uid="{00000000-0005-0000-0000-000049560000}"/>
    <cellStyle name="Normal 52 4 4 2 3" xfId="26665" xr:uid="{00000000-0005-0000-0000-00004A560000}"/>
    <cellStyle name="Normal 52 4 4 3" xfId="14325" xr:uid="{00000000-0005-0000-0000-00004B560000}"/>
    <cellStyle name="Normal 52 4 4 3 2" xfId="30871" xr:uid="{00000000-0005-0000-0000-00004C560000}"/>
    <cellStyle name="Normal 52 4 4 4" xfId="22828" xr:uid="{00000000-0005-0000-0000-00004D560000}"/>
    <cellStyle name="Normal 52 4 5" xfId="8782" xr:uid="{00000000-0005-0000-0000-00004E560000}"/>
    <cellStyle name="Normal 52 4 5 2" xfId="18139" xr:uid="{00000000-0005-0000-0000-00004F560000}"/>
    <cellStyle name="Normal 52 4 5 2 2" xfId="34713" xr:uid="{00000000-0005-0000-0000-000050560000}"/>
    <cellStyle name="Normal 52 4 5 3" xfId="26666" xr:uid="{00000000-0005-0000-0000-000051560000}"/>
    <cellStyle name="Normal 52 4 6" xfId="14318" xr:uid="{00000000-0005-0000-0000-000052560000}"/>
    <cellStyle name="Normal 52 4 6 2" xfId="30864" xr:uid="{00000000-0005-0000-0000-000053560000}"/>
    <cellStyle name="Normal 52 4 7" xfId="22821" xr:uid="{00000000-0005-0000-0000-000054560000}"/>
    <cellStyle name="Normal 52 5" xfId="4798" xr:uid="{00000000-0005-0000-0000-000055560000}"/>
    <cellStyle name="Normal 52 5 2" xfId="4799" xr:uid="{00000000-0005-0000-0000-000056560000}"/>
    <cellStyle name="Normal 52 5 2 2" xfId="4800" xr:uid="{00000000-0005-0000-0000-000057560000}"/>
    <cellStyle name="Normal 52 5 2 2 2" xfId="4801" xr:uid="{00000000-0005-0000-0000-000058560000}"/>
    <cellStyle name="Normal 52 5 2 2 2 2" xfId="8783" xr:uid="{00000000-0005-0000-0000-000059560000}"/>
    <cellStyle name="Normal 52 5 2 2 2 2 2" xfId="18140" xr:uid="{00000000-0005-0000-0000-00005A560000}"/>
    <cellStyle name="Normal 52 5 2 2 2 2 2 2" xfId="34714" xr:uid="{00000000-0005-0000-0000-00005B560000}"/>
    <cellStyle name="Normal 52 5 2 2 2 2 3" xfId="26667" xr:uid="{00000000-0005-0000-0000-00005C560000}"/>
    <cellStyle name="Normal 52 5 2 2 2 3" xfId="14329" xr:uid="{00000000-0005-0000-0000-00005D560000}"/>
    <cellStyle name="Normal 52 5 2 2 2 3 2" xfId="30875" xr:uid="{00000000-0005-0000-0000-00005E560000}"/>
    <cellStyle name="Normal 52 5 2 2 2 4" xfId="22832" xr:uid="{00000000-0005-0000-0000-00005F560000}"/>
    <cellStyle name="Normal 52 5 2 2 3" xfId="8784" xr:uid="{00000000-0005-0000-0000-000060560000}"/>
    <cellStyle name="Normal 52 5 2 2 3 2" xfId="18141" xr:uid="{00000000-0005-0000-0000-000061560000}"/>
    <cellStyle name="Normal 52 5 2 2 3 2 2" xfId="34715" xr:uid="{00000000-0005-0000-0000-000062560000}"/>
    <cellStyle name="Normal 52 5 2 2 3 3" xfId="26668" xr:uid="{00000000-0005-0000-0000-000063560000}"/>
    <cellStyle name="Normal 52 5 2 2 4" xfId="14328" xr:uid="{00000000-0005-0000-0000-000064560000}"/>
    <cellStyle name="Normal 52 5 2 2 4 2" xfId="30874" xr:uid="{00000000-0005-0000-0000-000065560000}"/>
    <cellStyle name="Normal 52 5 2 2 5" xfId="22831" xr:uid="{00000000-0005-0000-0000-000066560000}"/>
    <cellStyle name="Normal 52 5 2 3" xfId="4802" xr:uid="{00000000-0005-0000-0000-000067560000}"/>
    <cellStyle name="Normal 52 5 2 3 2" xfId="8785" xr:uid="{00000000-0005-0000-0000-000068560000}"/>
    <cellStyle name="Normal 52 5 2 3 2 2" xfId="18142" xr:uid="{00000000-0005-0000-0000-000069560000}"/>
    <cellStyle name="Normal 52 5 2 3 2 2 2" xfId="34716" xr:uid="{00000000-0005-0000-0000-00006A560000}"/>
    <cellStyle name="Normal 52 5 2 3 2 3" xfId="26669" xr:uid="{00000000-0005-0000-0000-00006B560000}"/>
    <cellStyle name="Normal 52 5 2 3 3" xfId="14330" xr:uid="{00000000-0005-0000-0000-00006C560000}"/>
    <cellStyle name="Normal 52 5 2 3 3 2" xfId="30876" xr:uid="{00000000-0005-0000-0000-00006D560000}"/>
    <cellStyle name="Normal 52 5 2 3 4" xfId="22833" xr:uid="{00000000-0005-0000-0000-00006E560000}"/>
    <cellStyle name="Normal 52 5 2 4" xfId="8786" xr:uid="{00000000-0005-0000-0000-00006F560000}"/>
    <cellStyle name="Normal 52 5 2 4 2" xfId="18143" xr:uid="{00000000-0005-0000-0000-000070560000}"/>
    <cellStyle name="Normal 52 5 2 4 2 2" xfId="34717" xr:uid="{00000000-0005-0000-0000-000071560000}"/>
    <cellStyle name="Normal 52 5 2 4 3" xfId="26670" xr:uid="{00000000-0005-0000-0000-000072560000}"/>
    <cellStyle name="Normal 52 5 2 5" xfId="14327" xr:uid="{00000000-0005-0000-0000-000073560000}"/>
    <cellStyle name="Normal 52 5 2 5 2" xfId="30873" xr:uid="{00000000-0005-0000-0000-000074560000}"/>
    <cellStyle name="Normal 52 5 2 6" xfId="22830" xr:uid="{00000000-0005-0000-0000-000075560000}"/>
    <cellStyle name="Normal 52 5 3" xfId="4803" xr:uid="{00000000-0005-0000-0000-000076560000}"/>
    <cellStyle name="Normal 52 5 3 2" xfId="4804" xr:uid="{00000000-0005-0000-0000-000077560000}"/>
    <cellStyle name="Normal 52 5 3 2 2" xfId="8787" xr:uid="{00000000-0005-0000-0000-000078560000}"/>
    <cellStyle name="Normal 52 5 3 2 2 2" xfId="18144" xr:uid="{00000000-0005-0000-0000-000079560000}"/>
    <cellStyle name="Normal 52 5 3 2 2 2 2" xfId="34718" xr:uid="{00000000-0005-0000-0000-00007A560000}"/>
    <cellStyle name="Normal 52 5 3 2 2 3" xfId="26671" xr:uid="{00000000-0005-0000-0000-00007B560000}"/>
    <cellStyle name="Normal 52 5 3 2 3" xfId="14332" xr:uid="{00000000-0005-0000-0000-00007C560000}"/>
    <cellStyle name="Normal 52 5 3 2 3 2" xfId="30878" xr:uid="{00000000-0005-0000-0000-00007D560000}"/>
    <cellStyle name="Normal 52 5 3 2 4" xfId="22835" xr:uid="{00000000-0005-0000-0000-00007E560000}"/>
    <cellStyle name="Normal 52 5 3 3" xfId="8788" xr:uid="{00000000-0005-0000-0000-00007F560000}"/>
    <cellStyle name="Normal 52 5 3 3 2" xfId="18145" xr:uid="{00000000-0005-0000-0000-000080560000}"/>
    <cellStyle name="Normal 52 5 3 3 2 2" xfId="34719" xr:uid="{00000000-0005-0000-0000-000081560000}"/>
    <cellStyle name="Normal 52 5 3 3 3" xfId="26672" xr:uid="{00000000-0005-0000-0000-000082560000}"/>
    <cellStyle name="Normal 52 5 3 4" xfId="14331" xr:uid="{00000000-0005-0000-0000-000083560000}"/>
    <cellStyle name="Normal 52 5 3 4 2" xfId="30877" xr:uid="{00000000-0005-0000-0000-000084560000}"/>
    <cellStyle name="Normal 52 5 3 5" xfId="22834" xr:uid="{00000000-0005-0000-0000-000085560000}"/>
    <cellStyle name="Normal 52 5 4" xfId="4805" xr:uid="{00000000-0005-0000-0000-000086560000}"/>
    <cellStyle name="Normal 52 5 4 2" xfId="8789" xr:uid="{00000000-0005-0000-0000-000087560000}"/>
    <cellStyle name="Normal 52 5 4 2 2" xfId="18146" xr:uid="{00000000-0005-0000-0000-000088560000}"/>
    <cellStyle name="Normal 52 5 4 2 2 2" xfId="34720" xr:uid="{00000000-0005-0000-0000-000089560000}"/>
    <cellStyle name="Normal 52 5 4 2 3" xfId="26673" xr:uid="{00000000-0005-0000-0000-00008A560000}"/>
    <cellStyle name="Normal 52 5 4 3" xfId="14333" xr:uid="{00000000-0005-0000-0000-00008B560000}"/>
    <cellStyle name="Normal 52 5 4 3 2" xfId="30879" xr:uid="{00000000-0005-0000-0000-00008C560000}"/>
    <cellStyle name="Normal 52 5 4 4" xfId="22836" xr:uid="{00000000-0005-0000-0000-00008D560000}"/>
    <cellStyle name="Normal 52 5 5" xfId="8790" xr:uid="{00000000-0005-0000-0000-00008E560000}"/>
    <cellStyle name="Normal 52 5 5 2" xfId="18147" xr:uid="{00000000-0005-0000-0000-00008F560000}"/>
    <cellStyle name="Normal 52 5 5 2 2" xfId="34721" xr:uid="{00000000-0005-0000-0000-000090560000}"/>
    <cellStyle name="Normal 52 5 5 3" xfId="26674" xr:uid="{00000000-0005-0000-0000-000091560000}"/>
    <cellStyle name="Normal 52 5 6" xfId="14326" xr:uid="{00000000-0005-0000-0000-000092560000}"/>
    <cellStyle name="Normal 52 5 6 2" xfId="30872" xr:uid="{00000000-0005-0000-0000-000093560000}"/>
    <cellStyle name="Normal 52 5 7" xfId="22829" xr:uid="{00000000-0005-0000-0000-000094560000}"/>
    <cellStyle name="Normal 52 6" xfId="4806" xr:uid="{00000000-0005-0000-0000-000095560000}"/>
    <cellStyle name="Normal 52 6 2" xfId="4807" xr:uid="{00000000-0005-0000-0000-000096560000}"/>
    <cellStyle name="Normal 52 6 2 2" xfId="4808" xr:uid="{00000000-0005-0000-0000-000097560000}"/>
    <cellStyle name="Normal 52 6 2 2 2" xfId="8791" xr:uid="{00000000-0005-0000-0000-000098560000}"/>
    <cellStyle name="Normal 52 6 2 2 2 2" xfId="18148" xr:uid="{00000000-0005-0000-0000-000099560000}"/>
    <cellStyle name="Normal 52 6 2 2 2 2 2" xfId="34722" xr:uid="{00000000-0005-0000-0000-00009A560000}"/>
    <cellStyle name="Normal 52 6 2 2 2 3" xfId="26675" xr:uid="{00000000-0005-0000-0000-00009B560000}"/>
    <cellStyle name="Normal 52 6 2 2 3" xfId="14336" xr:uid="{00000000-0005-0000-0000-00009C560000}"/>
    <cellStyle name="Normal 52 6 2 2 3 2" xfId="30882" xr:uid="{00000000-0005-0000-0000-00009D560000}"/>
    <cellStyle name="Normal 52 6 2 2 4" xfId="22839" xr:uid="{00000000-0005-0000-0000-00009E560000}"/>
    <cellStyle name="Normal 52 6 2 3" xfId="8792" xr:uid="{00000000-0005-0000-0000-00009F560000}"/>
    <cellStyle name="Normal 52 6 2 3 2" xfId="18149" xr:uid="{00000000-0005-0000-0000-0000A0560000}"/>
    <cellStyle name="Normal 52 6 2 3 2 2" xfId="34723" xr:uid="{00000000-0005-0000-0000-0000A1560000}"/>
    <cellStyle name="Normal 52 6 2 3 3" xfId="26676" xr:uid="{00000000-0005-0000-0000-0000A2560000}"/>
    <cellStyle name="Normal 52 6 2 4" xfId="14335" xr:uid="{00000000-0005-0000-0000-0000A3560000}"/>
    <cellStyle name="Normal 52 6 2 4 2" xfId="30881" xr:uid="{00000000-0005-0000-0000-0000A4560000}"/>
    <cellStyle name="Normal 52 6 2 5" xfId="22838" xr:uid="{00000000-0005-0000-0000-0000A5560000}"/>
    <cellStyle name="Normal 52 6 3" xfId="4809" xr:uid="{00000000-0005-0000-0000-0000A6560000}"/>
    <cellStyle name="Normal 52 6 3 2" xfId="8793" xr:uid="{00000000-0005-0000-0000-0000A7560000}"/>
    <cellStyle name="Normal 52 6 3 2 2" xfId="18150" xr:uid="{00000000-0005-0000-0000-0000A8560000}"/>
    <cellStyle name="Normal 52 6 3 2 2 2" xfId="34724" xr:uid="{00000000-0005-0000-0000-0000A9560000}"/>
    <cellStyle name="Normal 52 6 3 2 3" xfId="26677" xr:uid="{00000000-0005-0000-0000-0000AA560000}"/>
    <cellStyle name="Normal 52 6 3 3" xfId="14337" xr:uid="{00000000-0005-0000-0000-0000AB560000}"/>
    <cellStyle name="Normal 52 6 3 3 2" xfId="30883" xr:uid="{00000000-0005-0000-0000-0000AC560000}"/>
    <cellStyle name="Normal 52 6 3 4" xfId="22840" xr:uid="{00000000-0005-0000-0000-0000AD560000}"/>
    <cellStyle name="Normal 52 6 4" xfId="8794" xr:uid="{00000000-0005-0000-0000-0000AE560000}"/>
    <cellStyle name="Normal 52 6 4 2" xfId="18151" xr:uid="{00000000-0005-0000-0000-0000AF560000}"/>
    <cellStyle name="Normal 52 6 4 2 2" xfId="34725" xr:uid="{00000000-0005-0000-0000-0000B0560000}"/>
    <cellStyle name="Normal 52 6 4 3" xfId="26678" xr:uid="{00000000-0005-0000-0000-0000B1560000}"/>
    <cellStyle name="Normal 52 6 5" xfId="14334" xr:uid="{00000000-0005-0000-0000-0000B2560000}"/>
    <cellStyle name="Normal 52 6 5 2" xfId="30880" xr:uid="{00000000-0005-0000-0000-0000B3560000}"/>
    <cellStyle name="Normal 52 6 6" xfId="22837" xr:uid="{00000000-0005-0000-0000-0000B4560000}"/>
    <cellStyle name="Normal 52 7" xfId="4810" xr:uid="{00000000-0005-0000-0000-0000B5560000}"/>
    <cellStyle name="Normal 52 7 2" xfId="4811" xr:uid="{00000000-0005-0000-0000-0000B6560000}"/>
    <cellStyle name="Normal 52 7 2 2" xfId="8795" xr:uid="{00000000-0005-0000-0000-0000B7560000}"/>
    <cellStyle name="Normal 52 7 2 2 2" xfId="18152" xr:uid="{00000000-0005-0000-0000-0000B8560000}"/>
    <cellStyle name="Normal 52 7 2 2 2 2" xfId="34726" xr:uid="{00000000-0005-0000-0000-0000B9560000}"/>
    <cellStyle name="Normal 52 7 2 2 3" xfId="26679" xr:uid="{00000000-0005-0000-0000-0000BA560000}"/>
    <cellStyle name="Normal 52 7 2 3" xfId="14339" xr:uid="{00000000-0005-0000-0000-0000BB560000}"/>
    <cellStyle name="Normal 52 7 2 3 2" xfId="30885" xr:uid="{00000000-0005-0000-0000-0000BC560000}"/>
    <cellStyle name="Normal 52 7 2 4" xfId="22842" xr:uid="{00000000-0005-0000-0000-0000BD560000}"/>
    <cellStyle name="Normal 52 7 3" xfId="8796" xr:uid="{00000000-0005-0000-0000-0000BE560000}"/>
    <cellStyle name="Normal 52 7 3 2" xfId="18153" xr:uid="{00000000-0005-0000-0000-0000BF560000}"/>
    <cellStyle name="Normal 52 7 3 2 2" xfId="34727" xr:uid="{00000000-0005-0000-0000-0000C0560000}"/>
    <cellStyle name="Normal 52 7 3 3" xfId="26680" xr:uid="{00000000-0005-0000-0000-0000C1560000}"/>
    <cellStyle name="Normal 52 7 4" xfId="14338" xr:uid="{00000000-0005-0000-0000-0000C2560000}"/>
    <cellStyle name="Normal 52 7 4 2" xfId="30884" xr:uid="{00000000-0005-0000-0000-0000C3560000}"/>
    <cellStyle name="Normal 52 7 5" xfId="22841" xr:uid="{00000000-0005-0000-0000-0000C4560000}"/>
    <cellStyle name="Normal 52 8" xfId="4812" xr:uid="{00000000-0005-0000-0000-0000C5560000}"/>
    <cellStyle name="Normal 52 8 2" xfId="8797" xr:uid="{00000000-0005-0000-0000-0000C6560000}"/>
    <cellStyle name="Normal 52 8 2 2" xfId="18154" xr:uid="{00000000-0005-0000-0000-0000C7560000}"/>
    <cellStyle name="Normal 52 8 2 2 2" xfId="34728" xr:uid="{00000000-0005-0000-0000-0000C8560000}"/>
    <cellStyle name="Normal 52 8 2 3" xfId="26681" xr:uid="{00000000-0005-0000-0000-0000C9560000}"/>
    <cellStyle name="Normal 52 8 3" xfId="14340" xr:uid="{00000000-0005-0000-0000-0000CA560000}"/>
    <cellStyle name="Normal 52 8 3 2" xfId="30886" xr:uid="{00000000-0005-0000-0000-0000CB560000}"/>
    <cellStyle name="Normal 52 8 4" xfId="22843" xr:uid="{00000000-0005-0000-0000-0000CC560000}"/>
    <cellStyle name="Normal 52 9" xfId="8798" xr:uid="{00000000-0005-0000-0000-0000CD560000}"/>
    <cellStyle name="Normal 52 9 2" xfId="18155" xr:uid="{00000000-0005-0000-0000-0000CE560000}"/>
    <cellStyle name="Normal 52 9 2 2" xfId="34729" xr:uid="{00000000-0005-0000-0000-0000CF560000}"/>
    <cellStyle name="Normal 52 9 3" xfId="26682" xr:uid="{00000000-0005-0000-0000-0000D0560000}"/>
    <cellStyle name="Normal 53" xfId="4813" xr:uid="{00000000-0005-0000-0000-0000D1560000}"/>
    <cellStyle name="Normal 53 10" xfId="14341" xr:uid="{00000000-0005-0000-0000-0000D2560000}"/>
    <cellStyle name="Normal 53 10 2" xfId="30887" xr:uid="{00000000-0005-0000-0000-0000D3560000}"/>
    <cellStyle name="Normal 53 11" xfId="22844" xr:uid="{00000000-0005-0000-0000-0000D4560000}"/>
    <cellStyle name="Normal 53 2" xfId="4814" xr:uid="{00000000-0005-0000-0000-0000D5560000}"/>
    <cellStyle name="Normal 53 2 2" xfId="4815" xr:uid="{00000000-0005-0000-0000-0000D6560000}"/>
    <cellStyle name="Normal 53 2 3" xfId="14342" xr:uid="{00000000-0005-0000-0000-0000D7560000}"/>
    <cellStyle name="Normal 53 2 3 2" xfId="30888" xr:uid="{00000000-0005-0000-0000-0000D8560000}"/>
    <cellStyle name="Normal 53 2 4" xfId="22845" xr:uid="{00000000-0005-0000-0000-0000D9560000}"/>
    <cellStyle name="Normal 53 3" xfId="4816" xr:uid="{00000000-0005-0000-0000-0000DA560000}"/>
    <cellStyle name="Normal 53 3 2" xfId="4817" xr:uid="{00000000-0005-0000-0000-0000DB560000}"/>
    <cellStyle name="Normal 53 3 2 2" xfId="4818" xr:uid="{00000000-0005-0000-0000-0000DC560000}"/>
    <cellStyle name="Normal 53 3 2 2 2" xfId="4819" xr:uid="{00000000-0005-0000-0000-0000DD560000}"/>
    <cellStyle name="Normal 53 3 2 2 2 2" xfId="8799" xr:uid="{00000000-0005-0000-0000-0000DE560000}"/>
    <cellStyle name="Normal 53 3 2 2 2 2 2" xfId="18156" xr:uid="{00000000-0005-0000-0000-0000DF560000}"/>
    <cellStyle name="Normal 53 3 2 2 2 2 2 2" xfId="34730" xr:uid="{00000000-0005-0000-0000-0000E0560000}"/>
    <cellStyle name="Normal 53 3 2 2 2 2 3" xfId="26683" xr:uid="{00000000-0005-0000-0000-0000E1560000}"/>
    <cellStyle name="Normal 53 3 2 2 2 3" xfId="14345" xr:uid="{00000000-0005-0000-0000-0000E2560000}"/>
    <cellStyle name="Normal 53 3 2 2 2 3 2" xfId="30891" xr:uid="{00000000-0005-0000-0000-0000E3560000}"/>
    <cellStyle name="Normal 53 3 2 2 2 4" xfId="22848" xr:uid="{00000000-0005-0000-0000-0000E4560000}"/>
    <cellStyle name="Normal 53 3 2 2 3" xfId="8800" xr:uid="{00000000-0005-0000-0000-0000E5560000}"/>
    <cellStyle name="Normal 53 3 2 2 3 2" xfId="18157" xr:uid="{00000000-0005-0000-0000-0000E6560000}"/>
    <cellStyle name="Normal 53 3 2 2 3 2 2" xfId="34731" xr:uid="{00000000-0005-0000-0000-0000E7560000}"/>
    <cellStyle name="Normal 53 3 2 2 3 3" xfId="26684" xr:uid="{00000000-0005-0000-0000-0000E8560000}"/>
    <cellStyle name="Normal 53 3 2 2 4" xfId="14344" xr:uid="{00000000-0005-0000-0000-0000E9560000}"/>
    <cellStyle name="Normal 53 3 2 2 4 2" xfId="30890" xr:uid="{00000000-0005-0000-0000-0000EA560000}"/>
    <cellStyle name="Normal 53 3 2 2 5" xfId="22847" xr:uid="{00000000-0005-0000-0000-0000EB560000}"/>
    <cellStyle name="Normal 53 3 2 3" xfId="4820" xr:uid="{00000000-0005-0000-0000-0000EC560000}"/>
    <cellStyle name="Normal 53 3 2 3 2" xfId="8801" xr:uid="{00000000-0005-0000-0000-0000ED560000}"/>
    <cellStyle name="Normal 53 3 2 3 2 2" xfId="18158" xr:uid="{00000000-0005-0000-0000-0000EE560000}"/>
    <cellStyle name="Normal 53 3 2 3 2 2 2" xfId="34732" xr:uid="{00000000-0005-0000-0000-0000EF560000}"/>
    <cellStyle name="Normal 53 3 2 3 2 3" xfId="26685" xr:uid="{00000000-0005-0000-0000-0000F0560000}"/>
    <cellStyle name="Normal 53 3 2 3 3" xfId="14346" xr:uid="{00000000-0005-0000-0000-0000F1560000}"/>
    <cellStyle name="Normal 53 3 2 3 3 2" xfId="30892" xr:uid="{00000000-0005-0000-0000-0000F2560000}"/>
    <cellStyle name="Normal 53 3 2 3 4" xfId="22849" xr:uid="{00000000-0005-0000-0000-0000F3560000}"/>
    <cellStyle name="Normal 53 3 2 4" xfId="8802" xr:uid="{00000000-0005-0000-0000-0000F4560000}"/>
    <cellStyle name="Normal 53 3 2 4 2" xfId="18159" xr:uid="{00000000-0005-0000-0000-0000F5560000}"/>
    <cellStyle name="Normal 53 3 2 4 2 2" xfId="34733" xr:uid="{00000000-0005-0000-0000-0000F6560000}"/>
    <cellStyle name="Normal 53 3 2 4 3" xfId="26686" xr:uid="{00000000-0005-0000-0000-0000F7560000}"/>
    <cellStyle name="Normal 53 3 2 5" xfId="14343" xr:uid="{00000000-0005-0000-0000-0000F8560000}"/>
    <cellStyle name="Normal 53 3 2 5 2" xfId="30889" xr:uid="{00000000-0005-0000-0000-0000F9560000}"/>
    <cellStyle name="Normal 53 3 2 6" xfId="22846" xr:uid="{00000000-0005-0000-0000-0000FA560000}"/>
    <cellStyle name="Normal 53 3 3" xfId="4821" xr:uid="{00000000-0005-0000-0000-0000FB560000}"/>
    <cellStyle name="Normal 53 3 3 2" xfId="4822" xr:uid="{00000000-0005-0000-0000-0000FC560000}"/>
    <cellStyle name="Normal 53 3 3 2 2" xfId="8803" xr:uid="{00000000-0005-0000-0000-0000FD560000}"/>
    <cellStyle name="Normal 53 3 3 2 2 2" xfId="18160" xr:uid="{00000000-0005-0000-0000-0000FE560000}"/>
    <cellStyle name="Normal 53 3 3 2 2 2 2" xfId="34734" xr:uid="{00000000-0005-0000-0000-0000FF560000}"/>
    <cellStyle name="Normal 53 3 3 2 2 3" xfId="26687" xr:uid="{00000000-0005-0000-0000-000000570000}"/>
    <cellStyle name="Normal 53 3 3 2 3" xfId="14348" xr:uid="{00000000-0005-0000-0000-000001570000}"/>
    <cellStyle name="Normal 53 3 3 2 3 2" xfId="30894" xr:uid="{00000000-0005-0000-0000-000002570000}"/>
    <cellStyle name="Normal 53 3 3 2 4" xfId="22851" xr:uid="{00000000-0005-0000-0000-000003570000}"/>
    <cellStyle name="Normal 53 3 3 3" xfId="8804" xr:uid="{00000000-0005-0000-0000-000004570000}"/>
    <cellStyle name="Normal 53 3 3 3 2" xfId="18161" xr:uid="{00000000-0005-0000-0000-000005570000}"/>
    <cellStyle name="Normal 53 3 3 3 2 2" xfId="34735" xr:uid="{00000000-0005-0000-0000-000006570000}"/>
    <cellStyle name="Normal 53 3 3 3 3" xfId="26688" xr:uid="{00000000-0005-0000-0000-000007570000}"/>
    <cellStyle name="Normal 53 3 3 4" xfId="14347" xr:uid="{00000000-0005-0000-0000-000008570000}"/>
    <cellStyle name="Normal 53 3 3 4 2" xfId="30893" xr:uid="{00000000-0005-0000-0000-000009570000}"/>
    <cellStyle name="Normal 53 3 3 5" xfId="22850" xr:uid="{00000000-0005-0000-0000-00000A570000}"/>
    <cellStyle name="Normal 53 3 4" xfId="4823" xr:uid="{00000000-0005-0000-0000-00000B570000}"/>
    <cellStyle name="Normal 53 3 4 2" xfId="8805" xr:uid="{00000000-0005-0000-0000-00000C570000}"/>
    <cellStyle name="Normal 53 3 4 2 2" xfId="18162" xr:uid="{00000000-0005-0000-0000-00000D570000}"/>
    <cellStyle name="Normal 53 3 4 2 2 2" xfId="34736" xr:uid="{00000000-0005-0000-0000-00000E570000}"/>
    <cellStyle name="Normal 53 3 4 2 3" xfId="26689" xr:uid="{00000000-0005-0000-0000-00000F570000}"/>
    <cellStyle name="Normal 53 3 4 3" xfId="14349" xr:uid="{00000000-0005-0000-0000-000010570000}"/>
    <cellStyle name="Normal 53 3 4 3 2" xfId="30895" xr:uid="{00000000-0005-0000-0000-000011570000}"/>
    <cellStyle name="Normal 53 3 4 4" xfId="22852" xr:uid="{00000000-0005-0000-0000-000012570000}"/>
    <cellStyle name="Normal 53 3 5" xfId="4824" xr:uid="{00000000-0005-0000-0000-000013570000}"/>
    <cellStyle name="Normal 53 3 5 2" xfId="14350" xr:uid="{00000000-0005-0000-0000-000014570000}"/>
    <cellStyle name="Normal 53 3 5 2 2" xfId="30896" xr:uid="{00000000-0005-0000-0000-000015570000}"/>
    <cellStyle name="Normal 53 3 5 3" xfId="22853" xr:uid="{00000000-0005-0000-0000-000016570000}"/>
    <cellStyle name="Normal 53 4" xfId="4825" xr:uid="{00000000-0005-0000-0000-000017570000}"/>
    <cellStyle name="Normal 53 4 2" xfId="4826" xr:uid="{00000000-0005-0000-0000-000018570000}"/>
    <cellStyle name="Normal 53 4 2 2" xfId="4827" xr:uid="{00000000-0005-0000-0000-000019570000}"/>
    <cellStyle name="Normal 53 4 2 2 2" xfId="4828" xr:uid="{00000000-0005-0000-0000-00001A570000}"/>
    <cellStyle name="Normal 53 4 2 2 2 2" xfId="8806" xr:uid="{00000000-0005-0000-0000-00001B570000}"/>
    <cellStyle name="Normal 53 4 2 2 2 2 2" xfId="18163" xr:uid="{00000000-0005-0000-0000-00001C570000}"/>
    <cellStyle name="Normal 53 4 2 2 2 2 2 2" xfId="34737" xr:uid="{00000000-0005-0000-0000-00001D570000}"/>
    <cellStyle name="Normal 53 4 2 2 2 2 3" xfId="26690" xr:uid="{00000000-0005-0000-0000-00001E570000}"/>
    <cellStyle name="Normal 53 4 2 2 2 3" xfId="14354" xr:uid="{00000000-0005-0000-0000-00001F570000}"/>
    <cellStyle name="Normal 53 4 2 2 2 3 2" xfId="30900" xr:uid="{00000000-0005-0000-0000-000020570000}"/>
    <cellStyle name="Normal 53 4 2 2 2 4" xfId="22857" xr:uid="{00000000-0005-0000-0000-000021570000}"/>
    <cellStyle name="Normal 53 4 2 2 3" xfId="8807" xr:uid="{00000000-0005-0000-0000-000022570000}"/>
    <cellStyle name="Normal 53 4 2 2 3 2" xfId="18164" xr:uid="{00000000-0005-0000-0000-000023570000}"/>
    <cellStyle name="Normal 53 4 2 2 3 2 2" xfId="34738" xr:uid="{00000000-0005-0000-0000-000024570000}"/>
    <cellStyle name="Normal 53 4 2 2 3 3" xfId="26691" xr:uid="{00000000-0005-0000-0000-000025570000}"/>
    <cellStyle name="Normal 53 4 2 2 4" xfId="14353" xr:uid="{00000000-0005-0000-0000-000026570000}"/>
    <cellStyle name="Normal 53 4 2 2 4 2" xfId="30899" xr:uid="{00000000-0005-0000-0000-000027570000}"/>
    <cellStyle name="Normal 53 4 2 2 5" xfId="22856" xr:uid="{00000000-0005-0000-0000-000028570000}"/>
    <cellStyle name="Normal 53 4 2 3" xfId="4829" xr:uid="{00000000-0005-0000-0000-000029570000}"/>
    <cellStyle name="Normal 53 4 2 3 2" xfId="8808" xr:uid="{00000000-0005-0000-0000-00002A570000}"/>
    <cellStyle name="Normal 53 4 2 3 2 2" xfId="18165" xr:uid="{00000000-0005-0000-0000-00002B570000}"/>
    <cellStyle name="Normal 53 4 2 3 2 2 2" xfId="34739" xr:uid="{00000000-0005-0000-0000-00002C570000}"/>
    <cellStyle name="Normal 53 4 2 3 2 3" xfId="26692" xr:uid="{00000000-0005-0000-0000-00002D570000}"/>
    <cellStyle name="Normal 53 4 2 3 3" xfId="14355" xr:uid="{00000000-0005-0000-0000-00002E570000}"/>
    <cellStyle name="Normal 53 4 2 3 3 2" xfId="30901" xr:uid="{00000000-0005-0000-0000-00002F570000}"/>
    <cellStyle name="Normal 53 4 2 3 4" xfId="22858" xr:uid="{00000000-0005-0000-0000-000030570000}"/>
    <cellStyle name="Normal 53 4 2 4" xfId="8809" xr:uid="{00000000-0005-0000-0000-000031570000}"/>
    <cellStyle name="Normal 53 4 2 4 2" xfId="18166" xr:uid="{00000000-0005-0000-0000-000032570000}"/>
    <cellStyle name="Normal 53 4 2 4 2 2" xfId="34740" xr:uid="{00000000-0005-0000-0000-000033570000}"/>
    <cellStyle name="Normal 53 4 2 4 3" xfId="26693" xr:uid="{00000000-0005-0000-0000-000034570000}"/>
    <cellStyle name="Normal 53 4 2 5" xfId="14352" xr:uid="{00000000-0005-0000-0000-000035570000}"/>
    <cellStyle name="Normal 53 4 2 5 2" xfId="30898" xr:uid="{00000000-0005-0000-0000-000036570000}"/>
    <cellStyle name="Normal 53 4 2 6" xfId="22855" xr:uid="{00000000-0005-0000-0000-000037570000}"/>
    <cellStyle name="Normal 53 4 3" xfId="4830" xr:uid="{00000000-0005-0000-0000-000038570000}"/>
    <cellStyle name="Normal 53 4 3 2" xfId="4831" xr:uid="{00000000-0005-0000-0000-000039570000}"/>
    <cellStyle name="Normal 53 4 3 2 2" xfId="8810" xr:uid="{00000000-0005-0000-0000-00003A570000}"/>
    <cellStyle name="Normal 53 4 3 2 2 2" xfId="18167" xr:uid="{00000000-0005-0000-0000-00003B570000}"/>
    <cellStyle name="Normal 53 4 3 2 2 2 2" xfId="34741" xr:uid="{00000000-0005-0000-0000-00003C570000}"/>
    <cellStyle name="Normal 53 4 3 2 2 3" xfId="26694" xr:uid="{00000000-0005-0000-0000-00003D570000}"/>
    <cellStyle name="Normal 53 4 3 2 3" xfId="14357" xr:uid="{00000000-0005-0000-0000-00003E570000}"/>
    <cellStyle name="Normal 53 4 3 2 3 2" xfId="30903" xr:uid="{00000000-0005-0000-0000-00003F570000}"/>
    <cellStyle name="Normal 53 4 3 2 4" xfId="22860" xr:uid="{00000000-0005-0000-0000-000040570000}"/>
    <cellStyle name="Normal 53 4 3 3" xfId="8811" xr:uid="{00000000-0005-0000-0000-000041570000}"/>
    <cellStyle name="Normal 53 4 3 3 2" xfId="18168" xr:uid="{00000000-0005-0000-0000-000042570000}"/>
    <cellStyle name="Normal 53 4 3 3 2 2" xfId="34742" xr:uid="{00000000-0005-0000-0000-000043570000}"/>
    <cellStyle name="Normal 53 4 3 3 3" xfId="26695" xr:uid="{00000000-0005-0000-0000-000044570000}"/>
    <cellStyle name="Normal 53 4 3 4" xfId="14356" xr:uid="{00000000-0005-0000-0000-000045570000}"/>
    <cellStyle name="Normal 53 4 3 4 2" xfId="30902" xr:uid="{00000000-0005-0000-0000-000046570000}"/>
    <cellStyle name="Normal 53 4 3 5" xfId="22859" xr:uid="{00000000-0005-0000-0000-000047570000}"/>
    <cellStyle name="Normal 53 4 4" xfId="4832" xr:uid="{00000000-0005-0000-0000-000048570000}"/>
    <cellStyle name="Normal 53 4 4 2" xfId="8812" xr:uid="{00000000-0005-0000-0000-000049570000}"/>
    <cellStyle name="Normal 53 4 4 2 2" xfId="18169" xr:uid="{00000000-0005-0000-0000-00004A570000}"/>
    <cellStyle name="Normal 53 4 4 2 2 2" xfId="34743" xr:uid="{00000000-0005-0000-0000-00004B570000}"/>
    <cellStyle name="Normal 53 4 4 2 3" xfId="26696" xr:uid="{00000000-0005-0000-0000-00004C570000}"/>
    <cellStyle name="Normal 53 4 4 3" xfId="14358" xr:uid="{00000000-0005-0000-0000-00004D570000}"/>
    <cellStyle name="Normal 53 4 4 3 2" xfId="30904" xr:uid="{00000000-0005-0000-0000-00004E570000}"/>
    <cellStyle name="Normal 53 4 4 4" xfId="22861" xr:uid="{00000000-0005-0000-0000-00004F570000}"/>
    <cellStyle name="Normal 53 4 5" xfId="8813" xr:uid="{00000000-0005-0000-0000-000050570000}"/>
    <cellStyle name="Normal 53 4 5 2" xfId="18170" xr:uid="{00000000-0005-0000-0000-000051570000}"/>
    <cellStyle name="Normal 53 4 5 2 2" xfId="34744" xr:uid="{00000000-0005-0000-0000-000052570000}"/>
    <cellStyle name="Normal 53 4 5 3" xfId="26697" xr:uid="{00000000-0005-0000-0000-000053570000}"/>
    <cellStyle name="Normal 53 4 6" xfId="14351" xr:uid="{00000000-0005-0000-0000-000054570000}"/>
    <cellStyle name="Normal 53 4 6 2" xfId="30897" xr:uid="{00000000-0005-0000-0000-000055570000}"/>
    <cellStyle name="Normal 53 4 7" xfId="22854" xr:uid="{00000000-0005-0000-0000-000056570000}"/>
    <cellStyle name="Normal 53 5" xfId="4833" xr:uid="{00000000-0005-0000-0000-000057570000}"/>
    <cellStyle name="Normal 53 5 2" xfId="4834" xr:uid="{00000000-0005-0000-0000-000058570000}"/>
    <cellStyle name="Normal 53 5 2 2" xfId="4835" xr:uid="{00000000-0005-0000-0000-000059570000}"/>
    <cellStyle name="Normal 53 5 2 2 2" xfId="4836" xr:uid="{00000000-0005-0000-0000-00005A570000}"/>
    <cellStyle name="Normal 53 5 2 2 2 2" xfId="8814" xr:uid="{00000000-0005-0000-0000-00005B570000}"/>
    <cellStyle name="Normal 53 5 2 2 2 2 2" xfId="18171" xr:uid="{00000000-0005-0000-0000-00005C570000}"/>
    <cellStyle name="Normal 53 5 2 2 2 2 2 2" xfId="34745" xr:uid="{00000000-0005-0000-0000-00005D570000}"/>
    <cellStyle name="Normal 53 5 2 2 2 2 3" xfId="26698" xr:uid="{00000000-0005-0000-0000-00005E570000}"/>
    <cellStyle name="Normal 53 5 2 2 2 3" xfId="14362" xr:uid="{00000000-0005-0000-0000-00005F570000}"/>
    <cellStyle name="Normal 53 5 2 2 2 3 2" xfId="30908" xr:uid="{00000000-0005-0000-0000-000060570000}"/>
    <cellStyle name="Normal 53 5 2 2 2 4" xfId="22865" xr:uid="{00000000-0005-0000-0000-000061570000}"/>
    <cellStyle name="Normal 53 5 2 2 3" xfId="8815" xr:uid="{00000000-0005-0000-0000-000062570000}"/>
    <cellStyle name="Normal 53 5 2 2 3 2" xfId="18172" xr:uid="{00000000-0005-0000-0000-000063570000}"/>
    <cellStyle name="Normal 53 5 2 2 3 2 2" xfId="34746" xr:uid="{00000000-0005-0000-0000-000064570000}"/>
    <cellStyle name="Normal 53 5 2 2 3 3" xfId="26699" xr:uid="{00000000-0005-0000-0000-000065570000}"/>
    <cellStyle name="Normal 53 5 2 2 4" xfId="14361" xr:uid="{00000000-0005-0000-0000-000066570000}"/>
    <cellStyle name="Normal 53 5 2 2 4 2" xfId="30907" xr:uid="{00000000-0005-0000-0000-000067570000}"/>
    <cellStyle name="Normal 53 5 2 2 5" xfId="22864" xr:uid="{00000000-0005-0000-0000-000068570000}"/>
    <cellStyle name="Normal 53 5 2 3" xfId="4837" xr:uid="{00000000-0005-0000-0000-000069570000}"/>
    <cellStyle name="Normal 53 5 2 3 2" xfId="8816" xr:uid="{00000000-0005-0000-0000-00006A570000}"/>
    <cellStyle name="Normal 53 5 2 3 2 2" xfId="18173" xr:uid="{00000000-0005-0000-0000-00006B570000}"/>
    <cellStyle name="Normal 53 5 2 3 2 2 2" xfId="34747" xr:uid="{00000000-0005-0000-0000-00006C570000}"/>
    <cellStyle name="Normal 53 5 2 3 2 3" xfId="26700" xr:uid="{00000000-0005-0000-0000-00006D570000}"/>
    <cellStyle name="Normal 53 5 2 3 3" xfId="14363" xr:uid="{00000000-0005-0000-0000-00006E570000}"/>
    <cellStyle name="Normal 53 5 2 3 3 2" xfId="30909" xr:uid="{00000000-0005-0000-0000-00006F570000}"/>
    <cellStyle name="Normal 53 5 2 3 4" xfId="22866" xr:uid="{00000000-0005-0000-0000-000070570000}"/>
    <cellStyle name="Normal 53 5 2 4" xfId="8817" xr:uid="{00000000-0005-0000-0000-000071570000}"/>
    <cellStyle name="Normal 53 5 2 4 2" xfId="18174" xr:uid="{00000000-0005-0000-0000-000072570000}"/>
    <cellStyle name="Normal 53 5 2 4 2 2" xfId="34748" xr:uid="{00000000-0005-0000-0000-000073570000}"/>
    <cellStyle name="Normal 53 5 2 4 3" xfId="26701" xr:uid="{00000000-0005-0000-0000-000074570000}"/>
    <cellStyle name="Normal 53 5 2 5" xfId="14360" xr:uid="{00000000-0005-0000-0000-000075570000}"/>
    <cellStyle name="Normal 53 5 2 5 2" xfId="30906" xr:uid="{00000000-0005-0000-0000-000076570000}"/>
    <cellStyle name="Normal 53 5 2 6" xfId="22863" xr:uid="{00000000-0005-0000-0000-000077570000}"/>
    <cellStyle name="Normal 53 5 3" xfId="4838" xr:uid="{00000000-0005-0000-0000-000078570000}"/>
    <cellStyle name="Normal 53 5 3 2" xfId="4839" xr:uid="{00000000-0005-0000-0000-000079570000}"/>
    <cellStyle name="Normal 53 5 3 2 2" xfId="8818" xr:uid="{00000000-0005-0000-0000-00007A570000}"/>
    <cellStyle name="Normal 53 5 3 2 2 2" xfId="18175" xr:uid="{00000000-0005-0000-0000-00007B570000}"/>
    <cellStyle name="Normal 53 5 3 2 2 2 2" xfId="34749" xr:uid="{00000000-0005-0000-0000-00007C570000}"/>
    <cellStyle name="Normal 53 5 3 2 2 3" xfId="26702" xr:uid="{00000000-0005-0000-0000-00007D570000}"/>
    <cellStyle name="Normal 53 5 3 2 3" xfId="14365" xr:uid="{00000000-0005-0000-0000-00007E570000}"/>
    <cellStyle name="Normal 53 5 3 2 3 2" xfId="30911" xr:uid="{00000000-0005-0000-0000-00007F570000}"/>
    <cellStyle name="Normal 53 5 3 2 4" xfId="22868" xr:uid="{00000000-0005-0000-0000-000080570000}"/>
    <cellStyle name="Normal 53 5 3 3" xfId="8819" xr:uid="{00000000-0005-0000-0000-000081570000}"/>
    <cellStyle name="Normal 53 5 3 3 2" xfId="18176" xr:uid="{00000000-0005-0000-0000-000082570000}"/>
    <cellStyle name="Normal 53 5 3 3 2 2" xfId="34750" xr:uid="{00000000-0005-0000-0000-000083570000}"/>
    <cellStyle name="Normal 53 5 3 3 3" xfId="26703" xr:uid="{00000000-0005-0000-0000-000084570000}"/>
    <cellStyle name="Normal 53 5 3 4" xfId="14364" xr:uid="{00000000-0005-0000-0000-000085570000}"/>
    <cellStyle name="Normal 53 5 3 4 2" xfId="30910" xr:uid="{00000000-0005-0000-0000-000086570000}"/>
    <cellStyle name="Normal 53 5 3 5" xfId="22867" xr:uid="{00000000-0005-0000-0000-000087570000}"/>
    <cellStyle name="Normal 53 5 4" xfId="4840" xr:uid="{00000000-0005-0000-0000-000088570000}"/>
    <cellStyle name="Normal 53 5 4 2" xfId="8820" xr:uid="{00000000-0005-0000-0000-000089570000}"/>
    <cellStyle name="Normal 53 5 4 2 2" xfId="18177" xr:uid="{00000000-0005-0000-0000-00008A570000}"/>
    <cellStyle name="Normal 53 5 4 2 2 2" xfId="34751" xr:uid="{00000000-0005-0000-0000-00008B570000}"/>
    <cellStyle name="Normal 53 5 4 2 3" xfId="26704" xr:uid="{00000000-0005-0000-0000-00008C570000}"/>
    <cellStyle name="Normal 53 5 4 3" xfId="14366" xr:uid="{00000000-0005-0000-0000-00008D570000}"/>
    <cellStyle name="Normal 53 5 4 3 2" xfId="30912" xr:uid="{00000000-0005-0000-0000-00008E570000}"/>
    <cellStyle name="Normal 53 5 4 4" xfId="22869" xr:uid="{00000000-0005-0000-0000-00008F570000}"/>
    <cellStyle name="Normal 53 5 5" xfId="8821" xr:uid="{00000000-0005-0000-0000-000090570000}"/>
    <cellStyle name="Normal 53 5 5 2" xfId="18178" xr:uid="{00000000-0005-0000-0000-000091570000}"/>
    <cellStyle name="Normal 53 5 5 2 2" xfId="34752" xr:uid="{00000000-0005-0000-0000-000092570000}"/>
    <cellStyle name="Normal 53 5 5 3" xfId="26705" xr:uid="{00000000-0005-0000-0000-000093570000}"/>
    <cellStyle name="Normal 53 5 6" xfId="14359" xr:uid="{00000000-0005-0000-0000-000094570000}"/>
    <cellStyle name="Normal 53 5 6 2" xfId="30905" xr:uid="{00000000-0005-0000-0000-000095570000}"/>
    <cellStyle name="Normal 53 5 7" xfId="22862" xr:uid="{00000000-0005-0000-0000-000096570000}"/>
    <cellStyle name="Normal 53 6" xfId="4841" xr:uid="{00000000-0005-0000-0000-000097570000}"/>
    <cellStyle name="Normal 53 6 2" xfId="4842" xr:uid="{00000000-0005-0000-0000-000098570000}"/>
    <cellStyle name="Normal 53 6 2 2" xfId="4843" xr:uid="{00000000-0005-0000-0000-000099570000}"/>
    <cellStyle name="Normal 53 6 2 2 2" xfId="8822" xr:uid="{00000000-0005-0000-0000-00009A570000}"/>
    <cellStyle name="Normal 53 6 2 2 2 2" xfId="18179" xr:uid="{00000000-0005-0000-0000-00009B570000}"/>
    <cellStyle name="Normal 53 6 2 2 2 2 2" xfId="34753" xr:uid="{00000000-0005-0000-0000-00009C570000}"/>
    <cellStyle name="Normal 53 6 2 2 2 3" xfId="26706" xr:uid="{00000000-0005-0000-0000-00009D570000}"/>
    <cellStyle name="Normal 53 6 2 2 3" xfId="14369" xr:uid="{00000000-0005-0000-0000-00009E570000}"/>
    <cellStyle name="Normal 53 6 2 2 3 2" xfId="30915" xr:uid="{00000000-0005-0000-0000-00009F570000}"/>
    <cellStyle name="Normal 53 6 2 2 4" xfId="22872" xr:uid="{00000000-0005-0000-0000-0000A0570000}"/>
    <cellStyle name="Normal 53 6 2 3" xfId="8823" xr:uid="{00000000-0005-0000-0000-0000A1570000}"/>
    <cellStyle name="Normal 53 6 2 3 2" xfId="18180" xr:uid="{00000000-0005-0000-0000-0000A2570000}"/>
    <cellStyle name="Normal 53 6 2 3 2 2" xfId="34754" xr:uid="{00000000-0005-0000-0000-0000A3570000}"/>
    <cellStyle name="Normal 53 6 2 3 3" xfId="26707" xr:uid="{00000000-0005-0000-0000-0000A4570000}"/>
    <cellStyle name="Normal 53 6 2 4" xfId="14368" xr:uid="{00000000-0005-0000-0000-0000A5570000}"/>
    <cellStyle name="Normal 53 6 2 4 2" xfId="30914" xr:uid="{00000000-0005-0000-0000-0000A6570000}"/>
    <cellStyle name="Normal 53 6 2 5" xfId="22871" xr:uid="{00000000-0005-0000-0000-0000A7570000}"/>
    <cellStyle name="Normal 53 6 3" xfId="4844" xr:uid="{00000000-0005-0000-0000-0000A8570000}"/>
    <cellStyle name="Normal 53 6 3 2" xfId="8824" xr:uid="{00000000-0005-0000-0000-0000A9570000}"/>
    <cellStyle name="Normal 53 6 3 2 2" xfId="18181" xr:uid="{00000000-0005-0000-0000-0000AA570000}"/>
    <cellStyle name="Normal 53 6 3 2 2 2" xfId="34755" xr:uid="{00000000-0005-0000-0000-0000AB570000}"/>
    <cellStyle name="Normal 53 6 3 2 3" xfId="26708" xr:uid="{00000000-0005-0000-0000-0000AC570000}"/>
    <cellStyle name="Normal 53 6 3 3" xfId="14370" xr:uid="{00000000-0005-0000-0000-0000AD570000}"/>
    <cellStyle name="Normal 53 6 3 3 2" xfId="30916" xr:uid="{00000000-0005-0000-0000-0000AE570000}"/>
    <cellStyle name="Normal 53 6 3 4" xfId="22873" xr:uid="{00000000-0005-0000-0000-0000AF570000}"/>
    <cellStyle name="Normal 53 6 4" xfId="8825" xr:uid="{00000000-0005-0000-0000-0000B0570000}"/>
    <cellStyle name="Normal 53 6 4 2" xfId="18182" xr:uid="{00000000-0005-0000-0000-0000B1570000}"/>
    <cellStyle name="Normal 53 6 4 2 2" xfId="34756" xr:uid="{00000000-0005-0000-0000-0000B2570000}"/>
    <cellStyle name="Normal 53 6 4 3" xfId="26709" xr:uid="{00000000-0005-0000-0000-0000B3570000}"/>
    <cellStyle name="Normal 53 6 5" xfId="14367" xr:uid="{00000000-0005-0000-0000-0000B4570000}"/>
    <cellStyle name="Normal 53 6 5 2" xfId="30913" xr:uid="{00000000-0005-0000-0000-0000B5570000}"/>
    <cellStyle name="Normal 53 6 6" xfId="22870" xr:uid="{00000000-0005-0000-0000-0000B6570000}"/>
    <cellStyle name="Normal 53 7" xfId="4845" xr:uid="{00000000-0005-0000-0000-0000B7570000}"/>
    <cellStyle name="Normal 53 7 2" xfId="4846" xr:uid="{00000000-0005-0000-0000-0000B8570000}"/>
    <cellStyle name="Normal 53 7 2 2" xfId="8826" xr:uid="{00000000-0005-0000-0000-0000B9570000}"/>
    <cellStyle name="Normal 53 7 2 2 2" xfId="18183" xr:uid="{00000000-0005-0000-0000-0000BA570000}"/>
    <cellStyle name="Normal 53 7 2 2 2 2" xfId="34757" xr:uid="{00000000-0005-0000-0000-0000BB570000}"/>
    <cellStyle name="Normal 53 7 2 2 3" xfId="26710" xr:uid="{00000000-0005-0000-0000-0000BC570000}"/>
    <cellStyle name="Normal 53 7 2 3" xfId="14372" xr:uid="{00000000-0005-0000-0000-0000BD570000}"/>
    <cellStyle name="Normal 53 7 2 3 2" xfId="30918" xr:uid="{00000000-0005-0000-0000-0000BE570000}"/>
    <cellStyle name="Normal 53 7 2 4" xfId="22875" xr:uid="{00000000-0005-0000-0000-0000BF570000}"/>
    <cellStyle name="Normal 53 7 3" xfId="8827" xr:uid="{00000000-0005-0000-0000-0000C0570000}"/>
    <cellStyle name="Normal 53 7 3 2" xfId="18184" xr:uid="{00000000-0005-0000-0000-0000C1570000}"/>
    <cellStyle name="Normal 53 7 3 2 2" xfId="34758" xr:uid="{00000000-0005-0000-0000-0000C2570000}"/>
    <cellStyle name="Normal 53 7 3 3" xfId="26711" xr:uid="{00000000-0005-0000-0000-0000C3570000}"/>
    <cellStyle name="Normal 53 7 4" xfId="14371" xr:uid="{00000000-0005-0000-0000-0000C4570000}"/>
    <cellStyle name="Normal 53 7 4 2" xfId="30917" xr:uid="{00000000-0005-0000-0000-0000C5570000}"/>
    <cellStyle name="Normal 53 7 5" xfId="22874" xr:uid="{00000000-0005-0000-0000-0000C6570000}"/>
    <cellStyle name="Normal 53 8" xfId="4847" xr:uid="{00000000-0005-0000-0000-0000C7570000}"/>
    <cellStyle name="Normal 53 8 2" xfId="8828" xr:uid="{00000000-0005-0000-0000-0000C8570000}"/>
    <cellStyle name="Normal 53 8 2 2" xfId="18185" xr:uid="{00000000-0005-0000-0000-0000C9570000}"/>
    <cellStyle name="Normal 53 8 2 2 2" xfId="34759" xr:uid="{00000000-0005-0000-0000-0000CA570000}"/>
    <cellStyle name="Normal 53 8 2 3" xfId="26712" xr:uid="{00000000-0005-0000-0000-0000CB570000}"/>
    <cellStyle name="Normal 53 8 3" xfId="14373" xr:uid="{00000000-0005-0000-0000-0000CC570000}"/>
    <cellStyle name="Normal 53 8 3 2" xfId="30919" xr:uid="{00000000-0005-0000-0000-0000CD570000}"/>
    <cellStyle name="Normal 53 8 4" xfId="22876" xr:uid="{00000000-0005-0000-0000-0000CE570000}"/>
    <cellStyle name="Normal 53 9" xfId="8829" xr:uid="{00000000-0005-0000-0000-0000CF570000}"/>
    <cellStyle name="Normal 53 9 2" xfId="18186" xr:uid="{00000000-0005-0000-0000-0000D0570000}"/>
    <cellStyle name="Normal 53 9 2 2" xfId="34760" xr:uid="{00000000-0005-0000-0000-0000D1570000}"/>
    <cellStyle name="Normal 53 9 3" xfId="26713" xr:uid="{00000000-0005-0000-0000-0000D2570000}"/>
    <cellStyle name="Normal 54" xfId="4848" xr:uid="{00000000-0005-0000-0000-0000D3570000}"/>
    <cellStyle name="Normal 54 10" xfId="14374" xr:uid="{00000000-0005-0000-0000-0000D4570000}"/>
    <cellStyle name="Normal 54 10 2" xfId="30920" xr:uid="{00000000-0005-0000-0000-0000D5570000}"/>
    <cellStyle name="Normal 54 11" xfId="22877" xr:uid="{00000000-0005-0000-0000-0000D6570000}"/>
    <cellStyle name="Normal 54 2" xfId="4849" xr:uid="{00000000-0005-0000-0000-0000D7570000}"/>
    <cellStyle name="Normal 54 2 2" xfId="4850" xr:uid="{00000000-0005-0000-0000-0000D8570000}"/>
    <cellStyle name="Normal 54 2 3" xfId="14375" xr:uid="{00000000-0005-0000-0000-0000D9570000}"/>
    <cellStyle name="Normal 54 2 3 2" xfId="30921" xr:uid="{00000000-0005-0000-0000-0000DA570000}"/>
    <cellStyle name="Normal 54 2 4" xfId="22878" xr:uid="{00000000-0005-0000-0000-0000DB570000}"/>
    <cellStyle name="Normal 54 3" xfId="4851" xr:uid="{00000000-0005-0000-0000-0000DC570000}"/>
    <cellStyle name="Normal 54 3 2" xfId="4852" xr:uid="{00000000-0005-0000-0000-0000DD570000}"/>
    <cellStyle name="Normal 54 3 2 2" xfId="4853" xr:uid="{00000000-0005-0000-0000-0000DE570000}"/>
    <cellStyle name="Normal 54 3 2 2 2" xfId="4854" xr:uid="{00000000-0005-0000-0000-0000DF570000}"/>
    <cellStyle name="Normal 54 3 2 2 2 2" xfId="8830" xr:uid="{00000000-0005-0000-0000-0000E0570000}"/>
    <cellStyle name="Normal 54 3 2 2 2 2 2" xfId="18187" xr:uid="{00000000-0005-0000-0000-0000E1570000}"/>
    <cellStyle name="Normal 54 3 2 2 2 2 2 2" xfId="34761" xr:uid="{00000000-0005-0000-0000-0000E2570000}"/>
    <cellStyle name="Normal 54 3 2 2 2 2 3" xfId="26714" xr:uid="{00000000-0005-0000-0000-0000E3570000}"/>
    <cellStyle name="Normal 54 3 2 2 2 3" xfId="14378" xr:uid="{00000000-0005-0000-0000-0000E4570000}"/>
    <cellStyle name="Normal 54 3 2 2 2 3 2" xfId="30924" xr:uid="{00000000-0005-0000-0000-0000E5570000}"/>
    <cellStyle name="Normal 54 3 2 2 2 4" xfId="22881" xr:uid="{00000000-0005-0000-0000-0000E6570000}"/>
    <cellStyle name="Normal 54 3 2 2 3" xfId="8831" xr:uid="{00000000-0005-0000-0000-0000E7570000}"/>
    <cellStyle name="Normal 54 3 2 2 3 2" xfId="18188" xr:uid="{00000000-0005-0000-0000-0000E8570000}"/>
    <cellStyle name="Normal 54 3 2 2 3 2 2" xfId="34762" xr:uid="{00000000-0005-0000-0000-0000E9570000}"/>
    <cellStyle name="Normal 54 3 2 2 3 3" xfId="26715" xr:uid="{00000000-0005-0000-0000-0000EA570000}"/>
    <cellStyle name="Normal 54 3 2 2 4" xfId="14377" xr:uid="{00000000-0005-0000-0000-0000EB570000}"/>
    <cellStyle name="Normal 54 3 2 2 4 2" xfId="30923" xr:uid="{00000000-0005-0000-0000-0000EC570000}"/>
    <cellStyle name="Normal 54 3 2 2 5" xfId="22880" xr:uid="{00000000-0005-0000-0000-0000ED570000}"/>
    <cellStyle name="Normal 54 3 2 3" xfId="4855" xr:uid="{00000000-0005-0000-0000-0000EE570000}"/>
    <cellStyle name="Normal 54 3 2 3 2" xfId="8832" xr:uid="{00000000-0005-0000-0000-0000EF570000}"/>
    <cellStyle name="Normal 54 3 2 3 2 2" xfId="18189" xr:uid="{00000000-0005-0000-0000-0000F0570000}"/>
    <cellStyle name="Normal 54 3 2 3 2 2 2" xfId="34763" xr:uid="{00000000-0005-0000-0000-0000F1570000}"/>
    <cellStyle name="Normal 54 3 2 3 2 3" xfId="26716" xr:uid="{00000000-0005-0000-0000-0000F2570000}"/>
    <cellStyle name="Normal 54 3 2 3 3" xfId="14379" xr:uid="{00000000-0005-0000-0000-0000F3570000}"/>
    <cellStyle name="Normal 54 3 2 3 3 2" xfId="30925" xr:uid="{00000000-0005-0000-0000-0000F4570000}"/>
    <cellStyle name="Normal 54 3 2 3 4" xfId="22882" xr:uid="{00000000-0005-0000-0000-0000F5570000}"/>
    <cellStyle name="Normal 54 3 2 4" xfId="8833" xr:uid="{00000000-0005-0000-0000-0000F6570000}"/>
    <cellStyle name="Normal 54 3 2 4 2" xfId="18190" xr:uid="{00000000-0005-0000-0000-0000F7570000}"/>
    <cellStyle name="Normal 54 3 2 4 2 2" xfId="34764" xr:uid="{00000000-0005-0000-0000-0000F8570000}"/>
    <cellStyle name="Normal 54 3 2 4 3" xfId="26717" xr:uid="{00000000-0005-0000-0000-0000F9570000}"/>
    <cellStyle name="Normal 54 3 2 5" xfId="14376" xr:uid="{00000000-0005-0000-0000-0000FA570000}"/>
    <cellStyle name="Normal 54 3 2 5 2" xfId="30922" xr:uid="{00000000-0005-0000-0000-0000FB570000}"/>
    <cellStyle name="Normal 54 3 2 6" xfId="22879" xr:uid="{00000000-0005-0000-0000-0000FC570000}"/>
    <cellStyle name="Normal 54 3 3" xfId="4856" xr:uid="{00000000-0005-0000-0000-0000FD570000}"/>
    <cellStyle name="Normal 54 3 3 2" xfId="4857" xr:uid="{00000000-0005-0000-0000-0000FE570000}"/>
    <cellStyle name="Normal 54 3 3 2 2" xfId="8834" xr:uid="{00000000-0005-0000-0000-0000FF570000}"/>
    <cellStyle name="Normal 54 3 3 2 2 2" xfId="18191" xr:uid="{00000000-0005-0000-0000-000000580000}"/>
    <cellStyle name="Normal 54 3 3 2 2 2 2" xfId="34765" xr:uid="{00000000-0005-0000-0000-000001580000}"/>
    <cellStyle name="Normal 54 3 3 2 2 3" xfId="26718" xr:uid="{00000000-0005-0000-0000-000002580000}"/>
    <cellStyle name="Normal 54 3 3 2 3" xfId="14381" xr:uid="{00000000-0005-0000-0000-000003580000}"/>
    <cellStyle name="Normal 54 3 3 2 3 2" xfId="30927" xr:uid="{00000000-0005-0000-0000-000004580000}"/>
    <cellStyle name="Normal 54 3 3 2 4" xfId="22884" xr:uid="{00000000-0005-0000-0000-000005580000}"/>
    <cellStyle name="Normal 54 3 3 3" xfId="8835" xr:uid="{00000000-0005-0000-0000-000006580000}"/>
    <cellStyle name="Normal 54 3 3 3 2" xfId="18192" xr:uid="{00000000-0005-0000-0000-000007580000}"/>
    <cellStyle name="Normal 54 3 3 3 2 2" xfId="34766" xr:uid="{00000000-0005-0000-0000-000008580000}"/>
    <cellStyle name="Normal 54 3 3 3 3" xfId="26719" xr:uid="{00000000-0005-0000-0000-000009580000}"/>
    <cellStyle name="Normal 54 3 3 4" xfId="14380" xr:uid="{00000000-0005-0000-0000-00000A580000}"/>
    <cellStyle name="Normal 54 3 3 4 2" xfId="30926" xr:uid="{00000000-0005-0000-0000-00000B580000}"/>
    <cellStyle name="Normal 54 3 3 5" xfId="22883" xr:uid="{00000000-0005-0000-0000-00000C580000}"/>
    <cellStyle name="Normal 54 3 4" xfId="4858" xr:uid="{00000000-0005-0000-0000-00000D580000}"/>
    <cellStyle name="Normal 54 3 4 2" xfId="8836" xr:uid="{00000000-0005-0000-0000-00000E580000}"/>
    <cellStyle name="Normal 54 3 4 2 2" xfId="18193" xr:uid="{00000000-0005-0000-0000-00000F580000}"/>
    <cellStyle name="Normal 54 3 4 2 2 2" xfId="34767" xr:uid="{00000000-0005-0000-0000-000010580000}"/>
    <cellStyle name="Normal 54 3 4 2 3" xfId="26720" xr:uid="{00000000-0005-0000-0000-000011580000}"/>
    <cellStyle name="Normal 54 3 4 3" xfId="14382" xr:uid="{00000000-0005-0000-0000-000012580000}"/>
    <cellStyle name="Normal 54 3 4 3 2" xfId="30928" xr:uid="{00000000-0005-0000-0000-000013580000}"/>
    <cellStyle name="Normal 54 3 4 4" xfId="22885" xr:uid="{00000000-0005-0000-0000-000014580000}"/>
    <cellStyle name="Normal 54 3 5" xfId="4859" xr:uid="{00000000-0005-0000-0000-000015580000}"/>
    <cellStyle name="Normal 54 3 5 2" xfId="14383" xr:uid="{00000000-0005-0000-0000-000016580000}"/>
    <cellStyle name="Normal 54 3 5 2 2" xfId="30929" xr:uid="{00000000-0005-0000-0000-000017580000}"/>
    <cellStyle name="Normal 54 3 5 3" xfId="22886" xr:uid="{00000000-0005-0000-0000-000018580000}"/>
    <cellStyle name="Normal 54 4" xfId="4860" xr:uid="{00000000-0005-0000-0000-000019580000}"/>
    <cellStyle name="Normal 54 4 2" xfId="4861" xr:uid="{00000000-0005-0000-0000-00001A580000}"/>
    <cellStyle name="Normal 54 4 2 2" xfId="4862" xr:uid="{00000000-0005-0000-0000-00001B580000}"/>
    <cellStyle name="Normal 54 4 2 2 2" xfId="4863" xr:uid="{00000000-0005-0000-0000-00001C580000}"/>
    <cellStyle name="Normal 54 4 2 2 2 2" xfId="8837" xr:uid="{00000000-0005-0000-0000-00001D580000}"/>
    <cellStyle name="Normal 54 4 2 2 2 2 2" xfId="18194" xr:uid="{00000000-0005-0000-0000-00001E580000}"/>
    <cellStyle name="Normal 54 4 2 2 2 2 2 2" xfId="34768" xr:uid="{00000000-0005-0000-0000-00001F580000}"/>
    <cellStyle name="Normal 54 4 2 2 2 2 3" xfId="26721" xr:uid="{00000000-0005-0000-0000-000020580000}"/>
    <cellStyle name="Normal 54 4 2 2 2 3" xfId="14387" xr:uid="{00000000-0005-0000-0000-000021580000}"/>
    <cellStyle name="Normal 54 4 2 2 2 3 2" xfId="30933" xr:uid="{00000000-0005-0000-0000-000022580000}"/>
    <cellStyle name="Normal 54 4 2 2 2 4" xfId="22890" xr:uid="{00000000-0005-0000-0000-000023580000}"/>
    <cellStyle name="Normal 54 4 2 2 3" xfId="8838" xr:uid="{00000000-0005-0000-0000-000024580000}"/>
    <cellStyle name="Normal 54 4 2 2 3 2" xfId="18195" xr:uid="{00000000-0005-0000-0000-000025580000}"/>
    <cellStyle name="Normal 54 4 2 2 3 2 2" xfId="34769" xr:uid="{00000000-0005-0000-0000-000026580000}"/>
    <cellStyle name="Normal 54 4 2 2 3 3" xfId="26722" xr:uid="{00000000-0005-0000-0000-000027580000}"/>
    <cellStyle name="Normal 54 4 2 2 4" xfId="14386" xr:uid="{00000000-0005-0000-0000-000028580000}"/>
    <cellStyle name="Normal 54 4 2 2 4 2" xfId="30932" xr:uid="{00000000-0005-0000-0000-000029580000}"/>
    <cellStyle name="Normal 54 4 2 2 5" xfId="22889" xr:uid="{00000000-0005-0000-0000-00002A580000}"/>
    <cellStyle name="Normal 54 4 2 3" xfId="4864" xr:uid="{00000000-0005-0000-0000-00002B580000}"/>
    <cellStyle name="Normal 54 4 2 3 2" xfId="8839" xr:uid="{00000000-0005-0000-0000-00002C580000}"/>
    <cellStyle name="Normal 54 4 2 3 2 2" xfId="18196" xr:uid="{00000000-0005-0000-0000-00002D580000}"/>
    <cellStyle name="Normal 54 4 2 3 2 2 2" xfId="34770" xr:uid="{00000000-0005-0000-0000-00002E580000}"/>
    <cellStyle name="Normal 54 4 2 3 2 3" xfId="26723" xr:uid="{00000000-0005-0000-0000-00002F580000}"/>
    <cellStyle name="Normal 54 4 2 3 3" xfId="14388" xr:uid="{00000000-0005-0000-0000-000030580000}"/>
    <cellStyle name="Normal 54 4 2 3 3 2" xfId="30934" xr:uid="{00000000-0005-0000-0000-000031580000}"/>
    <cellStyle name="Normal 54 4 2 3 4" xfId="22891" xr:uid="{00000000-0005-0000-0000-000032580000}"/>
    <cellStyle name="Normal 54 4 2 4" xfId="8840" xr:uid="{00000000-0005-0000-0000-000033580000}"/>
    <cellStyle name="Normal 54 4 2 4 2" xfId="18197" xr:uid="{00000000-0005-0000-0000-000034580000}"/>
    <cellStyle name="Normal 54 4 2 4 2 2" xfId="34771" xr:uid="{00000000-0005-0000-0000-000035580000}"/>
    <cellStyle name="Normal 54 4 2 4 3" xfId="26724" xr:uid="{00000000-0005-0000-0000-000036580000}"/>
    <cellStyle name="Normal 54 4 2 5" xfId="14385" xr:uid="{00000000-0005-0000-0000-000037580000}"/>
    <cellStyle name="Normal 54 4 2 5 2" xfId="30931" xr:uid="{00000000-0005-0000-0000-000038580000}"/>
    <cellStyle name="Normal 54 4 2 6" xfId="22888" xr:uid="{00000000-0005-0000-0000-000039580000}"/>
    <cellStyle name="Normal 54 4 3" xfId="4865" xr:uid="{00000000-0005-0000-0000-00003A580000}"/>
    <cellStyle name="Normal 54 4 3 2" xfId="4866" xr:uid="{00000000-0005-0000-0000-00003B580000}"/>
    <cellStyle name="Normal 54 4 3 2 2" xfId="8841" xr:uid="{00000000-0005-0000-0000-00003C580000}"/>
    <cellStyle name="Normal 54 4 3 2 2 2" xfId="18198" xr:uid="{00000000-0005-0000-0000-00003D580000}"/>
    <cellStyle name="Normal 54 4 3 2 2 2 2" xfId="34772" xr:uid="{00000000-0005-0000-0000-00003E580000}"/>
    <cellStyle name="Normal 54 4 3 2 2 3" xfId="26725" xr:uid="{00000000-0005-0000-0000-00003F580000}"/>
    <cellStyle name="Normal 54 4 3 2 3" xfId="14390" xr:uid="{00000000-0005-0000-0000-000040580000}"/>
    <cellStyle name="Normal 54 4 3 2 3 2" xfId="30936" xr:uid="{00000000-0005-0000-0000-000041580000}"/>
    <cellStyle name="Normal 54 4 3 2 4" xfId="22893" xr:uid="{00000000-0005-0000-0000-000042580000}"/>
    <cellStyle name="Normal 54 4 3 3" xfId="8842" xr:uid="{00000000-0005-0000-0000-000043580000}"/>
    <cellStyle name="Normal 54 4 3 3 2" xfId="18199" xr:uid="{00000000-0005-0000-0000-000044580000}"/>
    <cellStyle name="Normal 54 4 3 3 2 2" xfId="34773" xr:uid="{00000000-0005-0000-0000-000045580000}"/>
    <cellStyle name="Normal 54 4 3 3 3" xfId="26726" xr:uid="{00000000-0005-0000-0000-000046580000}"/>
    <cellStyle name="Normal 54 4 3 4" xfId="14389" xr:uid="{00000000-0005-0000-0000-000047580000}"/>
    <cellStyle name="Normal 54 4 3 4 2" xfId="30935" xr:uid="{00000000-0005-0000-0000-000048580000}"/>
    <cellStyle name="Normal 54 4 3 5" xfId="22892" xr:uid="{00000000-0005-0000-0000-000049580000}"/>
    <cellStyle name="Normal 54 4 4" xfId="4867" xr:uid="{00000000-0005-0000-0000-00004A580000}"/>
    <cellStyle name="Normal 54 4 4 2" xfId="8843" xr:uid="{00000000-0005-0000-0000-00004B580000}"/>
    <cellStyle name="Normal 54 4 4 2 2" xfId="18200" xr:uid="{00000000-0005-0000-0000-00004C580000}"/>
    <cellStyle name="Normal 54 4 4 2 2 2" xfId="34774" xr:uid="{00000000-0005-0000-0000-00004D580000}"/>
    <cellStyle name="Normal 54 4 4 2 3" xfId="26727" xr:uid="{00000000-0005-0000-0000-00004E580000}"/>
    <cellStyle name="Normal 54 4 4 3" xfId="14391" xr:uid="{00000000-0005-0000-0000-00004F580000}"/>
    <cellStyle name="Normal 54 4 4 3 2" xfId="30937" xr:uid="{00000000-0005-0000-0000-000050580000}"/>
    <cellStyle name="Normal 54 4 4 4" xfId="22894" xr:uid="{00000000-0005-0000-0000-000051580000}"/>
    <cellStyle name="Normal 54 4 5" xfId="8844" xr:uid="{00000000-0005-0000-0000-000052580000}"/>
    <cellStyle name="Normal 54 4 5 2" xfId="18201" xr:uid="{00000000-0005-0000-0000-000053580000}"/>
    <cellStyle name="Normal 54 4 5 2 2" xfId="34775" xr:uid="{00000000-0005-0000-0000-000054580000}"/>
    <cellStyle name="Normal 54 4 5 3" xfId="26728" xr:uid="{00000000-0005-0000-0000-000055580000}"/>
    <cellStyle name="Normal 54 4 6" xfId="14384" xr:uid="{00000000-0005-0000-0000-000056580000}"/>
    <cellStyle name="Normal 54 4 6 2" xfId="30930" xr:uid="{00000000-0005-0000-0000-000057580000}"/>
    <cellStyle name="Normal 54 4 7" xfId="22887" xr:uid="{00000000-0005-0000-0000-000058580000}"/>
    <cellStyle name="Normal 54 5" xfId="4868" xr:uid="{00000000-0005-0000-0000-000059580000}"/>
    <cellStyle name="Normal 54 5 2" xfId="4869" xr:uid="{00000000-0005-0000-0000-00005A580000}"/>
    <cellStyle name="Normal 54 5 2 2" xfId="4870" xr:uid="{00000000-0005-0000-0000-00005B580000}"/>
    <cellStyle name="Normal 54 5 2 2 2" xfId="4871" xr:uid="{00000000-0005-0000-0000-00005C580000}"/>
    <cellStyle name="Normal 54 5 2 2 2 2" xfId="8845" xr:uid="{00000000-0005-0000-0000-00005D580000}"/>
    <cellStyle name="Normal 54 5 2 2 2 2 2" xfId="18202" xr:uid="{00000000-0005-0000-0000-00005E580000}"/>
    <cellStyle name="Normal 54 5 2 2 2 2 2 2" xfId="34776" xr:uid="{00000000-0005-0000-0000-00005F580000}"/>
    <cellStyle name="Normal 54 5 2 2 2 2 3" xfId="26729" xr:uid="{00000000-0005-0000-0000-000060580000}"/>
    <cellStyle name="Normal 54 5 2 2 2 3" xfId="14395" xr:uid="{00000000-0005-0000-0000-000061580000}"/>
    <cellStyle name="Normal 54 5 2 2 2 3 2" xfId="30941" xr:uid="{00000000-0005-0000-0000-000062580000}"/>
    <cellStyle name="Normal 54 5 2 2 2 4" xfId="22898" xr:uid="{00000000-0005-0000-0000-000063580000}"/>
    <cellStyle name="Normal 54 5 2 2 3" xfId="8846" xr:uid="{00000000-0005-0000-0000-000064580000}"/>
    <cellStyle name="Normal 54 5 2 2 3 2" xfId="18203" xr:uid="{00000000-0005-0000-0000-000065580000}"/>
    <cellStyle name="Normal 54 5 2 2 3 2 2" xfId="34777" xr:uid="{00000000-0005-0000-0000-000066580000}"/>
    <cellStyle name="Normal 54 5 2 2 3 3" xfId="26730" xr:uid="{00000000-0005-0000-0000-000067580000}"/>
    <cellStyle name="Normal 54 5 2 2 4" xfId="14394" xr:uid="{00000000-0005-0000-0000-000068580000}"/>
    <cellStyle name="Normal 54 5 2 2 4 2" xfId="30940" xr:uid="{00000000-0005-0000-0000-000069580000}"/>
    <cellStyle name="Normal 54 5 2 2 5" xfId="22897" xr:uid="{00000000-0005-0000-0000-00006A580000}"/>
    <cellStyle name="Normal 54 5 2 3" xfId="4872" xr:uid="{00000000-0005-0000-0000-00006B580000}"/>
    <cellStyle name="Normal 54 5 2 3 2" xfId="8847" xr:uid="{00000000-0005-0000-0000-00006C580000}"/>
    <cellStyle name="Normal 54 5 2 3 2 2" xfId="18204" xr:uid="{00000000-0005-0000-0000-00006D580000}"/>
    <cellStyle name="Normal 54 5 2 3 2 2 2" xfId="34778" xr:uid="{00000000-0005-0000-0000-00006E580000}"/>
    <cellStyle name="Normal 54 5 2 3 2 3" xfId="26731" xr:uid="{00000000-0005-0000-0000-00006F580000}"/>
    <cellStyle name="Normal 54 5 2 3 3" xfId="14396" xr:uid="{00000000-0005-0000-0000-000070580000}"/>
    <cellStyle name="Normal 54 5 2 3 3 2" xfId="30942" xr:uid="{00000000-0005-0000-0000-000071580000}"/>
    <cellStyle name="Normal 54 5 2 3 4" xfId="22899" xr:uid="{00000000-0005-0000-0000-000072580000}"/>
    <cellStyle name="Normal 54 5 2 4" xfId="8848" xr:uid="{00000000-0005-0000-0000-000073580000}"/>
    <cellStyle name="Normal 54 5 2 4 2" xfId="18205" xr:uid="{00000000-0005-0000-0000-000074580000}"/>
    <cellStyle name="Normal 54 5 2 4 2 2" xfId="34779" xr:uid="{00000000-0005-0000-0000-000075580000}"/>
    <cellStyle name="Normal 54 5 2 4 3" xfId="26732" xr:uid="{00000000-0005-0000-0000-000076580000}"/>
    <cellStyle name="Normal 54 5 2 5" xfId="14393" xr:uid="{00000000-0005-0000-0000-000077580000}"/>
    <cellStyle name="Normal 54 5 2 5 2" xfId="30939" xr:uid="{00000000-0005-0000-0000-000078580000}"/>
    <cellStyle name="Normal 54 5 2 6" xfId="22896" xr:uid="{00000000-0005-0000-0000-000079580000}"/>
    <cellStyle name="Normal 54 5 3" xfId="4873" xr:uid="{00000000-0005-0000-0000-00007A580000}"/>
    <cellStyle name="Normal 54 5 3 2" xfId="4874" xr:uid="{00000000-0005-0000-0000-00007B580000}"/>
    <cellStyle name="Normal 54 5 3 2 2" xfId="8849" xr:uid="{00000000-0005-0000-0000-00007C580000}"/>
    <cellStyle name="Normal 54 5 3 2 2 2" xfId="18206" xr:uid="{00000000-0005-0000-0000-00007D580000}"/>
    <cellStyle name="Normal 54 5 3 2 2 2 2" xfId="34780" xr:uid="{00000000-0005-0000-0000-00007E580000}"/>
    <cellStyle name="Normal 54 5 3 2 2 3" xfId="26733" xr:uid="{00000000-0005-0000-0000-00007F580000}"/>
    <cellStyle name="Normal 54 5 3 2 3" xfId="14398" xr:uid="{00000000-0005-0000-0000-000080580000}"/>
    <cellStyle name="Normal 54 5 3 2 3 2" xfId="30944" xr:uid="{00000000-0005-0000-0000-000081580000}"/>
    <cellStyle name="Normal 54 5 3 2 4" xfId="22901" xr:uid="{00000000-0005-0000-0000-000082580000}"/>
    <cellStyle name="Normal 54 5 3 3" xfId="8850" xr:uid="{00000000-0005-0000-0000-000083580000}"/>
    <cellStyle name="Normal 54 5 3 3 2" xfId="18207" xr:uid="{00000000-0005-0000-0000-000084580000}"/>
    <cellStyle name="Normal 54 5 3 3 2 2" xfId="34781" xr:uid="{00000000-0005-0000-0000-000085580000}"/>
    <cellStyle name="Normal 54 5 3 3 3" xfId="26734" xr:uid="{00000000-0005-0000-0000-000086580000}"/>
    <cellStyle name="Normal 54 5 3 4" xfId="14397" xr:uid="{00000000-0005-0000-0000-000087580000}"/>
    <cellStyle name="Normal 54 5 3 4 2" xfId="30943" xr:uid="{00000000-0005-0000-0000-000088580000}"/>
    <cellStyle name="Normal 54 5 3 5" xfId="22900" xr:uid="{00000000-0005-0000-0000-000089580000}"/>
    <cellStyle name="Normal 54 5 4" xfId="4875" xr:uid="{00000000-0005-0000-0000-00008A580000}"/>
    <cellStyle name="Normal 54 5 4 2" xfId="8851" xr:uid="{00000000-0005-0000-0000-00008B580000}"/>
    <cellStyle name="Normal 54 5 4 2 2" xfId="18208" xr:uid="{00000000-0005-0000-0000-00008C580000}"/>
    <cellStyle name="Normal 54 5 4 2 2 2" xfId="34782" xr:uid="{00000000-0005-0000-0000-00008D580000}"/>
    <cellStyle name="Normal 54 5 4 2 3" xfId="26735" xr:uid="{00000000-0005-0000-0000-00008E580000}"/>
    <cellStyle name="Normal 54 5 4 3" xfId="14399" xr:uid="{00000000-0005-0000-0000-00008F580000}"/>
    <cellStyle name="Normal 54 5 4 3 2" xfId="30945" xr:uid="{00000000-0005-0000-0000-000090580000}"/>
    <cellStyle name="Normal 54 5 4 4" xfId="22902" xr:uid="{00000000-0005-0000-0000-000091580000}"/>
    <cellStyle name="Normal 54 5 5" xfId="8852" xr:uid="{00000000-0005-0000-0000-000092580000}"/>
    <cellStyle name="Normal 54 5 5 2" xfId="18209" xr:uid="{00000000-0005-0000-0000-000093580000}"/>
    <cellStyle name="Normal 54 5 5 2 2" xfId="34783" xr:uid="{00000000-0005-0000-0000-000094580000}"/>
    <cellStyle name="Normal 54 5 5 3" xfId="26736" xr:uid="{00000000-0005-0000-0000-000095580000}"/>
    <cellStyle name="Normal 54 5 6" xfId="14392" xr:uid="{00000000-0005-0000-0000-000096580000}"/>
    <cellStyle name="Normal 54 5 6 2" xfId="30938" xr:uid="{00000000-0005-0000-0000-000097580000}"/>
    <cellStyle name="Normal 54 5 7" xfId="22895" xr:uid="{00000000-0005-0000-0000-000098580000}"/>
    <cellStyle name="Normal 54 6" xfId="4876" xr:uid="{00000000-0005-0000-0000-000099580000}"/>
    <cellStyle name="Normal 54 6 2" xfId="4877" xr:uid="{00000000-0005-0000-0000-00009A580000}"/>
    <cellStyle name="Normal 54 6 2 2" xfId="4878" xr:uid="{00000000-0005-0000-0000-00009B580000}"/>
    <cellStyle name="Normal 54 6 2 2 2" xfId="8853" xr:uid="{00000000-0005-0000-0000-00009C580000}"/>
    <cellStyle name="Normal 54 6 2 2 2 2" xfId="18210" xr:uid="{00000000-0005-0000-0000-00009D580000}"/>
    <cellStyle name="Normal 54 6 2 2 2 2 2" xfId="34784" xr:uid="{00000000-0005-0000-0000-00009E580000}"/>
    <cellStyle name="Normal 54 6 2 2 2 3" xfId="26737" xr:uid="{00000000-0005-0000-0000-00009F580000}"/>
    <cellStyle name="Normal 54 6 2 2 3" xfId="14402" xr:uid="{00000000-0005-0000-0000-0000A0580000}"/>
    <cellStyle name="Normal 54 6 2 2 3 2" xfId="30948" xr:uid="{00000000-0005-0000-0000-0000A1580000}"/>
    <cellStyle name="Normal 54 6 2 2 4" xfId="22905" xr:uid="{00000000-0005-0000-0000-0000A2580000}"/>
    <cellStyle name="Normal 54 6 2 3" xfId="8854" xr:uid="{00000000-0005-0000-0000-0000A3580000}"/>
    <cellStyle name="Normal 54 6 2 3 2" xfId="18211" xr:uid="{00000000-0005-0000-0000-0000A4580000}"/>
    <cellStyle name="Normal 54 6 2 3 2 2" xfId="34785" xr:uid="{00000000-0005-0000-0000-0000A5580000}"/>
    <cellStyle name="Normal 54 6 2 3 3" xfId="26738" xr:uid="{00000000-0005-0000-0000-0000A6580000}"/>
    <cellStyle name="Normal 54 6 2 4" xfId="14401" xr:uid="{00000000-0005-0000-0000-0000A7580000}"/>
    <cellStyle name="Normal 54 6 2 4 2" xfId="30947" xr:uid="{00000000-0005-0000-0000-0000A8580000}"/>
    <cellStyle name="Normal 54 6 2 5" xfId="22904" xr:uid="{00000000-0005-0000-0000-0000A9580000}"/>
    <cellStyle name="Normal 54 6 3" xfId="4879" xr:uid="{00000000-0005-0000-0000-0000AA580000}"/>
    <cellStyle name="Normal 54 6 3 2" xfId="8855" xr:uid="{00000000-0005-0000-0000-0000AB580000}"/>
    <cellStyle name="Normal 54 6 3 2 2" xfId="18212" xr:uid="{00000000-0005-0000-0000-0000AC580000}"/>
    <cellStyle name="Normal 54 6 3 2 2 2" xfId="34786" xr:uid="{00000000-0005-0000-0000-0000AD580000}"/>
    <cellStyle name="Normal 54 6 3 2 3" xfId="26739" xr:uid="{00000000-0005-0000-0000-0000AE580000}"/>
    <cellStyle name="Normal 54 6 3 3" xfId="14403" xr:uid="{00000000-0005-0000-0000-0000AF580000}"/>
    <cellStyle name="Normal 54 6 3 3 2" xfId="30949" xr:uid="{00000000-0005-0000-0000-0000B0580000}"/>
    <cellStyle name="Normal 54 6 3 4" xfId="22906" xr:uid="{00000000-0005-0000-0000-0000B1580000}"/>
    <cellStyle name="Normal 54 6 4" xfId="8856" xr:uid="{00000000-0005-0000-0000-0000B2580000}"/>
    <cellStyle name="Normal 54 6 4 2" xfId="18213" xr:uid="{00000000-0005-0000-0000-0000B3580000}"/>
    <cellStyle name="Normal 54 6 4 2 2" xfId="34787" xr:uid="{00000000-0005-0000-0000-0000B4580000}"/>
    <cellStyle name="Normal 54 6 4 3" xfId="26740" xr:uid="{00000000-0005-0000-0000-0000B5580000}"/>
    <cellStyle name="Normal 54 6 5" xfId="14400" xr:uid="{00000000-0005-0000-0000-0000B6580000}"/>
    <cellStyle name="Normal 54 6 5 2" xfId="30946" xr:uid="{00000000-0005-0000-0000-0000B7580000}"/>
    <cellStyle name="Normal 54 6 6" xfId="22903" xr:uid="{00000000-0005-0000-0000-0000B8580000}"/>
    <cellStyle name="Normal 54 7" xfId="4880" xr:uid="{00000000-0005-0000-0000-0000B9580000}"/>
    <cellStyle name="Normal 54 7 2" xfId="4881" xr:uid="{00000000-0005-0000-0000-0000BA580000}"/>
    <cellStyle name="Normal 54 7 2 2" xfId="8857" xr:uid="{00000000-0005-0000-0000-0000BB580000}"/>
    <cellStyle name="Normal 54 7 2 2 2" xfId="18214" xr:uid="{00000000-0005-0000-0000-0000BC580000}"/>
    <cellStyle name="Normal 54 7 2 2 2 2" xfId="34788" xr:uid="{00000000-0005-0000-0000-0000BD580000}"/>
    <cellStyle name="Normal 54 7 2 2 3" xfId="26741" xr:uid="{00000000-0005-0000-0000-0000BE580000}"/>
    <cellStyle name="Normal 54 7 2 3" xfId="14405" xr:uid="{00000000-0005-0000-0000-0000BF580000}"/>
    <cellStyle name="Normal 54 7 2 3 2" xfId="30951" xr:uid="{00000000-0005-0000-0000-0000C0580000}"/>
    <cellStyle name="Normal 54 7 2 4" xfId="22908" xr:uid="{00000000-0005-0000-0000-0000C1580000}"/>
    <cellStyle name="Normal 54 7 3" xfId="8858" xr:uid="{00000000-0005-0000-0000-0000C2580000}"/>
    <cellStyle name="Normal 54 7 3 2" xfId="18215" xr:uid="{00000000-0005-0000-0000-0000C3580000}"/>
    <cellStyle name="Normal 54 7 3 2 2" xfId="34789" xr:uid="{00000000-0005-0000-0000-0000C4580000}"/>
    <cellStyle name="Normal 54 7 3 3" xfId="26742" xr:uid="{00000000-0005-0000-0000-0000C5580000}"/>
    <cellStyle name="Normal 54 7 4" xfId="14404" xr:uid="{00000000-0005-0000-0000-0000C6580000}"/>
    <cellStyle name="Normal 54 7 4 2" xfId="30950" xr:uid="{00000000-0005-0000-0000-0000C7580000}"/>
    <cellStyle name="Normal 54 7 5" xfId="22907" xr:uid="{00000000-0005-0000-0000-0000C8580000}"/>
    <cellStyle name="Normal 54 8" xfId="4882" xr:uid="{00000000-0005-0000-0000-0000C9580000}"/>
    <cellStyle name="Normal 54 8 2" xfId="8859" xr:uid="{00000000-0005-0000-0000-0000CA580000}"/>
    <cellStyle name="Normal 54 8 2 2" xfId="18216" xr:uid="{00000000-0005-0000-0000-0000CB580000}"/>
    <cellStyle name="Normal 54 8 2 2 2" xfId="34790" xr:uid="{00000000-0005-0000-0000-0000CC580000}"/>
    <cellStyle name="Normal 54 8 2 3" xfId="26743" xr:uid="{00000000-0005-0000-0000-0000CD580000}"/>
    <cellStyle name="Normal 54 8 3" xfId="14406" xr:uid="{00000000-0005-0000-0000-0000CE580000}"/>
    <cellStyle name="Normal 54 8 3 2" xfId="30952" xr:uid="{00000000-0005-0000-0000-0000CF580000}"/>
    <cellStyle name="Normal 54 8 4" xfId="22909" xr:uid="{00000000-0005-0000-0000-0000D0580000}"/>
    <cellStyle name="Normal 54 9" xfId="8860" xr:uid="{00000000-0005-0000-0000-0000D1580000}"/>
    <cellStyle name="Normal 54 9 2" xfId="18217" xr:uid="{00000000-0005-0000-0000-0000D2580000}"/>
    <cellStyle name="Normal 54 9 2 2" xfId="34791" xr:uid="{00000000-0005-0000-0000-0000D3580000}"/>
    <cellStyle name="Normal 54 9 3" xfId="26744" xr:uid="{00000000-0005-0000-0000-0000D4580000}"/>
    <cellStyle name="Normal 55" xfId="4883" xr:uid="{00000000-0005-0000-0000-0000D5580000}"/>
    <cellStyle name="Normal 55 10" xfId="14407" xr:uid="{00000000-0005-0000-0000-0000D6580000}"/>
    <cellStyle name="Normal 55 10 2" xfId="30953" xr:uid="{00000000-0005-0000-0000-0000D7580000}"/>
    <cellStyle name="Normal 55 11" xfId="22910" xr:uid="{00000000-0005-0000-0000-0000D8580000}"/>
    <cellStyle name="Normal 55 2" xfId="4884" xr:uid="{00000000-0005-0000-0000-0000D9580000}"/>
    <cellStyle name="Normal 55 2 2" xfId="4885" xr:uid="{00000000-0005-0000-0000-0000DA580000}"/>
    <cellStyle name="Normal 55 2 3" xfId="14408" xr:uid="{00000000-0005-0000-0000-0000DB580000}"/>
    <cellStyle name="Normal 55 2 3 2" xfId="30954" xr:uid="{00000000-0005-0000-0000-0000DC580000}"/>
    <cellStyle name="Normal 55 2 4" xfId="22911" xr:uid="{00000000-0005-0000-0000-0000DD580000}"/>
    <cellStyle name="Normal 55 3" xfId="4886" xr:uid="{00000000-0005-0000-0000-0000DE580000}"/>
    <cellStyle name="Normal 55 3 2" xfId="4887" xr:uid="{00000000-0005-0000-0000-0000DF580000}"/>
    <cellStyle name="Normal 55 3 2 2" xfId="4888" xr:uid="{00000000-0005-0000-0000-0000E0580000}"/>
    <cellStyle name="Normal 55 3 2 2 2" xfId="4889" xr:uid="{00000000-0005-0000-0000-0000E1580000}"/>
    <cellStyle name="Normal 55 3 2 2 2 2" xfId="8861" xr:uid="{00000000-0005-0000-0000-0000E2580000}"/>
    <cellStyle name="Normal 55 3 2 2 2 2 2" xfId="18218" xr:uid="{00000000-0005-0000-0000-0000E3580000}"/>
    <cellStyle name="Normal 55 3 2 2 2 2 2 2" xfId="34792" xr:uid="{00000000-0005-0000-0000-0000E4580000}"/>
    <cellStyle name="Normal 55 3 2 2 2 2 3" xfId="26745" xr:uid="{00000000-0005-0000-0000-0000E5580000}"/>
    <cellStyle name="Normal 55 3 2 2 2 3" xfId="14411" xr:uid="{00000000-0005-0000-0000-0000E6580000}"/>
    <cellStyle name="Normal 55 3 2 2 2 3 2" xfId="30957" xr:uid="{00000000-0005-0000-0000-0000E7580000}"/>
    <cellStyle name="Normal 55 3 2 2 2 4" xfId="22914" xr:uid="{00000000-0005-0000-0000-0000E8580000}"/>
    <cellStyle name="Normal 55 3 2 2 3" xfId="8862" xr:uid="{00000000-0005-0000-0000-0000E9580000}"/>
    <cellStyle name="Normal 55 3 2 2 3 2" xfId="18219" xr:uid="{00000000-0005-0000-0000-0000EA580000}"/>
    <cellStyle name="Normal 55 3 2 2 3 2 2" xfId="34793" xr:uid="{00000000-0005-0000-0000-0000EB580000}"/>
    <cellStyle name="Normal 55 3 2 2 3 3" xfId="26746" xr:uid="{00000000-0005-0000-0000-0000EC580000}"/>
    <cellStyle name="Normal 55 3 2 2 4" xfId="14410" xr:uid="{00000000-0005-0000-0000-0000ED580000}"/>
    <cellStyle name="Normal 55 3 2 2 4 2" xfId="30956" xr:uid="{00000000-0005-0000-0000-0000EE580000}"/>
    <cellStyle name="Normal 55 3 2 2 5" xfId="22913" xr:uid="{00000000-0005-0000-0000-0000EF580000}"/>
    <cellStyle name="Normal 55 3 2 3" xfId="4890" xr:uid="{00000000-0005-0000-0000-0000F0580000}"/>
    <cellStyle name="Normal 55 3 2 3 2" xfId="8863" xr:uid="{00000000-0005-0000-0000-0000F1580000}"/>
    <cellStyle name="Normal 55 3 2 3 2 2" xfId="18220" xr:uid="{00000000-0005-0000-0000-0000F2580000}"/>
    <cellStyle name="Normal 55 3 2 3 2 2 2" xfId="34794" xr:uid="{00000000-0005-0000-0000-0000F3580000}"/>
    <cellStyle name="Normal 55 3 2 3 2 3" xfId="26747" xr:uid="{00000000-0005-0000-0000-0000F4580000}"/>
    <cellStyle name="Normal 55 3 2 3 3" xfId="14412" xr:uid="{00000000-0005-0000-0000-0000F5580000}"/>
    <cellStyle name="Normal 55 3 2 3 3 2" xfId="30958" xr:uid="{00000000-0005-0000-0000-0000F6580000}"/>
    <cellStyle name="Normal 55 3 2 3 4" xfId="22915" xr:uid="{00000000-0005-0000-0000-0000F7580000}"/>
    <cellStyle name="Normal 55 3 2 4" xfId="8864" xr:uid="{00000000-0005-0000-0000-0000F8580000}"/>
    <cellStyle name="Normal 55 3 2 4 2" xfId="18221" xr:uid="{00000000-0005-0000-0000-0000F9580000}"/>
    <cellStyle name="Normal 55 3 2 4 2 2" xfId="34795" xr:uid="{00000000-0005-0000-0000-0000FA580000}"/>
    <cellStyle name="Normal 55 3 2 4 3" xfId="26748" xr:uid="{00000000-0005-0000-0000-0000FB580000}"/>
    <cellStyle name="Normal 55 3 2 5" xfId="14409" xr:uid="{00000000-0005-0000-0000-0000FC580000}"/>
    <cellStyle name="Normal 55 3 2 5 2" xfId="30955" xr:uid="{00000000-0005-0000-0000-0000FD580000}"/>
    <cellStyle name="Normal 55 3 2 6" xfId="22912" xr:uid="{00000000-0005-0000-0000-0000FE580000}"/>
    <cellStyle name="Normal 55 3 3" xfId="4891" xr:uid="{00000000-0005-0000-0000-0000FF580000}"/>
    <cellStyle name="Normal 55 3 3 2" xfId="4892" xr:uid="{00000000-0005-0000-0000-000000590000}"/>
    <cellStyle name="Normal 55 3 3 2 2" xfId="8865" xr:uid="{00000000-0005-0000-0000-000001590000}"/>
    <cellStyle name="Normal 55 3 3 2 2 2" xfId="18222" xr:uid="{00000000-0005-0000-0000-000002590000}"/>
    <cellStyle name="Normal 55 3 3 2 2 2 2" xfId="34796" xr:uid="{00000000-0005-0000-0000-000003590000}"/>
    <cellStyle name="Normal 55 3 3 2 2 3" xfId="26749" xr:uid="{00000000-0005-0000-0000-000004590000}"/>
    <cellStyle name="Normal 55 3 3 2 3" xfId="14414" xr:uid="{00000000-0005-0000-0000-000005590000}"/>
    <cellStyle name="Normal 55 3 3 2 3 2" xfId="30960" xr:uid="{00000000-0005-0000-0000-000006590000}"/>
    <cellStyle name="Normal 55 3 3 2 4" xfId="22917" xr:uid="{00000000-0005-0000-0000-000007590000}"/>
    <cellStyle name="Normal 55 3 3 3" xfId="8866" xr:uid="{00000000-0005-0000-0000-000008590000}"/>
    <cellStyle name="Normal 55 3 3 3 2" xfId="18223" xr:uid="{00000000-0005-0000-0000-000009590000}"/>
    <cellStyle name="Normal 55 3 3 3 2 2" xfId="34797" xr:uid="{00000000-0005-0000-0000-00000A590000}"/>
    <cellStyle name="Normal 55 3 3 3 3" xfId="26750" xr:uid="{00000000-0005-0000-0000-00000B590000}"/>
    <cellStyle name="Normal 55 3 3 4" xfId="14413" xr:uid="{00000000-0005-0000-0000-00000C590000}"/>
    <cellStyle name="Normal 55 3 3 4 2" xfId="30959" xr:uid="{00000000-0005-0000-0000-00000D590000}"/>
    <cellStyle name="Normal 55 3 3 5" xfId="22916" xr:uid="{00000000-0005-0000-0000-00000E590000}"/>
    <cellStyle name="Normal 55 3 4" xfId="4893" xr:uid="{00000000-0005-0000-0000-00000F590000}"/>
    <cellStyle name="Normal 55 3 4 2" xfId="8867" xr:uid="{00000000-0005-0000-0000-000010590000}"/>
    <cellStyle name="Normal 55 3 4 2 2" xfId="18224" xr:uid="{00000000-0005-0000-0000-000011590000}"/>
    <cellStyle name="Normal 55 3 4 2 2 2" xfId="34798" xr:uid="{00000000-0005-0000-0000-000012590000}"/>
    <cellStyle name="Normal 55 3 4 2 3" xfId="26751" xr:uid="{00000000-0005-0000-0000-000013590000}"/>
    <cellStyle name="Normal 55 3 4 3" xfId="14415" xr:uid="{00000000-0005-0000-0000-000014590000}"/>
    <cellStyle name="Normal 55 3 4 3 2" xfId="30961" xr:uid="{00000000-0005-0000-0000-000015590000}"/>
    <cellStyle name="Normal 55 3 4 4" xfId="22918" xr:uid="{00000000-0005-0000-0000-000016590000}"/>
    <cellStyle name="Normal 55 3 5" xfId="4894" xr:uid="{00000000-0005-0000-0000-000017590000}"/>
    <cellStyle name="Normal 55 3 5 2" xfId="14416" xr:uid="{00000000-0005-0000-0000-000018590000}"/>
    <cellStyle name="Normal 55 3 5 2 2" xfId="30962" xr:uid="{00000000-0005-0000-0000-000019590000}"/>
    <cellStyle name="Normal 55 3 5 3" xfId="22919" xr:uid="{00000000-0005-0000-0000-00001A590000}"/>
    <cellStyle name="Normal 55 4" xfId="4895" xr:uid="{00000000-0005-0000-0000-00001B590000}"/>
    <cellStyle name="Normal 55 4 2" xfId="4896" xr:uid="{00000000-0005-0000-0000-00001C590000}"/>
    <cellStyle name="Normal 55 4 2 2" xfId="4897" xr:uid="{00000000-0005-0000-0000-00001D590000}"/>
    <cellStyle name="Normal 55 4 2 2 2" xfId="4898" xr:uid="{00000000-0005-0000-0000-00001E590000}"/>
    <cellStyle name="Normal 55 4 2 2 2 2" xfId="8868" xr:uid="{00000000-0005-0000-0000-00001F590000}"/>
    <cellStyle name="Normal 55 4 2 2 2 2 2" xfId="18225" xr:uid="{00000000-0005-0000-0000-000020590000}"/>
    <cellStyle name="Normal 55 4 2 2 2 2 2 2" xfId="34799" xr:uid="{00000000-0005-0000-0000-000021590000}"/>
    <cellStyle name="Normal 55 4 2 2 2 2 3" xfId="26752" xr:uid="{00000000-0005-0000-0000-000022590000}"/>
    <cellStyle name="Normal 55 4 2 2 2 3" xfId="14420" xr:uid="{00000000-0005-0000-0000-000023590000}"/>
    <cellStyle name="Normal 55 4 2 2 2 3 2" xfId="30966" xr:uid="{00000000-0005-0000-0000-000024590000}"/>
    <cellStyle name="Normal 55 4 2 2 2 4" xfId="22923" xr:uid="{00000000-0005-0000-0000-000025590000}"/>
    <cellStyle name="Normal 55 4 2 2 3" xfId="8869" xr:uid="{00000000-0005-0000-0000-000026590000}"/>
    <cellStyle name="Normal 55 4 2 2 3 2" xfId="18226" xr:uid="{00000000-0005-0000-0000-000027590000}"/>
    <cellStyle name="Normal 55 4 2 2 3 2 2" xfId="34800" xr:uid="{00000000-0005-0000-0000-000028590000}"/>
    <cellStyle name="Normal 55 4 2 2 3 3" xfId="26753" xr:uid="{00000000-0005-0000-0000-000029590000}"/>
    <cellStyle name="Normal 55 4 2 2 4" xfId="14419" xr:uid="{00000000-0005-0000-0000-00002A590000}"/>
    <cellStyle name="Normal 55 4 2 2 4 2" xfId="30965" xr:uid="{00000000-0005-0000-0000-00002B590000}"/>
    <cellStyle name="Normal 55 4 2 2 5" xfId="22922" xr:uid="{00000000-0005-0000-0000-00002C590000}"/>
    <cellStyle name="Normal 55 4 2 3" xfId="4899" xr:uid="{00000000-0005-0000-0000-00002D590000}"/>
    <cellStyle name="Normal 55 4 2 3 2" xfId="8870" xr:uid="{00000000-0005-0000-0000-00002E590000}"/>
    <cellStyle name="Normal 55 4 2 3 2 2" xfId="18227" xr:uid="{00000000-0005-0000-0000-00002F590000}"/>
    <cellStyle name="Normal 55 4 2 3 2 2 2" xfId="34801" xr:uid="{00000000-0005-0000-0000-000030590000}"/>
    <cellStyle name="Normal 55 4 2 3 2 3" xfId="26754" xr:uid="{00000000-0005-0000-0000-000031590000}"/>
    <cellStyle name="Normal 55 4 2 3 3" xfId="14421" xr:uid="{00000000-0005-0000-0000-000032590000}"/>
    <cellStyle name="Normal 55 4 2 3 3 2" xfId="30967" xr:uid="{00000000-0005-0000-0000-000033590000}"/>
    <cellStyle name="Normal 55 4 2 3 4" xfId="22924" xr:uid="{00000000-0005-0000-0000-000034590000}"/>
    <cellStyle name="Normal 55 4 2 4" xfId="8871" xr:uid="{00000000-0005-0000-0000-000035590000}"/>
    <cellStyle name="Normal 55 4 2 4 2" xfId="18228" xr:uid="{00000000-0005-0000-0000-000036590000}"/>
    <cellStyle name="Normal 55 4 2 4 2 2" xfId="34802" xr:uid="{00000000-0005-0000-0000-000037590000}"/>
    <cellStyle name="Normal 55 4 2 4 3" xfId="26755" xr:uid="{00000000-0005-0000-0000-000038590000}"/>
    <cellStyle name="Normal 55 4 2 5" xfId="14418" xr:uid="{00000000-0005-0000-0000-000039590000}"/>
    <cellStyle name="Normal 55 4 2 5 2" xfId="30964" xr:uid="{00000000-0005-0000-0000-00003A590000}"/>
    <cellStyle name="Normal 55 4 2 6" xfId="22921" xr:uid="{00000000-0005-0000-0000-00003B590000}"/>
    <cellStyle name="Normal 55 4 3" xfId="4900" xr:uid="{00000000-0005-0000-0000-00003C590000}"/>
    <cellStyle name="Normal 55 4 3 2" xfId="4901" xr:uid="{00000000-0005-0000-0000-00003D590000}"/>
    <cellStyle name="Normal 55 4 3 2 2" xfId="8872" xr:uid="{00000000-0005-0000-0000-00003E590000}"/>
    <cellStyle name="Normal 55 4 3 2 2 2" xfId="18229" xr:uid="{00000000-0005-0000-0000-00003F590000}"/>
    <cellStyle name="Normal 55 4 3 2 2 2 2" xfId="34803" xr:uid="{00000000-0005-0000-0000-000040590000}"/>
    <cellStyle name="Normal 55 4 3 2 2 3" xfId="26756" xr:uid="{00000000-0005-0000-0000-000041590000}"/>
    <cellStyle name="Normal 55 4 3 2 3" xfId="14423" xr:uid="{00000000-0005-0000-0000-000042590000}"/>
    <cellStyle name="Normal 55 4 3 2 3 2" xfId="30969" xr:uid="{00000000-0005-0000-0000-000043590000}"/>
    <cellStyle name="Normal 55 4 3 2 4" xfId="22926" xr:uid="{00000000-0005-0000-0000-000044590000}"/>
    <cellStyle name="Normal 55 4 3 3" xfId="8873" xr:uid="{00000000-0005-0000-0000-000045590000}"/>
    <cellStyle name="Normal 55 4 3 3 2" xfId="18230" xr:uid="{00000000-0005-0000-0000-000046590000}"/>
    <cellStyle name="Normal 55 4 3 3 2 2" xfId="34804" xr:uid="{00000000-0005-0000-0000-000047590000}"/>
    <cellStyle name="Normal 55 4 3 3 3" xfId="26757" xr:uid="{00000000-0005-0000-0000-000048590000}"/>
    <cellStyle name="Normal 55 4 3 4" xfId="14422" xr:uid="{00000000-0005-0000-0000-000049590000}"/>
    <cellStyle name="Normal 55 4 3 4 2" xfId="30968" xr:uid="{00000000-0005-0000-0000-00004A590000}"/>
    <cellStyle name="Normal 55 4 3 5" xfId="22925" xr:uid="{00000000-0005-0000-0000-00004B590000}"/>
    <cellStyle name="Normal 55 4 4" xfId="4902" xr:uid="{00000000-0005-0000-0000-00004C590000}"/>
    <cellStyle name="Normal 55 4 4 2" xfId="8874" xr:uid="{00000000-0005-0000-0000-00004D590000}"/>
    <cellStyle name="Normal 55 4 4 2 2" xfId="18231" xr:uid="{00000000-0005-0000-0000-00004E590000}"/>
    <cellStyle name="Normal 55 4 4 2 2 2" xfId="34805" xr:uid="{00000000-0005-0000-0000-00004F590000}"/>
    <cellStyle name="Normal 55 4 4 2 3" xfId="26758" xr:uid="{00000000-0005-0000-0000-000050590000}"/>
    <cellStyle name="Normal 55 4 4 3" xfId="14424" xr:uid="{00000000-0005-0000-0000-000051590000}"/>
    <cellStyle name="Normal 55 4 4 3 2" xfId="30970" xr:uid="{00000000-0005-0000-0000-000052590000}"/>
    <cellStyle name="Normal 55 4 4 4" xfId="22927" xr:uid="{00000000-0005-0000-0000-000053590000}"/>
    <cellStyle name="Normal 55 4 5" xfId="8875" xr:uid="{00000000-0005-0000-0000-000054590000}"/>
    <cellStyle name="Normal 55 4 5 2" xfId="18232" xr:uid="{00000000-0005-0000-0000-000055590000}"/>
    <cellStyle name="Normal 55 4 5 2 2" xfId="34806" xr:uid="{00000000-0005-0000-0000-000056590000}"/>
    <cellStyle name="Normal 55 4 5 3" xfId="26759" xr:uid="{00000000-0005-0000-0000-000057590000}"/>
    <cellStyle name="Normal 55 4 6" xfId="14417" xr:uid="{00000000-0005-0000-0000-000058590000}"/>
    <cellStyle name="Normal 55 4 6 2" xfId="30963" xr:uid="{00000000-0005-0000-0000-000059590000}"/>
    <cellStyle name="Normal 55 4 7" xfId="22920" xr:uid="{00000000-0005-0000-0000-00005A590000}"/>
    <cellStyle name="Normal 55 5" xfId="4903" xr:uid="{00000000-0005-0000-0000-00005B590000}"/>
    <cellStyle name="Normal 55 5 2" xfId="4904" xr:uid="{00000000-0005-0000-0000-00005C590000}"/>
    <cellStyle name="Normal 55 5 2 2" xfId="4905" xr:uid="{00000000-0005-0000-0000-00005D590000}"/>
    <cellStyle name="Normal 55 5 2 2 2" xfId="4906" xr:uid="{00000000-0005-0000-0000-00005E590000}"/>
    <cellStyle name="Normal 55 5 2 2 2 2" xfId="8876" xr:uid="{00000000-0005-0000-0000-00005F590000}"/>
    <cellStyle name="Normal 55 5 2 2 2 2 2" xfId="18233" xr:uid="{00000000-0005-0000-0000-000060590000}"/>
    <cellStyle name="Normal 55 5 2 2 2 2 2 2" xfId="34807" xr:uid="{00000000-0005-0000-0000-000061590000}"/>
    <cellStyle name="Normal 55 5 2 2 2 2 3" xfId="26760" xr:uid="{00000000-0005-0000-0000-000062590000}"/>
    <cellStyle name="Normal 55 5 2 2 2 3" xfId="14428" xr:uid="{00000000-0005-0000-0000-000063590000}"/>
    <cellStyle name="Normal 55 5 2 2 2 3 2" xfId="30974" xr:uid="{00000000-0005-0000-0000-000064590000}"/>
    <cellStyle name="Normal 55 5 2 2 2 4" xfId="22931" xr:uid="{00000000-0005-0000-0000-000065590000}"/>
    <cellStyle name="Normal 55 5 2 2 3" xfId="8877" xr:uid="{00000000-0005-0000-0000-000066590000}"/>
    <cellStyle name="Normal 55 5 2 2 3 2" xfId="18234" xr:uid="{00000000-0005-0000-0000-000067590000}"/>
    <cellStyle name="Normal 55 5 2 2 3 2 2" xfId="34808" xr:uid="{00000000-0005-0000-0000-000068590000}"/>
    <cellStyle name="Normal 55 5 2 2 3 3" xfId="26761" xr:uid="{00000000-0005-0000-0000-000069590000}"/>
    <cellStyle name="Normal 55 5 2 2 4" xfId="14427" xr:uid="{00000000-0005-0000-0000-00006A590000}"/>
    <cellStyle name="Normal 55 5 2 2 4 2" xfId="30973" xr:uid="{00000000-0005-0000-0000-00006B590000}"/>
    <cellStyle name="Normal 55 5 2 2 5" xfId="22930" xr:uid="{00000000-0005-0000-0000-00006C590000}"/>
    <cellStyle name="Normal 55 5 2 3" xfId="4907" xr:uid="{00000000-0005-0000-0000-00006D590000}"/>
    <cellStyle name="Normal 55 5 2 3 2" xfId="8878" xr:uid="{00000000-0005-0000-0000-00006E590000}"/>
    <cellStyle name="Normal 55 5 2 3 2 2" xfId="18235" xr:uid="{00000000-0005-0000-0000-00006F590000}"/>
    <cellStyle name="Normal 55 5 2 3 2 2 2" xfId="34809" xr:uid="{00000000-0005-0000-0000-000070590000}"/>
    <cellStyle name="Normal 55 5 2 3 2 3" xfId="26762" xr:uid="{00000000-0005-0000-0000-000071590000}"/>
    <cellStyle name="Normal 55 5 2 3 3" xfId="14429" xr:uid="{00000000-0005-0000-0000-000072590000}"/>
    <cellStyle name="Normal 55 5 2 3 3 2" xfId="30975" xr:uid="{00000000-0005-0000-0000-000073590000}"/>
    <cellStyle name="Normal 55 5 2 3 4" xfId="22932" xr:uid="{00000000-0005-0000-0000-000074590000}"/>
    <cellStyle name="Normal 55 5 2 4" xfId="8879" xr:uid="{00000000-0005-0000-0000-000075590000}"/>
    <cellStyle name="Normal 55 5 2 4 2" xfId="18236" xr:uid="{00000000-0005-0000-0000-000076590000}"/>
    <cellStyle name="Normal 55 5 2 4 2 2" xfId="34810" xr:uid="{00000000-0005-0000-0000-000077590000}"/>
    <cellStyle name="Normal 55 5 2 4 3" xfId="26763" xr:uid="{00000000-0005-0000-0000-000078590000}"/>
    <cellStyle name="Normal 55 5 2 5" xfId="14426" xr:uid="{00000000-0005-0000-0000-000079590000}"/>
    <cellStyle name="Normal 55 5 2 5 2" xfId="30972" xr:uid="{00000000-0005-0000-0000-00007A590000}"/>
    <cellStyle name="Normal 55 5 2 6" xfId="22929" xr:uid="{00000000-0005-0000-0000-00007B590000}"/>
    <cellStyle name="Normal 55 5 3" xfId="4908" xr:uid="{00000000-0005-0000-0000-00007C590000}"/>
    <cellStyle name="Normal 55 5 3 2" xfId="4909" xr:uid="{00000000-0005-0000-0000-00007D590000}"/>
    <cellStyle name="Normal 55 5 3 2 2" xfId="8880" xr:uid="{00000000-0005-0000-0000-00007E590000}"/>
    <cellStyle name="Normal 55 5 3 2 2 2" xfId="18237" xr:uid="{00000000-0005-0000-0000-00007F590000}"/>
    <cellStyle name="Normal 55 5 3 2 2 2 2" xfId="34811" xr:uid="{00000000-0005-0000-0000-000080590000}"/>
    <cellStyle name="Normal 55 5 3 2 2 3" xfId="26764" xr:uid="{00000000-0005-0000-0000-000081590000}"/>
    <cellStyle name="Normal 55 5 3 2 3" xfId="14431" xr:uid="{00000000-0005-0000-0000-000082590000}"/>
    <cellStyle name="Normal 55 5 3 2 3 2" xfId="30977" xr:uid="{00000000-0005-0000-0000-000083590000}"/>
    <cellStyle name="Normal 55 5 3 2 4" xfId="22934" xr:uid="{00000000-0005-0000-0000-000084590000}"/>
    <cellStyle name="Normal 55 5 3 3" xfId="8881" xr:uid="{00000000-0005-0000-0000-000085590000}"/>
    <cellStyle name="Normal 55 5 3 3 2" xfId="18238" xr:uid="{00000000-0005-0000-0000-000086590000}"/>
    <cellStyle name="Normal 55 5 3 3 2 2" xfId="34812" xr:uid="{00000000-0005-0000-0000-000087590000}"/>
    <cellStyle name="Normal 55 5 3 3 3" xfId="26765" xr:uid="{00000000-0005-0000-0000-000088590000}"/>
    <cellStyle name="Normal 55 5 3 4" xfId="14430" xr:uid="{00000000-0005-0000-0000-000089590000}"/>
    <cellStyle name="Normal 55 5 3 4 2" xfId="30976" xr:uid="{00000000-0005-0000-0000-00008A590000}"/>
    <cellStyle name="Normal 55 5 3 5" xfId="22933" xr:uid="{00000000-0005-0000-0000-00008B590000}"/>
    <cellStyle name="Normal 55 5 4" xfId="4910" xr:uid="{00000000-0005-0000-0000-00008C590000}"/>
    <cellStyle name="Normal 55 5 4 2" xfId="8882" xr:uid="{00000000-0005-0000-0000-00008D590000}"/>
    <cellStyle name="Normal 55 5 4 2 2" xfId="18239" xr:uid="{00000000-0005-0000-0000-00008E590000}"/>
    <cellStyle name="Normal 55 5 4 2 2 2" xfId="34813" xr:uid="{00000000-0005-0000-0000-00008F590000}"/>
    <cellStyle name="Normal 55 5 4 2 3" xfId="26766" xr:uid="{00000000-0005-0000-0000-000090590000}"/>
    <cellStyle name="Normal 55 5 4 3" xfId="14432" xr:uid="{00000000-0005-0000-0000-000091590000}"/>
    <cellStyle name="Normal 55 5 4 3 2" xfId="30978" xr:uid="{00000000-0005-0000-0000-000092590000}"/>
    <cellStyle name="Normal 55 5 4 4" xfId="22935" xr:uid="{00000000-0005-0000-0000-000093590000}"/>
    <cellStyle name="Normal 55 5 5" xfId="8883" xr:uid="{00000000-0005-0000-0000-000094590000}"/>
    <cellStyle name="Normal 55 5 5 2" xfId="18240" xr:uid="{00000000-0005-0000-0000-000095590000}"/>
    <cellStyle name="Normal 55 5 5 2 2" xfId="34814" xr:uid="{00000000-0005-0000-0000-000096590000}"/>
    <cellStyle name="Normal 55 5 5 3" xfId="26767" xr:uid="{00000000-0005-0000-0000-000097590000}"/>
    <cellStyle name="Normal 55 5 6" xfId="14425" xr:uid="{00000000-0005-0000-0000-000098590000}"/>
    <cellStyle name="Normal 55 5 6 2" xfId="30971" xr:uid="{00000000-0005-0000-0000-000099590000}"/>
    <cellStyle name="Normal 55 5 7" xfId="22928" xr:uid="{00000000-0005-0000-0000-00009A590000}"/>
    <cellStyle name="Normal 55 6" xfId="4911" xr:uid="{00000000-0005-0000-0000-00009B590000}"/>
    <cellStyle name="Normal 55 6 2" xfId="4912" xr:uid="{00000000-0005-0000-0000-00009C590000}"/>
    <cellStyle name="Normal 55 6 2 2" xfId="4913" xr:uid="{00000000-0005-0000-0000-00009D590000}"/>
    <cellStyle name="Normal 55 6 2 2 2" xfId="8884" xr:uid="{00000000-0005-0000-0000-00009E590000}"/>
    <cellStyle name="Normal 55 6 2 2 2 2" xfId="18241" xr:uid="{00000000-0005-0000-0000-00009F590000}"/>
    <cellStyle name="Normal 55 6 2 2 2 2 2" xfId="34815" xr:uid="{00000000-0005-0000-0000-0000A0590000}"/>
    <cellStyle name="Normal 55 6 2 2 2 3" xfId="26768" xr:uid="{00000000-0005-0000-0000-0000A1590000}"/>
    <cellStyle name="Normal 55 6 2 2 3" xfId="14435" xr:uid="{00000000-0005-0000-0000-0000A2590000}"/>
    <cellStyle name="Normal 55 6 2 2 3 2" xfId="30981" xr:uid="{00000000-0005-0000-0000-0000A3590000}"/>
    <cellStyle name="Normal 55 6 2 2 4" xfId="22938" xr:uid="{00000000-0005-0000-0000-0000A4590000}"/>
    <cellStyle name="Normal 55 6 2 3" xfId="8885" xr:uid="{00000000-0005-0000-0000-0000A5590000}"/>
    <cellStyle name="Normal 55 6 2 3 2" xfId="18242" xr:uid="{00000000-0005-0000-0000-0000A6590000}"/>
    <cellStyle name="Normal 55 6 2 3 2 2" xfId="34816" xr:uid="{00000000-0005-0000-0000-0000A7590000}"/>
    <cellStyle name="Normal 55 6 2 3 3" xfId="26769" xr:uid="{00000000-0005-0000-0000-0000A8590000}"/>
    <cellStyle name="Normal 55 6 2 4" xfId="14434" xr:uid="{00000000-0005-0000-0000-0000A9590000}"/>
    <cellStyle name="Normal 55 6 2 4 2" xfId="30980" xr:uid="{00000000-0005-0000-0000-0000AA590000}"/>
    <cellStyle name="Normal 55 6 2 5" xfId="22937" xr:uid="{00000000-0005-0000-0000-0000AB590000}"/>
    <cellStyle name="Normal 55 6 3" xfId="4914" xr:uid="{00000000-0005-0000-0000-0000AC590000}"/>
    <cellStyle name="Normal 55 6 3 2" xfId="8886" xr:uid="{00000000-0005-0000-0000-0000AD590000}"/>
    <cellStyle name="Normal 55 6 3 2 2" xfId="18243" xr:uid="{00000000-0005-0000-0000-0000AE590000}"/>
    <cellStyle name="Normal 55 6 3 2 2 2" xfId="34817" xr:uid="{00000000-0005-0000-0000-0000AF590000}"/>
    <cellStyle name="Normal 55 6 3 2 3" xfId="26770" xr:uid="{00000000-0005-0000-0000-0000B0590000}"/>
    <cellStyle name="Normal 55 6 3 3" xfId="14436" xr:uid="{00000000-0005-0000-0000-0000B1590000}"/>
    <cellStyle name="Normal 55 6 3 3 2" xfId="30982" xr:uid="{00000000-0005-0000-0000-0000B2590000}"/>
    <cellStyle name="Normal 55 6 3 4" xfId="22939" xr:uid="{00000000-0005-0000-0000-0000B3590000}"/>
    <cellStyle name="Normal 55 6 4" xfId="8887" xr:uid="{00000000-0005-0000-0000-0000B4590000}"/>
    <cellStyle name="Normal 55 6 4 2" xfId="18244" xr:uid="{00000000-0005-0000-0000-0000B5590000}"/>
    <cellStyle name="Normal 55 6 4 2 2" xfId="34818" xr:uid="{00000000-0005-0000-0000-0000B6590000}"/>
    <cellStyle name="Normal 55 6 4 3" xfId="26771" xr:uid="{00000000-0005-0000-0000-0000B7590000}"/>
    <cellStyle name="Normal 55 6 5" xfId="14433" xr:uid="{00000000-0005-0000-0000-0000B8590000}"/>
    <cellStyle name="Normal 55 6 5 2" xfId="30979" xr:uid="{00000000-0005-0000-0000-0000B9590000}"/>
    <cellStyle name="Normal 55 6 6" xfId="22936" xr:uid="{00000000-0005-0000-0000-0000BA590000}"/>
    <cellStyle name="Normal 55 7" xfId="4915" xr:uid="{00000000-0005-0000-0000-0000BB590000}"/>
    <cellStyle name="Normal 55 7 2" xfId="4916" xr:uid="{00000000-0005-0000-0000-0000BC590000}"/>
    <cellStyle name="Normal 55 7 2 2" xfId="8888" xr:uid="{00000000-0005-0000-0000-0000BD590000}"/>
    <cellStyle name="Normal 55 7 2 2 2" xfId="18245" xr:uid="{00000000-0005-0000-0000-0000BE590000}"/>
    <cellStyle name="Normal 55 7 2 2 2 2" xfId="34819" xr:uid="{00000000-0005-0000-0000-0000BF590000}"/>
    <cellStyle name="Normal 55 7 2 2 3" xfId="26772" xr:uid="{00000000-0005-0000-0000-0000C0590000}"/>
    <cellStyle name="Normal 55 7 2 3" xfId="14438" xr:uid="{00000000-0005-0000-0000-0000C1590000}"/>
    <cellStyle name="Normal 55 7 2 3 2" xfId="30984" xr:uid="{00000000-0005-0000-0000-0000C2590000}"/>
    <cellStyle name="Normal 55 7 2 4" xfId="22941" xr:uid="{00000000-0005-0000-0000-0000C3590000}"/>
    <cellStyle name="Normal 55 7 3" xfId="8889" xr:uid="{00000000-0005-0000-0000-0000C4590000}"/>
    <cellStyle name="Normal 55 7 3 2" xfId="18246" xr:uid="{00000000-0005-0000-0000-0000C5590000}"/>
    <cellStyle name="Normal 55 7 3 2 2" xfId="34820" xr:uid="{00000000-0005-0000-0000-0000C6590000}"/>
    <cellStyle name="Normal 55 7 3 3" xfId="26773" xr:uid="{00000000-0005-0000-0000-0000C7590000}"/>
    <cellStyle name="Normal 55 7 4" xfId="14437" xr:uid="{00000000-0005-0000-0000-0000C8590000}"/>
    <cellStyle name="Normal 55 7 4 2" xfId="30983" xr:uid="{00000000-0005-0000-0000-0000C9590000}"/>
    <cellStyle name="Normal 55 7 5" xfId="22940" xr:uid="{00000000-0005-0000-0000-0000CA590000}"/>
    <cellStyle name="Normal 55 8" xfId="4917" xr:uid="{00000000-0005-0000-0000-0000CB590000}"/>
    <cellStyle name="Normal 55 8 2" xfId="8890" xr:uid="{00000000-0005-0000-0000-0000CC590000}"/>
    <cellStyle name="Normal 55 8 2 2" xfId="18247" xr:uid="{00000000-0005-0000-0000-0000CD590000}"/>
    <cellStyle name="Normal 55 8 2 2 2" xfId="34821" xr:uid="{00000000-0005-0000-0000-0000CE590000}"/>
    <cellStyle name="Normal 55 8 2 3" xfId="26774" xr:uid="{00000000-0005-0000-0000-0000CF590000}"/>
    <cellStyle name="Normal 55 8 3" xfId="14439" xr:uid="{00000000-0005-0000-0000-0000D0590000}"/>
    <cellStyle name="Normal 55 8 3 2" xfId="30985" xr:uid="{00000000-0005-0000-0000-0000D1590000}"/>
    <cellStyle name="Normal 55 8 4" xfId="22942" xr:uid="{00000000-0005-0000-0000-0000D2590000}"/>
    <cellStyle name="Normal 55 9" xfId="8891" xr:uid="{00000000-0005-0000-0000-0000D3590000}"/>
    <cellStyle name="Normal 55 9 2" xfId="18248" xr:uid="{00000000-0005-0000-0000-0000D4590000}"/>
    <cellStyle name="Normal 55 9 2 2" xfId="34822" xr:uid="{00000000-0005-0000-0000-0000D5590000}"/>
    <cellStyle name="Normal 55 9 3" xfId="26775" xr:uid="{00000000-0005-0000-0000-0000D6590000}"/>
    <cellStyle name="Normal 56" xfId="4918" xr:uid="{00000000-0005-0000-0000-0000D7590000}"/>
    <cellStyle name="Normal 56 10" xfId="14440" xr:uid="{00000000-0005-0000-0000-0000D8590000}"/>
    <cellStyle name="Normal 56 10 2" xfId="30986" xr:uid="{00000000-0005-0000-0000-0000D9590000}"/>
    <cellStyle name="Normal 56 11" xfId="22943" xr:uid="{00000000-0005-0000-0000-0000DA590000}"/>
    <cellStyle name="Normal 56 2" xfId="4919" xr:uid="{00000000-0005-0000-0000-0000DB590000}"/>
    <cellStyle name="Normal 56 2 2" xfId="4920" xr:uid="{00000000-0005-0000-0000-0000DC590000}"/>
    <cellStyle name="Normal 56 2 3" xfId="14441" xr:uid="{00000000-0005-0000-0000-0000DD590000}"/>
    <cellStyle name="Normal 56 2 3 2" xfId="30987" xr:uid="{00000000-0005-0000-0000-0000DE590000}"/>
    <cellStyle name="Normal 56 2 4" xfId="22944" xr:uid="{00000000-0005-0000-0000-0000DF590000}"/>
    <cellStyle name="Normal 56 3" xfId="4921" xr:uid="{00000000-0005-0000-0000-0000E0590000}"/>
    <cellStyle name="Normal 56 3 2" xfId="4922" xr:uid="{00000000-0005-0000-0000-0000E1590000}"/>
    <cellStyle name="Normal 56 3 2 2" xfId="4923" xr:uid="{00000000-0005-0000-0000-0000E2590000}"/>
    <cellStyle name="Normal 56 3 2 2 2" xfId="4924" xr:uid="{00000000-0005-0000-0000-0000E3590000}"/>
    <cellStyle name="Normal 56 3 2 2 2 2" xfId="8892" xr:uid="{00000000-0005-0000-0000-0000E4590000}"/>
    <cellStyle name="Normal 56 3 2 2 2 2 2" xfId="18249" xr:uid="{00000000-0005-0000-0000-0000E5590000}"/>
    <cellStyle name="Normal 56 3 2 2 2 2 2 2" xfId="34823" xr:uid="{00000000-0005-0000-0000-0000E6590000}"/>
    <cellStyle name="Normal 56 3 2 2 2 2 3" xfId="26776" xr:uid="{00000000-0005-0000-0000-0000E7590000}"/>
    <cellStyle name="Normal 56 3 2 2 2 3" xfId="14444" xr:uid="{00000000-0005-0000-0000-0000E8590000}"/>
    <cellStyle name="Normal 56 3 2 2 2 3 2" xfId="30990" xr:uid="{00000000-0005-0000-0000-0000E9590000}"/>
    <cellStyle name="Normal 56 3 2 2 2 4" xfId="22947" xr:uid="{00000000-0005-0000-0000-0000EA590000}"/>
    <cellStyle name="Normal 56 3 2 2 3" xfId="8893" xr:uid="{00000000-0005-0000-0000-0000EB590000}"/>
    <cellStyle name="Normal 56 3 2 2 3 2" xfId="18250" xr:uid="{00000000-0005-0000-0000-0000EC590000}"/>
    <cellStyle name="Normal 56 3 2 2 3 2 2" xfId="34824" xr:uid="{00000000-0005-0000-0000-0000ED590000}"/>
    <cellStyle name="Normal 56 3 2 2 3 3" xfId="26777" xr:uid="{00000000-0005-0000-0000-0000EE590000}"/>
    <cellStyle name="Normal 56 3 2 2 4" xfId="14443" xr:uid="{00000000-0005-0000-0000-0000EF590000}"/>
    <cellStyle name="Normal 56 3 2 2 4 2" xfId="30989" xr:uid="{00000000-0005-0000-0000-0000F0590000}"/>
    <cellStyle name="Normal 56 3 2 2 5" xfId="22946" xr:uid="{00000000-0005-0000-0000-0000F1590000}"/>
    <cellStyle name="Normal 56 3 2 3" xfId="4925" xr:uid="{00000000-0005-0000-0000-0000F2590000}"/>
    <cellStyle name="Normal 56 3 2 3 2" xfId="8894" xr:uid="{00000000-0005-0000-0000-0000F3590000}"/>
    <cellStyle name="Normal 56 3 2 3 2 2" xfId="18251" xr:uid="{00000000-0005-0000-0000-0000F4590000}"/>
    <cellStyle name="Normal 56 3 2 3 2 2 2" xfId="34825" xr:uid="{00000000-0005-0000-0000-0000F5590000}"/>
    <cellStyle name="Normal 56 3 2 3 2 3" xfId="26778" xr:uid="{00000000-0005-0000-0000-0000F6590000}"/>
    <cellStyle name="Normal 56 3 2 3 3" xfId="14445" xr:uid="{00000000-0005-0000-0000-0000F7590000}"/>
    <cellStyle name="Normal 56 3 2 3 3 2" xfId="30991" xr:uid="{00000000-0005-0000-0000-0000F8590000}"/>
    <cellStyle name="Normal 56 3 2 3 4" xfId="22948" xr:uid="{00000000-0005-0000-0000-0000F9590000}"/>
    <cellStyle name="Normal 56 3 2 4" xfId="8895" xr:uid="{00000000-0005-0000-0000-0000FA590000}"/>
    <cellStyle name="Normal 56 3 2 4 2" xfId="18252" xr:uid="{00000000-0005-0000-0000-0000FB590000}"/>
    <cellStyle name="Normal 56 3 2 4 2 2" xfId="34826" xr:uid="{00000000-0005-0000-0000-0000FC590000}"/>
    <cellStyle name="Normal 56 3 2 4 3" xfId="26779" xr:uid="{00000000-0005-0000-0000-0000FD590000}"/>
    <cellStyle name="Normal 56 3 2 5" xfId="14442" xr:uid="{00000000-0005-0000-0000-0000FE590000}"/>
    <cellStyle name="Normal 56 3 2 5 2" xfId="30988" xr:uid="{00000000-0005-0000-0000-0000FF590000}"/>
    <cellStyle name="Normal 56 3 2 6" xfId="22945" xr:uid="{00000000-0005-0000-0000-0000005A0000}"/>
    <cellStyle name="Normal 56 3 3" xfId="4926" xr:uid="{00000000-0005-0000-0000-0000015A0000}"/>
    <cellStyle name="Normal 56 3 3 2" xfId="4927" xr:uid="{00000000-0005-0000-0000-0000025A0000}"/>
    <cellStyle name="Normal 56 3 3 2 2" xfId="8896" xr:uid="{00000000-0005-0000-0000-0000035A0000}"/>
    <cellStyle name="Normal 56 3 3 2 2 2" xfId="18253" xr:uid="{00000000-0005-0000-0000-0000045A0000}"/>
    <cellStyle name="Normal 56 3 3 2 2 2 2" xfId="34827" xr:uid="{00000000-0005-0000-0000-0000055A0000}"/>
    <cellStyle name="Normal 56 3 3 2 2 3" xfId="26780" xr:uid="{00000000-0005-0000-0000-0000065A0000}"/>
    <cellStyle name="Normal 56 3 3 2 3" xfId="14447" xr:uid="{00000000-0005-0000-0000-0000075A0000}"/>
    <cellStyle name="Normal 56 3 3 2 3 2" xfId="30993" xr:uid="{00000000-0005-0000-0000-0000085A0000}"/>
    <cellStyle name="Normal 56 3 3 2 4" xfId="22950" xr:uid="{00000000-0005-0000-0000-0000095A0000}"/>
    <cellStyle name="Normal 56 3 3 3" xfId="8897" xr:uid="{00000000-0005-0000-0000-00000A5A0000}"/>
    <cellStyle name="Normal 56 3 3 3 2" xfId="18254" xr:uid="{00000000-0005-0000-0000-00000B5A0000}"/>
    <cellStyle name="Normal 56 3 3 3 2 2" xfId="34828" xr:uid="{00000000-0005-0000-0000-00000C5A0000}"/>
    <cellStyle name="Normal 56 3 3 3 3" xfId="26781" xr:uid="{00000000-0005-0000-0000-00000D5A0000}"/>
    <cellStyle name="Normal 56 3 3 4" xfId="14446" xr:uid="{00000000-0005-0000-0000-00000E5A0000}"/>
    <cellStyle name="Normal 56 3 3 4 2" xfId="30992" xr:uid="{00000000-0005-0000-0000-00000F5A0000}"/>
    <cellStyle name="Normal 56 3 3 5" xfId="22949" xr:uid="{00000000-0005-0000-0000-0000105A0000}"/>
    <cellStyle name="Normal 56 3 4" xfId="4928" xr:uid="{00000000-0005-0000-0000-0000115A0000}"/>
    <cellStyle name="Normal 56 3 4 2" xfId="8898" xr:uid="{00000000-0005-0000-0000-0000125A0000}"/>
    <cellStyle name="Normal 56 3 4 2 2" xfId="18255" xr:uid="{00000000-0005-0000-0000-0000135A0000}"/>
    <cellStyle name="Normal 56 3 4 2 2 2" xfId="34829" xr:uid="{00000000-0005-0000-0000-0000145A0000}"/>
    <cellStyle name="Normal 56 3 4 2 3" xfId="26782" xr:uid="{00000000-0005-0000-0000-0000155A0000}"/>
    <cellStyle name="Normal 56 3 4 3" xfId="14448" xr:uid="{00000000-0005-0000-0000-0000165A0000}"/>
    <cellStyle name="Normal 56 3 4 3 2" xfId="30994" xr:uid="{00000000-0005-0000-0000-0000175A0000}"/>
    <cellStyle name="Normal 56 3 4 4" xfId="22951" xr:uid="{00000000-0005-0000-0000-0000185A0000}"/>
    <cellStyle name="Normal 56 3 5" xfId="4929" xr:uid="{00000000-0005-0000-0000-0000195A0000}"/>
    <cellStyle name="Normal 56 3 5 2" xfId="14449" xr:uid="{00000000-0005-0000-0000-00001A5A0000}"/>
    <cellStyle name="Normal 56 3 5 2 2" xfId="30995" xr:uid="{00000000-0005-0000-0000-00001B5A0000}"/>
    <cellStyle name="Normal 56 3 5 3" xfId="22952" xr:uid="{00000000-0005-0000-0000-00001C5A0000}"/>
    <cellStyle name="Normal 56 4" xfId="4930" xr:uid="{00000000-0005-0000-0000-00001D5A0000}"/>
    <cellStyle name="Normal 56 4 2" xfId="4931" xr:uid="{00000000-0005-0000-0000-00001E5A0000}"/>
    <cellStyle name="Normal 56 4 2 2" xfId="4932" xr:uid="{00000000-0005-0000-0000-00001F5A0000}"/>
    <cellStyle name="Normal 56 4 2 2 2" xfId="4933" xr:uid="{00000000-0005-0000-0000-0000205A0000}"/>
    <cellStyle name="Normal 56 4 2 2 2 2" xfId="8899" xr:uid="{00000000-0005-0000-0000-0000215A0000}"/>
    <cellStyle name="Normal 56 4 2 2 2 2 2" xfId="18256" xr:uid="{00000000-0005-0000-0000-0000225A0000}"/>
    <cellStyle name="Normal 56 4 2 2 2 2 2 2" xfId="34830" xr:uid="{00000000-0005-0000-0000-0000235A0000}"/>
    <cellStyle name="Normal 56 4 2 2 2 2 3" xfId="26783" xr:uid="{00000000-0005-0000-0000-0000245A0000}"/>
    <cellStyle name="Normal 56 4 2 2 2 3" xfId="14453" xr:uid="{00000000-0005-0000-0000-0000255A0000}"/>
    <cellStyle name="Normal 56 4 2 2 2 3 2" xfId="30999" xr:uid="{00000000-0005-0000-0000-0000265A0000}"/>
    <cellStyle name="Normal 56 4 2 2 2 4" xfId="22956" xr:uid="{00000000-0005-0000-0000-0000275A0000}"/>
    <cellStyle name="Normal 56 4 2 2 3" xfId="8900" xr:uid="{00000000-0005-0000-0000-0000285A0000}"/>
    <cellStyle name="Normal 56 4 2 2 3 2" xfId="18257" xr:uid="{00000000-0005-0000-0000-0000295A0000}"/>
    <cellStyle name="Normal 56 4 2 2 3 2 2" xfId="34831" xr:uid="{00000000-0005-0000-0000-00002A5A0000}"/>
    <cellStyle name="Normal 56 4 2 2 3 3" xfId="26784" xr:uid="{00000000-0005-0000-0000-00002B5A0000}"/>
    <cellStyle name="Normal 56 4 2 2 4" xfId="14452" xr:uid="{00000000-0005-0000-0000-00002C5A0000}"/>
    <cellStyle name="Normal 56 4 2 2 4 2" xfId="30998" xr:uid="{00000000-0005-0000-0000-00002D5A0000}"/>
    <cellStyle name="Normal 56 4 2 2 5" xfId="22955" xr:uid="{00000000-0005-0000-0000-00002E5A0000}"/>
    <cellStyle name="Normal 56 4 2 3" xfId="4934" xr:uid="{00000000-0005-0000-0000-00002F5A0000}"/>
    <cellStyle name="Normal 56 4 2 3 2" xfId="8901" xr:uid="{00000000-0005-0000-0000-0000305A0000}"/>
    <cellStyle name="Normal 56 4 2 3 2 2" xfId="18258" xr:uid="{00000000-0005-0000-0000-0000315A0000}"/>
    <cellStyle name="Normal 56 4 2 3 2 2 2" xfId="34832" xr:uid="{00000000-0005-0000-0000-0000325A0000}"/>
    <cellStyle name="Normal 56 4 2 3 2 3" xfId="26785" xr:uid="{00000000-0005-0000-0000-0000335A0000}"/>
    <cellStyle name="Normal 56 4 2 3 3" xfId="14454" xr:uid="{00000000-0005-0000-0000-0000345A0000}"/>
    <cellStyle name="Normal 56 4 2 3 3 2" xfId="31000" xr:uid="{00000000-0005-0000-0000-0000355A0000}"/>
    <cellStyle name="Normal 56 4 2 3 4" xfId="22957" xr:uid="{00000000-0005-0000-0000-0000365A0000}"/>
    <cellStyle name="Normal 56 4 2 4" xfId="8902" xr:uid="{00000000-0005-0000-0000-0000375A0000}"/>
    <cellStyle name="Normal 56 4 2 4 2" xfId="18259" xr:uid="{00000000-0005-0000-0000-0000385A0000}"/>
    <cellStyle name="Normal 56 4 2 4 2 2" xfId="34833" xr:uid="{00000000-0005-0000-0000-0000395A0000}"/>
    <cellStyle name="Normal 56 4 2 4 3" xfId="26786" xr:uid="{00000000-0005-0000-0000-00003A5A0000}"/>
    <cellStyle name="Normal 56 4 2 5" xfId="14451" xr:uid="{00000000-0005-0000-0000-00003B5A0000}"/>
    <cellStyle name="Normal 56 4 2 5 2" xfId="30997" xr:uid="{00000000-0005-0000-0000-00003C5A0000}"/>
    <cellStyle name="Normal 56 4 2 6" xfId="22954" xr:uid="{00000000-0005-0000-0000-00003D5A0000}"/>
    <cellStyle name="Normal 56 4 3" xfId="4935" xr:uid="{00000000-0005-0000-0000-00003E5A0000}"/>
    <cellStyle name="Normal 56 4 3 2" xfId="4936" xr:uid="{00000000-0005-0000-0000-00003F5A0000}"/>
    <cellStyle name="Normal 56 4 3 2 2" xfId="8903" xr:uid="{00000000-0005-0000-0000-0000405A0000}"/>
    <cellStyle name="Normal 56 4 3 2 2 2" xfId="18260" xr:uid="{00000000-0005-0000-0000-0000415A0000}"/>
    <cellStyle name="Normal 56 4 3 2 2 2 2" xfId="34834" xr:uid="{00000000-0005-0000-0000-0000425A0000}"/>
    <cellStyle name="Normal 56 4 3 2 2 3" xfId="26787" xr:uid="{00000000-0005-0000-0000-0000435A0000}"/>
    <cellStyle name="Normal 56 4 3 2 3" xfId="14456" xr:uid="{00000000-0005-0000-0000-0000445A0000}"/>
    <cellStyle name="Normal 56 4 3 2 3 2" xfId="31002" xr:uid="{00000000-0005-0000-0000-0000455A0000}"/>
    <cellStyle name="Normal 56 4 3 2 4" xfId="22959" xr:uid="{00000000-0005-0000-0000-0000465A0000}"/>
    <cellStyle name="Normal 56 4 3 3" xfId="8904" xr:uid="{00000000-0005-0000-0000-0000475A0000}"/>
    <cellStyle name="Normal 56 4 3 3 2" xfId="18261" xr:uid="{00000000-0005-0000-0000-0000485A0000}"/>
    <cellStyle name="Normal 56 4 3 3 2 2" xfId="34835" xr:uid="{00000000-0005-0000-0000-0000495A0000}"/>
    <cellStyle name="Normal 56 4 3 3 3" xfId="26788" xr:uid="{00000000-0005-0000-0000-00004A5A0000}"/>
    <cellStyle name="Normal 56 4 3 4" xfId="14455" xr:uid="{00000000-0005-0000-0000-00004B5A0000}"/>
    <cellStyle name="Normal 56 4 3 4 2" xfId="31001" xr:uid="{00000000-0005-0000-0000-00004C5A0000}"/>
    <cellStyle name="Normal 56 4 3 5" xfId="22958" xr:uid="{00000000-0005-0000-0000-00004D5A0000}"/>
    <cellStyle name="Normal 56 4 4" xfId="4937" xr:uid="{00000000-0005-0000-0000-00004E5A0000}"/>
    <cellStyle name="Normal 56 4 4 2" xfId="8905" xr:uid="{00000000-0005-0000-0000-00004F5A0000}"/>
    <cellStyle name="Normal 56 4 4 2 2" xfId="18262" xr:uid="{00000000-0005-0000-0000-0000505A0000}"/>
    <cellStyle name="Normal 56 4 4 2 2 2" xfId="34836" xr:uid="{00000000-0005-0000-0000-0000515A0000}"/>
    <cellStyle name="Normal 56 4 4 2 3" xfId="26789" xr:uid="{00000000-0005-0000-0000-0000525A0000}"/>
    <cellStyle name="Normal 56 4 4 3" xfId="14457" xr:uid="{00000000-0005-0000-0000-0000535A0000}"/>
    <cellStyle name="Normal 56 4 4 3 2" xfId="31003" xr:uid="{00000000-0005-0000-0000-0000545A0000}"/>
    <cellStyle name="Normal 56 4 4 4" xfId="22960" xr:uid="{00000000-0005-0000-0000-0000555A0000}"/>
    <cellStyle name="Normal 56 4 5" xfId="8906" xr:uid="{00000000-0005-0000-0000-0000565A0000}"/>
    <cellStyle name="Normal 56 4 5 2" xfId="18263" xr:uid="{00000000-0005-0000-0000-0000575A0000}"/>
    <cellStyle name="Normal 56 4 5 2 2" xfId="34837" xr:uid="{00000000-0005-0000-0000-0000585A0000}"/>
    <cellStyle name="Normal 56 4 5 3" xfId="26790" xr:uid="{00000000-0005-0000-0000-0000595A0000}"/>
    <cellStyle name="Normal 56 4 6" xfId="14450" xr:uid="{00000000-0005-0000-0000-00005A5A0000}"/>
    <cellStyle name="Normal 56 4 6 2" xfId="30996" xr:uid="{00000000-0005-0000-0000-00005B5A0000}"/>
    <cellStyle name="Normal 56 4 7" xfId="22953" xr:uid="{00000000-0005-0000-0000-00005C5A0000}"/>
    <cellStyle name="Normal 56 5" xfId="4938" xr:uid="{00000000-0005-0000-0000-00005D5A0000}"/>
    <cellStyle name="Normal 56 5 2" xfId="4939" xr:uid="{00000000-0005-0000-0000-00005E5A0000}"/>
    <cellStyle name="Normal 56 5 2 2" xfId="4940" xr:uid="{00000000-0005-0000-0000-00005F5A0000}"/>
    <cellStyle name="Normal 56 5 2 2 2" xfId="4941" xr:uid="{00000000-0005-0000-0000-0000605A0000}"/>
    <cellStyle name="Normal 56 5 2 2 2 2" xfId="8907" xr:uid="{00000000-0005-0000-0000-0000615A0000}"/>
    <cellStyle name="Normal 56 5 2 2 2 2 2" xfId="18264" xr:uid="{00000000-0005-0000-0000-0000625A0000}"/>
    <cellStyle name="Normal 56 5 2 2 2 2 2 2" xfId="34838" xr:uid="{00000000-0005-0000-0000-0000635A0000}"/>
    <cellStyle name="Normal 56 5 2 2 2 2 3" xfId="26791" xr:uid="{00000000-0005-0000-0000-0000645A0000}"/>
    <cellStyle name="Normal 56 5 2 2 2 3" xfId="14461" xr:uid="{00000000-0005-0000-0000-0000655A0000}"/>
    <cellStyle name="Normal 56 5 2 2 2 3 2" xfId="31007" xr:uid="{00000000-0005-0000-0000-0000665A0000}"/>
    <cellStyle name="Normal 56 5 2 2 2 4" xfId="22964" xr:uid="{00000000-0005-0000-0000-0000675A0000}"/>
    <cellStyle name="Normal 56 5 2 2 3" xfId="8908" xr:uid="{00000000-0005-0000-0000-0000685A0000}"/>
    <cellStyle name="Normal 56 5 2 2 3 2" xfId="18265" xr:uid="{00000000-0005-0000-0000-0000695A0000}"/>
    <cellStyle name="Normal 56 5 2 2 3 2 2" xfId="34839" xr:uid="{00000000-0005-0000-0000-00006A5A0000}"/>
    <cellStyle name="Normal 56 5 2 2 3 3" xfId="26792" xr:uid="{00000000-0005-0000-0000-00006B5A0000}"/>
    <cellStyle name="Normal 56 5 2 2 4" xfId="14460" xr:uid="{00000000-0005-0000-0000-00006C5A0000}"/>
    <cellStyle name="Normal 56 5 2 2 4 2" xfId="31006" xr:uid="{00000000-0005-0000-0000-00006D5A0000}"/>
    <cellStyle name="Normal 56 5 2 2 5" xfId="22963" xr:uid="{00000000-0005-0000-0000-00006E5A0000}"/>
    <cellStyle name="Normal 56 5 2 3" xfId="4942" xr:uid="{00000000-0005-0000-0000-00006F5A0000}"/>
    <cellStyle name="Normal 56 5 2 3 2" xfId="8909" xr:uid="{00000000-0005-0000-0000-0000705A0000}"/>
    <cellStyle name="Normal 56 5 2 3 2 2" xfId="18266" xr:uid="{00000000-0005-0000-0000-0000715A0000}"/>
    <cellStyle name="Normal 56 5 2 3 2 2 2" xfId="34840" xr:uid="{00000000-0005-0000-0000-0000725A0000}"/>
    <cellStyle name="Normal 56 5 2 3 2 3" xfId="26793" xr:uid="{00000000-0005-0000-0000-0000735A0000}"/>
    <cellStyle name="Normal 56 5 2 3 3" xfId="14462" xr:uid="{00000000-0005-0000-0000-0000745A0000}"/>
    <cellStyle name="Normal 56 5 2 3 3 2" xfId="31008" xr:uid="{00000000-0005-0000-0000-0000755A0000}"/>
    <cellStyle name="Normal 56 5 2 3 4" xfId="22965" xr:uid="{00000000-0005-0000-0000-0000765A0000}"/>
    <cellStyle name="Normal 56 5 2 4" xfId="8910" xr:uid="{00000000-0005-0000-0000-0000775A0000}"/>
    <cellStyle name="Normal 56 5 2 4 2" xfId="18267" xr:uid="{00000000-0005-0000-0000-0000785A0000}"/>
    <cellStyle name="Normal 56 5 2 4 2 2" xfId="34841" xr:uid="{00000000-0005-0000-0000-0000795A0000}"/>
    <cellStyle name="Normal 56 5 2 4 3" xfId="26794" xr:uid="{00000000-0005-0000-0000-00007A5A0000}"/>
    <cellStyle name="Normal 56 5 2 5" xfId="14459" xr:uid="{00000000-0005-0000-0000-00007B5A0000}"/>
    <cellStyle name="Normal 56 5 2 5 2" xfId="31005" xr:uid="{00000000-0005-0000-0000-00007C5A0000}"/>
    <cellStyle name="Normal 56 5 2 6" xfId="22962" xr:uid="{00000000-0005-0000-0000-00007D5A0000}"/>
    <cellStyle name="Normal 56 5 3" xfId="4943" xr:uid="{00000000-0005-0000-0000-00007E5A0000}"/>
    <cellStyle name="Normal 56 5 3 2" xfId="4944" xr:uid="{00000000-0005-0000-0000-00007F5A0000}"/>
    <cellStyle name="Normal 56 5 3 2 2" xfId="8911" xr:uid="{00000000-0005-0000-0000-0000805A0000}"/>
    <cellStyle name="Normal 56 5 3 2 2 2" xfId="18268" xr:uid="{00000000-0005-0000-0000-0000815A0000}"/>
    <cellStyle name="Normal 56 5 3 2 2 2 2" xfId="34842" xr:uid="{00000000-0005-0000-0000-0000825A0000}"/>
    <cellStyle name="Normal 56 5 3 2 2 3" xfId="26795" xr:uid="{00000000-0005-0000-0000-0000835A0000}"/>
    <cellStyle name="Normal 56 5 3 2 3" xfId="14464" xr:uid="{00000000-0005-0000-0000-0000845A0000}"/>
    <cellStyle name="Normal 56 5 3 2 3 2" xfId="31010" xr:uid="{00000000-0005-0000-0000-0000855A0000}"/>
    <cellStyle name="Normal 56 5 3 2 4" xfId="22967" xr:uid="{00000000-0005-0000-0000-0000865A0000}"/>
    <cellStyle name="Normal 56 5 3 3" xfId="8912" xr:uid="{00000000-0005-0000-0000-0000875A0000}"/>
    <cellStyle name="Normal 56 5 3 3 2" xfId="18269" xr:uid="{00000000-0005-0000-0000-0000885A0000}"/>
    <cellStyle name="Normal 56 5 3 3 2 2" xfId="34843" xr:uid="{00000000-0005-0000-0000-0000895A0000}"/>
    <cellStyle name="Normal 56 5 3 3 3" xfId="26796" xr:uid="{00000000-0005-0000-0000-00008A5A0000}"/>
    <cellStyle name="Normal 56 5 3 4" xfId="14463" xr:uid="{00000000-0005-0000-0000-00008B5A0000}"/>
    <cellStyle name="Normal 56 5 3 4 2" xfId="31009" xr:uid="{00000000-0005-0000-0000-00008C5A0000}"/>
    <cellStyle name="Normal 56 5 3 5" xfId="22966" xr:uid="{00000000-0005-0000-0000-00008D5A0000}"/>
    <cellStyle name="Normal 56 5 4" xfId="4945" xr:uid="{00000000-0005-0000-0000-00008E5A0000}"/>
    <cellStyle name="Normal 56 5 4 2" xfId="8913" xr:uid="{00000000-0005-0000-0000-00008F5A0000}"/>
    <cellStyle name="Normal 56 5 4 2 2" xfId="18270" xr:uid="{00000000-0005-0000-0000-0000905A0000}"/>
    <cellStyle name="Normal 56 5 4 2 2 2" xfId="34844" xr:uid="{00000000-0005-0000-0000-0000915A0000}"/>
    <cellStyle name="Normal 56 5 4 2 3" xfId="26797" xr:uid="{00000000-0005-0000-0000-0000925A0000}"/>
    <cellStyle name="Normal 56 5 4 3" xfId="14465" xr:uid="{00000000-0005-0000-0000-0000935A0000}"/>
    <cellStyle name="Normal 56 5 4 3 2" xfId="31011" xr:uid="{00000000-0005-0000-0000-0000945A0000}"/>
    <cellStyle name="Normal 56 5 4 4" xfId="22968" xr:uid="{00000000-0005-0000-0000-0000955A0000}"/>
    <cellStyle name="Normal 56 5 5" xfId="8914" xr:uid="{00000000-0005-0000-0000-0000965A0000}"/>
    <cellStyle name="Normal 56 5 5 2" xfId="18271" xr:uid="{00000000-0005-0000-0000-0000975A0000}"/>
    <cellStyle name="Normal 56 5 5 2 2" xfId="34845" xr:uid="{00000000-0005-0000-0000-0000985A0000}"/>
    <cellStyle name="Normal 56 5 5 3" xfId="26798" xr:uid="{00000000-0005-0000-0000-0000995A0000}"/>
    <cellStyle name="Normal 56 5 6" xfId="14458" xr:uid="{00000000-0005-0000-0000-00009A5A0000}"/>
    <cellStyle name="Normal 56 5 6 2" xfId="31004" xr:uid="{00000000-0005-0000-0000-00009B5A0000}"/>
    <cellStyle name="Normal 56 5 7" xfId="22961" xr:uid="{00000000-0005-0000-0000-00009C5A0000}"/>
    <cellStyle name="Normal 56 6" xfId="4946" xr:uid="{00000000-0005-0000-0000-00009D5A0000}"/>
    <cellStyle name="Normal 56 6 2" xfId="4947" xr:uid="{00000000-0005-0000-0000-00009E5A0000}"/>
    <cellStyle name="Normal 56 6 2 2" xfId="4948" xr:uid="{00000000-0005-0000-0000-00009F5A0000}"/>
    <cellStyle name="Normal 56 6 2 2 2" xfId="8915" xr:uid="{00000000-0005-0000-0000-0000A05A0000}"/>
    <cellStyle name="Normal 56 6 2 2 2 2" xfId="18272" xr:uid="{00000000-0005-0000-0000-0000A15A0000}"/>
    <cellStyle name="Normal 56 6 2 2 2 2 2" xfId="34846" xr:uid="{00000000-0005-0000-0000-0000A25A0000}"/>
    <cellStyle name="Normal 56 6 2 2 2 3" xfId="26799" xr:uid="{00000000-0005-0000-0000-0000A35A0000}"/>
    <cellStyle name="Normal 56 6 2 2 3" xfId="14468" xr:uid="{00000000-0005-0000-0000-0000A45A0000}"/>
    <cellStyle name="Normal 56 6 2 2 3 2" xfId="31014" xr:uid="{00000000-0005-0000-0000-0000A55A0000}"/>
    <cellStyle name="Normal 56 6 2 2 4" xfId="22971" xr:uid="{00000000-0005-0000-0000-0000A65A0000}"/>
    <cellStyle name="Normal 56 6 2 3" xfId="8916" xr:uid="{00000000-0005-0000-0000-0000A75A0000}"/>
    <cellStyle name="Normal 56 6 2 3 2" xfId="18273" xr:uid="{00000000-0005-0000-0000-0000A85A0000}"/>
    <cellStyle name="Normal 56 6 2 3 2 2" xfId="34847" xr:uid="{00000000-0005-0000-0000-0000A95A0000}"/>
    <cellStyle name="Normal 56 6 2 3 3" xfId="26800" xr:uid="{00000000-0005-0000-0000-0000AA5A0000}"/>
    <cellStyle name="Normal 56 6 2 4" xfId="14467" xr:uid="{00000000-0005-0000-0000-0000AB5A0000}"/>
    <cellStyle name="Normal 56 6 2 4 2" xfId="31013" xr:uid="{00000000-0005-0000-0000-0000AC5A0000}"/>
    <cellStyle name="Normal 56 6 2 5" xfId="22970" xr:uid="{00000000-0005-0000-0000-0000AD5A0000}"/>
    <cellStyle name="Normal 56 6 3" xfId="4949" xr:uid="{00000000-0005-0000-0000-0000AE5A0000}"/>
    <cellStyle name="Normal 56 6 3 2" xfId="8917" xr:uid="{00000000-0005-0000-0000-0000AF5A0000}"/>
    <cellStyle name="Normal 56 6 3 2 2" xfId="18274" xr:uid="{00000000-0005-0000-0000-0000B05A0000}"/>
    <cellStyle name="Normal 56 6 3 2 2 2" xfId="34848" xr:uid="{00000000-0005-0000-0000-0000B15A0000}"/>
    <cellStyle name="Normal 56 6 3 2 3" xfId="26801" xr:uid="{00000000-0005-0000-0000-0000B25A0000}"/>
    <cellStyle name="Normal 56 6 3 3" xfId="14469" xr:uid="{00000000-0005-0000-0000-0000B35A0000}"/>
    <cellStyle name="Normal 56 6 3 3 2" xfId="31015" xr:uid="{00000000-0005-0000-0000-0000B45A0000}"/>
    <cellStyle name="Normal 56 6 3 4" xfId="22972" xr:uid="{00000000-0005-0000-0000-0000B55A0000}"/>
    <cellStyle name="Normal 56 6 4" xfId="8918" xr:uid="{00000000-0005-0000-0000-0000B65A0000}"/>
    <cellStyle name="Normal 56 6 4 2" xfId="18275" xr:uid="{00000000-0005-0000-0000-0000B75A0000}"/>
    <cellStyle name="Normal 56 6 4 2 2" xfId="34849" xr:uid="{00000000-0005-0000-0000-0000B85A0000}"/>
    <cellStyle name="Normal 56 6 4 3" xfId="26802" xr:uid="{00000000-0005-0000-0000-0000B95A0000}"/>
    <cellStyle name="Normal 56 6 5" xfId="14466" xr:uid="{00000000-0005-0000-0000-0000BA5A0000}"/>
    <cellStyle name="Normal 56 6 5 2" xfId="31012" xr:uid="{00000000-0005-0000-0000-0000BB5A0000}"/>
    <cellStyle name="Normal 56 6 6" xfId="22969" xr:uid="{00000000-0005-0000-0000-0000BC5A0000}"/>
    <cellStyle name="Normal 56 7" xfId="4950" xr:uid="{00000000-0005-0000-0000-0000BD5A0000}"/>
    <cellStyle name="Normal 56 7 2" xfId="4951" xr:uid="{00000000-0005-0000-0000-0000BE5A0000}"/>
    <cellStyle name="Normal 56 7 2 2" xfId="8919" xr:uid="{00000000-0005-0000-0000-0000BF5A0000}"/>
    <cellStyle name="Normal 56 7 2 2 2" xfId="18276" xr:uid="{00000000-0005-0000-0000-0000C05A0000}"/>
    <cellStyle name="Normal 56 7 2 2 2 2" xfId="34850" xr:uid="{00000000-0005-0000-0000-0000C15A0000}"/>
    <cellStyle name="Normal 56 7 2 2 3" xfId="26803" xr:uid="{00000000-0005-0000-0000-0000C25A0000}"/>
    <cellStyle name="Normal 56 7 2 3" xfId="14471" xr:uid="{00000000-0005-0000-0000-0000C35A0000}"/>
    <cellStyle name="Normal 56 7 2 3 2" xfId="31017" xr:uid="{00000000-0005-0000-0000-0000C45A0000}"/>
    <cellStyle name="Normal 56 7 2 4" xfId="22974" xr:uid="{00000000-0005-0000-0000-0000C55A0000}"/>
    <cellStyle name="Normal 56 7 3" xfId="8920" xr:uid="{00000000-0005-0000-0000-0000C65A0000}"/>
    <cellStyle name="Normal 56 7 3 2" xfId="18277" xr:uid="{00000000-0005-0000-0000-0000C75A0000}"/>
    <cellStyle name="Normal 56 7 3 2 2" xfId="34851" xr:uid="{00000000-0005-0000-0000-0000C85A0000}"/>
    <cellStyle name="Normal 56 7 3 3" xfId="26804" xr:uid="{00000000-0005-0000-0000-0000C95A0000}"/>
    <cellStyle name="Normal 56 7 4" xfId="14470" xr:uid="{00000000-0005-0000-0000-0000CA5A0000}"/>
    <cellStyle name="Normal 56 7 4 2" xfId="31016" xr:uid="{00000000-0005-0000-0000-0000CB5A0000}"/>
    <cellStyle name="Normal 56 7 5" xfId="22973" xr:uid="{00000000-0005-0000-0000-0000CC5A0000}"/>
    <cellStyle name="Normal 56 8" xfId="4952" xr:uid="{00000000-0005-0000-0000-0000CD5A0000}"/>
    <cellStyle name="Normal 56 8 2" xfId="8921" xr:uid="{00000000-0005-0000-0000-0000CE5A0000}"/>
    <cellStyle name="Normal 56 8 2 2" xfId="18278" xr:uid="{00000000-0005-0000-0000-0000CF5A0000}"/>
    <cellStyle name="Normal 56 8 2 2 2" xfId="34852" xr:uid="{00000000-0005-0000-0000-0000D05A0000}"/>
    <cellStyle name="Normal 56 8 2 3" xfId="26805" xr:uid="{00000000-0005-0000-0000-0000D15A0000}"/>
    <cellStyle name="Normal 56 8 3" xfId="14472" xr:uid="{00000000-0005-0000-0000-0000D25A0000}"/>
    <cellStyle name="Normal 56 8 3 2" xfId="31018" xr:uid="{00000000-0005-0000-0000-0000D35A0000}"/>
    <cellStyle name="Normal 56 8 4" xfId="22975" xr:uid="{00000000-0005-0000-0000-0000D45A0000}"/>
    <cellStyle name="Normal 56 9" xfId="8922" xr:uid="{00000000-0005-0000-0000-0000D55A0000}"/>
    <cellStyle name="Normal 56 9 2" xfId="18279" xr:uid="{00000000-0005-0000-0000-0000D65A0000}"/>
    <cellStyle name="Normal 56 9 2 2" xfId="34853" xr:uid="{00000000-0005-0000-0000-0000D75A0000}"/>
    <cellStyle name="Normal 56 9 3" xfId="26806" xr:uid="{00000000-0005-0000-0000-0000D85A0000}"/>
    <cellStyle name="Normal 57" xfId="4953" xr:uid="{00000000-0005-0000-0000-0000D95A0000}"/>
    <cellStyle name="Normal 57 10" xfId="14473" xr:uid="{00000000-0005-0000-0000-0000DA5A0000}"/>
    <cellStyle name="Normal 57 10 2" xfId="31019" xr:uid="{00000000-0005-0000-0000-0000DB5A0000}"/>
    <cellStyle name="Normal 57 11" xfId="22976" xr:uid="{00000000-0005-0000-0000-0000DC5A0000}"/>
    <cellStyle name="Normal 57 2" xfId="4954" xr:uid="{00000000-0005-0000-0000-0000DD5A0000}"/>
    <cellStyle name="Normal 57 2 2" xfId="4955" xr:uid="{00000000-0005-0000-0000-0000DE5A0000}"/>
    <cellStyle name="Normal 57 2 3" xfId="14474" xr:uid="{00000000-0005-0000-0000-0000DF5A0000}"/>
    <cellStyle name="Normal 57 2 3 2" xfId="31020" xr:uid="{00000000-0005-0000-0000-0000E05A0000}"/>
    <cellStyle name="Normal 57 2 4" xfId="22977" xr:uid="{00000000-0005-0000-0000-0000E15A0000}"/>
    <cellStyle name="Normal 57 3" xfId="4956" xr:uid="{00000000-0005-0000-0000-0000E25A0000}"/>
    <cellStyle name="Normal 57 3 2" xfId="4957" xr:uid="{00000000-0005-0000-0000-0000E35A0000}"/>
    <cellStyle name="Normal 57 3 2 2" xfId="4958" xr:uid="{00000000-0005-0000-0000-0000E45A0000}"/>
    <cellStyle name="Normal 57 3 2 2 2" xfId="4959" xr:uid="{00000000-0005-0000-0000-0000E55A0000}"/>
    <cellStyle name="Normal 57 3 2 2 2 2" xfId="8923" xr:uid="{00000000-0005-0000-0000-0000E65A0000}"/>
    <cellStyle name="Normal 57 3 2 2 2 2 2" xfId="18280" xr:uid="{00000000-0005-0000-0000-0000E75A0000}"/>
    <cellStyle name="Normal 57 3 2 2 2 2 2 2" xfId="34854" xr:uid="{00000000-0005-0000-0000-0000E85A0000}"/>
    <cellStyle name="Normal 57 3 2 2 2 2 3" xfId="26807" xr:uid="{00000000-0005-0000-0000-0000E95A0000}"/>
    <cellStyle name="Normal 57 3 2 2 2 3" xfId="14477" xr:uid="{00000000-0005-0000-0000-0000EA5A0000}"/>
    <cellStyle name="Normal 57 3 2 2 2 3 2" xfId="31023" xr:uid="{00000000-0005-0000-0000-0000EB5A0000}"/>
    <cellStyle name="Normal 57 3 2 2 2 4" xfId="22980" xr:uid="{00000000-0005-0000-0000-0000EC5A0000}"/>
    <cellStyle name="Normal 57 3 2 2 3" xfId="8924" xr:uid="{00000000-0005-0000-0000-0000ED5A0000}"/>
    <cellStyle name="Normal 57 3 2 2 3 2" xfId="18281" xr:uid="{00000000-0005-0000-0000-0000EE5A0000}"/>
    <cellStyle name="Normal 57 3 2 2 3 2 2" xfId="34855" xr:uid="{00000000-0005-0000-0000-0000EF5A0000}"/>
    <cellStyle name="Normal 57 3 2 2 3 3" xfId="26808" xr:uid="{00000000-0005-0000-0000-0000F05A0000}"/>
    <cellStyle name="Normal 57 3 2 2 4" xfId="14476" xr:uid="{00000000-0005-0000-0000-0000F15A0000}"/>
    <cellStyle name="Normal 57 3 2 2 4 2" xfId="31022" xr:uid="{00000000-0005-0000-0000-0000F25A0000}"/>
    <cellStyle name="Normal 57 3 2 2 5" xfId="22979" xr:uid="{00000000-0005-0000-0000-0000F35A0000}"/>
    <cellStyle name="Normal 57 3 2 3" xfId="4960" xr:uid="{00000000-0005-0000-0000-0000F45A0000}"/>
    <cellStyle name="Normal 57 3 2 3 2" xfId="8925" xr:uid="{00000000-0005-0000-0000-0000F55A0000}"/>
    <cellStyle name="Normal 57 3 2 3 2 2" xfId="18282" xr:uid="{00000000-0005-0000-0000-0000F65A0000}"/>
    <cellStyle name="Normal 57 3 2 3 2 2 2" xfId="34856" xr:uid="{00000000-0005-0000-0000-0000F75A0000}"/>
    <cellStyle name="Normal 57 3 2 3 2 3" xfId="26809" xr:uid="{00000000-0005-0000-0000-0000F85A0000}"/>
    <cellStyle name="Normal 57 3 2 3 3" xfId="14478" xr:uid="{00000000-0005-0000-0000-0000F95A0000}"/>
    <cellStyle name="Normal 57 3 2 3 3 2" xfId="31024" xr:uid="{00000000-0005-0000-0000-0000FA5A0000}"/>
    <cellStyle name="Normal 57 3 2 3 4" xfId="22981" xr:uid="{00000000-0005-0000-0000-0000FB5A0000}"/>
    <cellStyle name="Normal 57 3 2 4" xfId="8926" xr:uid="{00000000-0005-0000-0000-0000FC5A0000}"/>
    <cellStyle name="Normal 57 3 2 4 2" xfId="18283" xr:uid="{00000000-0005-0000-0000-0000FD5A0000}"/>
    <cellStyle name="Normal 57 3 2 4 2 2" xfId="34857" xr:uid="{00000000-0005-0000-0000-0000FE5A0000}"/>
    <cellStyle name="Normal 57 3 2 4 3" xfId="26810" xr:uid="{00000000-0005-0000-0000-0000FF5A0000}"/>
    <cellStyle name="Normal 57 3 2 5" xfId="14475" xr:uid="{00000000-0005-0000-0000-0000005B0000}"/>
    <cellStyle name="Normal 57 3 2 5 2" xfId="31021" xr:uid="{00000000-0005-0000-0000-0000015B0000}"/>
    <cellStyle name="Normal 57 3 2 6" xfId="22978" xr:uid="{00000000-0005-0000-0000-0000025B0000}"/>
    <cellStyle name="Normal 57 3 3" xfId="4961" xr:uid="{00000000-0005-0000-0000-0000035B0000}"/>
    <cellStyle name="Normal 57 3 3 2" xfId="4962" xr:uid="{00000000-0005-0000-0000-0000045B0000}"/>
    <cellStyle name="Normal 57 3 3 2 2" xfId="8927" xr:uid="{00000000-0005-0000-0000-0000055B0000}"/>
    <cellStyle name="Normal 57 3 3 2 2 2" xfId="18284" xr:uid="{00000000-0005-0000-0000-0000065B0000}"/>
    <cellStyle name="Normal 57 3 3 2 2 2 2" xfId="34858" xr:uid="{00000000-0005-0000-0000-0000075B0000}"/>
    <cellStyle name="Normal 57 3 3 2 2 3" xfId="26811" xr:uid="{00000000-0005-0000-0000-0000085B0000}"/>
    <cellStyle name="Normal 57 3 3 2 3" xfId="14480" xr:uid="{00000000-0005-0000-0000-0000095B0000}"/>
    <cellStyle name="Normal 57 3 3 2 3 2" xfId="31026" xr:uid="{00000000-0005-0000-0000-00000A5B0000}"/>
    <cellStyle name="Normal 57 3 3 2 4" xfId="22983" xr:uid="{00000000-0005-0000-0000-00000B5B0000}"/>
    <cellStyle name="Normal 57 3 3 3" xfId="8928" xr:uid="{00000000-0005-0000-0000-00000C5B0000}"/>
    <cellStyle name="Normal 57 3 3 3 2" xfId="18285" xr:uid="{00000000-0005-0000-0000-00000D5B0000}"/>
    <cellStyle name="Normal 57 3 3 3 2 2" xfId="34859" xr:uid="{00000000-0005-0000-0000-00000E5B0000}"/>
    <cellStyle name="Normal 57 3 3 3 3" xfId="26812" xr:uid="{00000000-0005-0000-0000-00000F5B0000}"/>
    <cellStyle name="Normal 57 3 3 4" xfId="14479" xr:uid="{00000000-0005-0000-0000-0000105B0000}"/>
    <cellStyle name="Normal 57 3 3 4 2" xfId="31025" xr:uid="{00000000-0005-0000-0000-0000115B0000}"/>
    <cellStyle name="Normal 57 3 3 5" xfId="22982" xr:uid="{00000000-0005-0000-0000-0000125B0000}"/>
    <cellStyle name="Normal 57 3 4" xfId="4963" xr:uid="{00000000-0005-0000-0000-0000135B0000}"/>
    <cellStyle name="Normal 57 3 4 2" xfId="8929" xr:uid="{00000000-0005-0000-0000-0000145B0000}"/>
    <cellStyle name="Normal 57 3 4 2 2" xfId="18286" xr:uid="{00000000-0005-0000-0000-0000155B0000}"/>
    <cellStyle name="Normal 57 3 4 2 2 2" xfId="34860" xr:uid="{00000000-0005-0000-0000-0000165B0000}"/>
    <cellStyle name="Normal 57 3 4 2 3" xfId="26813" xr:uid="{00000000-0005-0000-0000-0000175B0000}"/>
    <cellStyle name="Normal 57 3 4 3" xfId="14481" xr:uid="{00000000-0005-0000-0000-0000185B0000}"/>
    <cellStyle name="Normal 57 3 4 3 2" xfId="31027" xr:uid="{00000000-0005-0000-0000-0000195B0000}"/>
    <cellStyle name="Normal 57 3 4 4" xfId="22984" xr:uid="{00000000-0005-0000-0000-00001A5B0000}"/>
    <cellStyle name="Normal 57 3 5" xfId="4964" xr:uid="{00000000-0005-0000-0000-00001B5B0000}"/>
    <cellStyle name="Normal 57 3 5 2" xfId="14482" xr:uid="{00000000-0005-0000-0000-00001C5B0000}"/>
    <cellStyle name="Normal 57 3 5 2 2" xfId="31028" xr:uid="{00000000-0005-0000-0000-00001D5B0000}"/>
    <cellStyle name="Normal 57 3 5 3" xfId="22985" xr:uid="{00000000-0005-0000-0000-00001E5B0000}"/>
    <cellStyle name="Normal 57 4" xfId="4965" xr:uid="{00000000-0005-0000-0000-00001F5B0000}"/>
    <cellStyle name="Normal 57 4 2" xfId="4966" xr:uid="{00000000-0005-0000-0000-0000205B0000}"/>
    <cellStyle name="Normal 57 4 2 2" xfId="4967" xr:uid="{00000000-0005-0000-0000-0000215B0000}"/>
    <cellStyle name="Normal 57 4 2 2 2" xfId="4968" xr:uid="{00000000-0005-0000-0000-0000225B0000}"/>
    <cellStyle name="Normal 57 4 2 2 2 2" xfId="8930" xr:uid="{00000000-0005-0000-0000-0000235B0000}"/>
    <cellStyle name="Normal 57 4 2 2 2 2 2" xfId="18287" xr:uid="{00000000-0005-0000-0000-0000245B0000}"/>
    <cellStyle name="Normal 57 4 2 2 2 2 2 2" xfId="34861" xr:uid="{00000000-0005-0000-0000-0000255B0000}"/>
    <cellStyle name="Normal 57 4 2 2 2 2 3" xfId="26814" xr:uid="{00000000-0005-0000-0000-0000265B0000}"/>
    <cellStyle name="Normal 57 4 2 2 2 3" xfId="14486" xr:uid="{00000000-0005-0000-0000-0000275B0000}"/>
    <cellStyle name="Normal 57 4 2 2 2 3 2" xfId="31032" xr:uid="{00000000-0005-0000-0000-0000285B0000}"/>
    <cellStyle name="Normal 57 4 2 2 2 4" xfId="22989" xr:uid="{00000000-0005-0000-0000-0000295B0000}"/>
    <cellStyle name="Normal 57 4 2 2 3" xfId="8931" xr:uid="{00000000-0005-0000-0000-00002A5B0000}"/>
    <cellStyle name="Normal 57 4 2 2 3 2" xfId="18288" xr:uid="{00000000-0005-0000-0000-00002B5B0000}"/>
    <cellStyle name="Normal 57 4 2 2 3 2 2" xfId="34862" xr:uid="{00000000-0005-0000-0000-00002C5B0000}"/>
    <cellStyle name="Normal 57 4 2 2 3 3" xfId="26815" xr:uid="{00000000-0005-0000-0000-00002D5B0000}"/>
    <cellStyle name="Normal 57 4 2 2 4" xfId="14485" xr:uid="{00000000-0005-0000-0000-00002E5B0000}"/>
    <cellStyle name="Normal 57 4 2 2 4 2" xfId="31031" xr:uid="{00000000-0005-0000-0000-00002F5B0000}"/>
    <cellStyle name="Normal 57 4 2 2 5" xfId="22988" xr:uid="{00000000-0005-0000-0000-0000305B0000}"/>
    <cellStyle name="Normal 57 4 2 3" xfId="4969" xr:uid="{00000000-0005-0000-0000-0000315B0000}"/>
    <cellStyle name="Normal 57 4 2 3 2" xfId="8932" xr:uid="{00000000-0005-0000-0000-0000325B0000}"/>
    <cellStyle name="Normal 57 4 2 3 2 2" xfId="18289" xr:uid="{00000000-0005-0000-0000-0000335B0000}"/>
    <cellStyle name="Normal 57 4 2 3 2 2 2" xfId="34863" xr:uid="{00000000-0005-0000-0000-0000345B0000}"/>
    <cellStyle name="Normal 57 4 2 3 2 3" xfId="26816" xr:uid="{00000000-0005-0000-0000-0000355B0000}"/>
    <cellStyle name="Normal 57 4 2 3 3" xfId="14487" xr:uid="{00000000-0005-0000-0000-0000365B0000}"/>
    <cellStyle name="Normal 57 4 2 3 3 2" xfId="31033" xr:uid="{00000000-0005-0000-0000-0000375B0000}"/>
    <cellStyle name="Normal 57 4 2 3 4" xfId="22990" xr:uid="{00000000-0005-0000-0000-0000385B0000}"/>
    <cellStyle name="Normal 57 4 2 4" xfId="8933" xr:uid="{00000000-0005-0000-0000-0000395B0000}"/>
    <cellStyle name="Normal 57 4 2 4 2" xfId="18290" xr:uid="{00000000-0005-0000-0000-00003A5B0000}"/>
    <cellStyle name="Normal 57 4 2 4 2 2" xfId="34864" xr:uid="{00000000-0005-0000-0000-00003B5B0000}"/>
    <cellStyle name="Normal 57 4 2 4 3" xfId="26817" xr:uid="{00000000-0005-0000-0000-00003C5B0000}"/>
    <cellStyle name="Normal 57 4 2 5" xfId="14484" xr:uid="{00000000-0005-0000-0000-00003D5B0000}"/>
    <cellStyle name="Normal 57 4 2 5 2" xfId="31030" xr:uid="{00000000-0005-0000-0000-00003E5B0000}"/>
    <cellStyle name="Normal 57 4 2 6" xfId="22987" xr:uid="{00000000-0005-0000-0000-00003F5B0000}"/>
    <cellStyle name="Normal 57 4 3" xfId="4970" xr:uid="{00000000-0005-0000-0000-0000405B0000}"/>
    <cellStyle name="Normal 57 4 3 2" xfId="4971" xr:uid="{00000000-0005-0000-0000-0000415B0000}"/>
    <cellStyle name="Normal 57 4 3 2 2" xfId="8934" xr:uid="{00000000-0005-0000-0000-0000425B0000}"/>
    <cellStyle name="Normal 57 4 3 2 2 2" xfId="18291" xr:uid="{00000000-0005-0000-0000-0000435B0000}"/>
    <cellStyle name="Normal 57 4 3 2 2 2 2" xfId="34865" xr:uid="{00000000-0005-0000-0000-0000445B0000}"/>
    <cellStyle name="Normal 57 4 3 2 2 3" xfId="26818" xr:uid="{00000000-0005-0000-0000-0000455B0000}"/>
    <cellStyle name="Normal 57 4 3 2 3" xfId="14489" xr:uid="{00000000-0005-0000-0000-0000465B0000}"/>
    <cellStyle name="Normal 57 4 3 2 3 2" xfId="31035" xr:uid="{00000000-0005-0000-0000-0000475B0000}"/>
    <cellStyle name="Normal 57 4 3 2 4" xfId="22992" xr:uid="{00000000-0005-0000-0000-0000485B0000}"/>
    <cellStyle name="Normal 57 4 3 3" xfId="8935" xr:uid="{00000000-0005-0000-0000-0000495B0000}"/>
    <cellStyle name="Normal 57 4 3 3 2" xfId="18292" xr:uid="{00000000-0005-0000-0000-00004A5B0000}"/>
    <cellStyle name="Normal 57 4 3 3 2 2" xfId="34866" xr:uid="{00000000-0005-0000-0000-00004B5B0000}"/>
    <cellStyle name="Normal 57 4 3 3 3" xfId="26819" xr:uid="{00000000-0005-0000-0000-00004C5B0000}"/>
    <cellStyle name="Normal 57 4 3 4" xfId="14488" xr:uid="{00000000-0005-0000-0000-00004D5B0000}"/>
    <cellStyle name="Normal 57 4 3 4 2" xfId="31034" xr:uid="{00000000-0005-0000-0000-00004E5B0000}"/>
    <cellStyle name="Normal 57 4 3 5" xfId="22991" xr:uid="{00000000-0005-0000-0000-00004F5B0000}"/>
    <cellStyle name="Normal 57 4 4" xfId="4972" xr:uid="{00000000-0005-0000-0000-0000505B0000}"/>
    <cellStyle name="Normal 57 4 4 2" xfId="8936" xr:uid="{00000000-0005-0000-0000-0000515B0000}"/>
    <cellStyle name="Normal 57 4 4 2 2" xfId="18293" xr:uid="{00000000-0005-0000-0000-0000525B0000}"/>
    <cellStyle name="Normal 57 4 4 2 2 2" xfId="34867" xr:uid="{00000000-0005-0000-0000-0000535B0000}"/>
    <cellStyle name="Normal 57 4 4 2 3" xfId="26820" xr:uid="{00000000-0005-0000-0000-0000545B0000}"/>
    <cellStyle name="Normal 57 4 4 3" xfId="14490" xr:uid="{00000000-0005-0000-0000-0000555B0000}"/>
    <cellStyle name="Normal 57 4 4 3 2" xfId="31036" xr:uid="{00000000-0005-0000-0000-0000565B0000}"/>
    <cellStyle name="Normal 57 4 4 4" xfId="22993" xr:uid="{00000000-0005-0000-0000-0000575B0000}"/>
    <cellStyle name="Normal 57 4 5" xfId="8937" xr:uid="{00000000-0005-0000-0000-0000585B0000}"/>
    <cellStyle name="Normal 57 4 5 2" xfId="18294" xr:uid="{00000000-0005-0000-0000-0000595B0000}"/>
    <cellStyle name="Normal 57 4 5 2 2" xfId="34868" xr:uid="{00000000-0005-0000-0000-00005A5B0000}"/>
    <cellStyle name="Normal 57 4 5 3" xfId="26821" xr:uid="{00000000-0005-0000-0000-00005B5B0000}"/>
    <cellStyle name="Normal 57 4 6" xfId="14483" xr:uid="{00000000-0005-0000-0000-00005C5B0000}"/>
    <cellStyle name="Normal 57 4 6 2" xfId="31029" xr:uid="{00000000-0005-0000-0000-00005D5B0000}"/>
    <cellStyle name="Normal 57 4 7" xfId="22986" xr:uid="{00000000-0005-0000-0000-00005E5B0000}"/>
    <cellStyle name="Normal 57 5" xfId="4973" xr:uid="{00000000-0005-0000-0000-00005F5B0000}"/>
    <cellStyle name="Normal 57 5 2" xfId="4974" xr:uid="{00000000-0005-0000-0000-0000605B0000}"/>
    <cellStyle name="Normal 57 5 2 2" xfId="4975" xr:uid="{00000000-0005-0000-0000-0000615B0000}"/>
    <cellStyle name="Normal 57 5 2 2 2" xfId="4976" xr:uid="{00000000-0005-0000-0000-0000625B0000}"/>
    <cellStyle name="Normal 57 5 2 2 2 2" xfId="8938" xr:uid="{00000000-0005-0000-0000-0000635B0000}"/>
    <cellStyle name="Normal 57 5 2 2 2 2 2" xfId="18295" xr:uid="{00000000-0005-0000-0000-0000645B0000}"/>
    <cellStyle name="Normal 57 5 2 2 2 2 2 2" xfId="34869" xr:uid="{00000000-0005-0000-0000-0000655B0000}"/>
    <cellStyle name="Normal 57 5 2 2 2 2 3" xfId="26822" xr:uid="{00000000-0005-0000-0000-0000665B0000}"/>
    <cellStyle name="Normal 57 5 2 2 2 3" xfId="14494" xr:uid="{00000000-0005-0000-0000-0000675B0000}"/>
    <cellStyle name="Normal 57 5 2 2 2 3 2" xfId="31040" xr:uid="{00000000-0005-0000-0000-0000685B0000}"/>
    <cellStyle name="Normal 57 5 2 2 2 4" xfId="22997" xr:uid="{00000000-0005-0000-0000-0000695B0000}"/>
    <cellStyle name="Normal 57 5 2 2 3" xfId="8939" xr:uid="{00000000-0005-0000-0000-00006A5B0000}"/>
    <cellStyle name="Normal 57 5 2 2 3 2" xfId="18296" xr:uid="{00000000-0005-0000-0000-00006B5B0000}"/>
    <cellStyle name="Normal 57 5 2 2 3 2 2" xfId="34870" xr:uid="{00000000-0005-0000-0000-00006C5B0000}"/>
    <cellStyle name="Normal 57 5 2 2 3 3" xfId="26823" xr:uid="{00000000-0005-0000-0000-00006D5B0000}"/>
    <cellStyle name="Normal 57 5 2 2 4" xfId="14493" xr:uid="{00000000-0005-0000-0000-00006E5B0000}"/>
    <cellStyle name="Normal 57 5 2 2 4 2" xfId="31039" xr:uid="{00000000-0005-0000-0000-00006F5B0000}"/>
    <cellStyle name="Normal 57 5 2 2 5" xfId="22996" xr:uid="{00000000-0005-0000-0000-0000705B0000}"/>
    <cellStyle name="Normal 57 5 2 3" xfId="4977" xr:uid="{00000000-0005-0000-0000-0000715B0000}"/>
    <cellStyle name="Normal 57 5 2 3 2" xfId="8940" xr:uid="{00000000-0005-0000-0000-0000725B0000}"/>
    <cellStyle name="Normal 57 5 2 3 2 2" xfId="18297" xr:uid="{00000000-0005-0000-0000-0000735B0000}"/>
    <cellStyle name="Normal 57 5 2 3 2 2 2" xfId="34871" xr:uid="{00000000-0005-0000-0000-0000745B0000}"/>
    <cellStyle name="Normal 57 5 2 3 2 3" xfId="26824" xr:uid="{00000000-0005-0000-0000-0000755B0000}"/>
    <cellStyle name="Normal 57 5 2 3 3" xfId="14495" xr:uid="{00000000-0005-0000-0000-0000765B0000}"/>
    <cellStyle name="Normal 57 5 2 3 3 2" xfId="31041" xr:uid="{00000000-0005-0000-0000-0000775B0000}"/>
    <cellStyle name="Normal 57 5 2 3 4" xfId="22998" xr:uid="{00000000-0005-0000-0000-0000785B0000}"/>
    <cellStyle name="Normal 57 5 2 4" xfId="8941" xr:uid="{00000000-0005-0000-0000-0000795B0000}"/>
    <cellStyle name="Normal 57 5 2 4 2" xfId="18298" xr:uid="{00000000-0005-0000-0000-00007A5B0000}"/>
    <cellStyle name="Normal 57 5 2 4 2 2" xfId="34872" xr:uid="{00000000-0005-0000-0000-00007B5B0000}"/>
    <cellStyle name="Normal 57 5 2 4 3" xfId="26825" xr:uid="{00000000-0005-0000-0000-00007C5B0000}"/>
    <cellStyle name="Normal 57 5 2 5" xfId="14492" xr:uid="{00000000-0005-0000-0000-00007D5B0000}"/>
    <cellStyle name="Normal 57 5 2 5 2" xfId="31038" xr:uid="{00000000-0005-0000-0000-00007E5B0000}"/>
    <cellStyle name="Normal 57 5 2 6" xfId="22995" xr:uid="{00000000-0005-0000-0000-00007F5B0000}"/>
    <cellStyle name="Normal 57 5 3" xfId="4978" xr:uid="{00000000-0005-0000-0000-0000805B0000}"/>
    <cellStyle name="Normal 57 5 3 2" xfId="4979" xr:uid="{00000000-0005-0000-0000-0000815B0000}"/>
    <cellStyle name="Normal 57 5 3 2 2" xfId="8942" xr:uid="{00000000-0005-0000-0000-0000825B0000}"/>
    <cellStyle name="Normal 57 5 3 2 2 2" xfId="18299" xr:uid="{00000000-0005-0000-0000-0000835B0000}"/>
    <cellStyle name="Normal 57 5 3 2 2 2 2" xfId="34873" xr:uid="{00000000-0005-0000-0000-0000845B0000}"/>
    <cellStyle name="Normal 57 5 3 2 2 3" xfId="26826" xr:uid="{00000000-0005-0000-0000-0000855B0000}"/>
    <cellStyle name="Normal 57 5 3 2 3" xfId="14497" xr:uid="{00000000-0005-0000-0000-0000865B0000}"/>
    <cellStyle name="Normal 57 5 3 2 3 2" xfId="31043" xr:uid="{00000000-0005-0000-0000-0000875B0000}"/>
    <cellStyle name="Normal 57 5 3 2 4" xfId="23000" xr:uid="{00000000-0005-0000-0000-0000885B0000}"/>
    <cellStyle name="Normal 57 5 3 3" xfId="8943" xr:uid="{00000000-0005-0000-0000-0000895B0000}"/>
    <cellStyle name="Normal 57 5 3 3 2" xfId="18300" xr:uid="{00000000-0005-0000-0000-00008A5B0000}"/>
    <cellStyle name="Normal 57 5 3 3 2 2" xfId="34874" xr:uid="{00000000-0005-0000-0000-00008B5B0000}"/>
    <cellStyle name="Normal 57 5 3 3 3" xfId="26827" xr:uid="{00000000-0005-0000-0000-00008C5B0000}"/>
    <cellStyle name="Normal 57 5 3 4" xfId="14496" xr:uid="{00000000-0005-0000-0000-00008D5B0000}"/>
    <cellStyle name="Normal 57 5 3 4 2" xfId="31042" xr:uid="{00000000-0005-0000-0000-00008E5B0000}"/>
    <cellStyle name="Normal 57 5 3 5" xfId="22999" xr:uid="{00000000-0005-0000-0000-00008F5B0000}"/>
    <cellStyle name="Normal 57 5 4" xfId="4980" xr:uid="{00000000-0005-0000-0000-0000905B0000}"/>
    <cellStyle name="Normal 57 5 4 2" xfId="8944" xr:uid="{00000000-0005-0000-0000-0000915B0000}"/>
    <cellStyle name="Normal 57 5 4 2 2" xfId="18301" xr:uid="{00000000-0005-0000-0000-0000925B0000}"/>
    <cellStyle name="Normal 57 5 4 2 2 2" xfId="34875" xr:uid="{00000000-0005-0000-0000-0000935B0000}"/>
    <cellStyle name="Normal 57 5 4 2 3" xfId="26828" xr:uid="{00000000-0005-0000-0000-0000945B0000}"/>
    <cellStyle name="Normal 57 5 4 3" xfId="14498" xr:uid="{00000000-0005-0000-0000-0000955B0000}"/>
    <cellStyle name="Normal 57 5 4 3 2" xfId="31044" xr:uid="{00000000-0005-0000-0000-0000965B0000}"/>
    <cellStyle name="Normal 57 5 4 4" xfId="23001" xr:uid="{00000000-0005-0000-0000-0000975B0000}"/>
    <cellStyle name="Normal 57 5 5" xfId="8945" xr:uid="{00000000-0005-0000-0000-0000985B0000}"/>
    <cellStyle name="Normal 57 5 5 2" xfId="18302" xr:uid="{00000000-0005-0000-0000-0000995B0000}"/>
    <cellStyle name="Normal 57 5 5 2 2" xfId="34876" xr:uid="{00000000-0005-0000-0000-00009A5B0000}"/>
    <cellStyle name="Normal 57 5 5 3" xfId="26829" xr:uid="{00000000-0005-0000-0000-00009B5B0000}"/>
    <cellStyle name="Normal 57 5 6" xfId="14491" xr:uid="{00000000-0005-0000-0000-00009C5B0000}"/>
    <cellStyle name="Normal 57 5 6 2" xfId="31037" xr:uid="{00000000-0005-0000-0000-00009D5B0000}"/>
    <cellStyle name="Normal 57 5 7" xfId="22994" xr:uid="{00000000-0005-0000-0000-00009E5B0000}"/>
    <cellStyle name="Normal 57 6" xfId="4981" xr:uid="{00000000-0005-0000-0000-00009F5B0000}"/>
    <cellStyle name="Normal 57 6 2" xfId="4982" xr:uid="{00000000-0005-0000-0000-0000A05B0000}"/>
    <cellStyle name="Normal 57 6 2 2" xfId="4983" xr:uid="{00000000-0005-0000-0000-0000A15B0000}"/>
    <cellStyle name="Normal 57 6 2 2 2" xfId="8946" xr:uid="{00000000-0005-0000-0000-0000A25B0000}"/>
    <cellStyle name="Normal 57 6 2 2 2 2" xfId="18303" xr:uid="{00000000-0005-0000-0000-0000A35B0000}"/>
    <cellStyle name="Normal 57 6 2 2 2 2 2" xfId="34877" xr:uid="{00000000-0005-0000-0000-0000A45B0000}"/>
    <cellStyle name="Normal 57 6 2 2 2 3" xfId="26830" xr:uid="{00000000-0005-0000-0000-0000A55B0000}"/>
    <cellStyle name="Normal 57 6 2 2 3" xfId="14501" xr:uid="{00000000-0005-0000-0000-0000A65B0000}"/>
    <cellStyle name="Normal 57 6 2 2 3 2" xfId="31047" xr:uid="{00000000-0005-0000-0000-0000A75B0000}"/>
    <cellStyle name="Normal 57 6 2 2 4" xfId="23004" xr:uid="{00000000-0005-0000-0000-0000A85B0000}"/>
    <cellStyle name="Normal 57 6 2 3" xfId="8947" xr:uid="{00000000-0005-0000-0000-0000A95B0000}"/>
    <cellStyle name="Normal 57 6 2 3 2" xfId="18304" xr:uid="{00000000-0005-0000-0000-0000AA5B0000}"/>
    <cellStyle name="Normal 57 6 2 3 2 2" xfId="34878" xr:uid="{00000000-0005-0000-0000-0000AB5B0000}"/>
    <cellStyle name="Normal 57 6 2 3 3" xfId="26831" xr:uid="{00000000-0005-0000-0000-0000AC5B0000}"/>
    <cellStyle name="Normal 57 6 2 4" xfId="14500" xr:uid="{00000000-0005-0000-0000-0000AD5B0000}"/>
    <cellStyle name="Normal 57 6 2 4 2" xfId="31046" xr:uid="{00000000-0005-0000-0000-0000AE5B0000}"/>
    <cellStyle name="Normal 57 6 2 5" xfId="23003" xr:uid="{00000000-0005-0000-0000-0000AF5B0000}"/>
    <cellStyle name="Normal 57 6 3" xfId="4984" xr:uid="{00000000-0005-0000-0000-0000B05B0000}"/>
    <cellStyle name="Normal 57 6 3 2" xfId="8948" xr:uid="{00000000-0005-0000-0000-0000B15B0000}"/>
    <cellStyle name="Normal 57 6 3 2 2" xfId="18305" xr:uid="{00000000-0005-0000-0000-0000B25B0000}"/>
    <cellStyle name="Normal 57 6 3 2 2 2" xfId="34879" xr:uid="{00000000-0005-0000-0000-0000B35B0000}"/>
    <cellStyle name="Normal 57 6 3 2 3" xfId="26832" xr:uid="{00000000-0005-0000-0000-0000B45B0000}"/>
    <cellStyle name="Normal 57 6 3 3" xfId="14502" xr:uid="{00000000-0005-0000-0000-0000B55B0000}"/>
    <cellStyle name="Normal 57 6 3 3 2" xfId="31048" xr:uid="{00000000-0005-0000-0000-0000B65B0000}"/>
    <cellStyle name="Normal 57 6 3 4" xfId="23005" xr:uid="{00000000-0005-0000-0000-0000B75B0000}"/>
    <cellStyle name="Normal 57 6 4" xfId="8949" xr:uid="{00000000-0005-0000-0000-0000B85B0000}"/>
    <cellStyle name="Normal 57 6 4 2" xfId="18306" xr:uid="{00000000-0005-0000-0000-0000B95B0000}"/>
    <cellStyle name="Normal 57 6 4 2 2" xfId="34880" xr:uid="{00000000-0005-0000-0000-0000BA5B0000}"/>
    <cellStyle name="Normal 57 6 4 3" xfId="26833" xr:uid="{00000000-0005-0000-0000-0000BB5B0000}"/>
    <cellStyle name="Normal 57 6 5" xfId="14499" xr:uid="{00000000-0005-0000-0000-0000BC5B0000}"/>
    <cellStyle name="Normal 57 6 5 2" xfId="31045" xr:uid="{00000000-0005-0000-0000-0000BD5B0000}"/>
    <cellStyle name="Normal 57 6 6" xfId="23002" xr:uid="{00000000-0005-0000-0000-0000BE5B0000}"/>
    <cellStyle name="Normal 57 7" xfId="4985" xr:uid="{00000000-0005-0000-0000-0000BF5B0000}"/>
    <cellStyle name="Normal 57 7 2" xfId="4986" xr:uid="{00000000-0005-0000-0000-0000C05B0000}"/>
    <cellStyle name="Normal 57 7 2 2" xfId="8950" xr:uid="{00000000-0005-0000-0000-0000C15B0000}"/>
    <cellStyle name="Normal 57 7 2 2 2" xfId="18307" xr:uid="{00000000-0005-0000-0000-0000C25B0000}"/>
    <cellStyle name="Normal 57 7 2 2 2 2" xfId="34881" xr:uid="{00000000-0005-0000-0000-0000C35B0000}"/>
    <cellStyle name="Normal 57 7 2 2 3" xfId="26834" xr:uid="{00000000-0005-0000-0000-0000C45B0000}"/>
    <cellStyle name="Normal 57 7 2 3" xfId="14504" xr:uid="{00000000-0005-0000-0000-0000C55B0000}"/>
    <cellStyle name="Normal 57 7 2 3 2" xfId="31050" xr:uid="{00000000-0005-0000-0000-0000C65B0000}"/>
    <cellStyle name="Normal 57 7 2 4" xfId="23007" xr:uid="{00000000-0005-0000-0000-0000C75B0000}"/>
    <cellStyle name="Normal 57 7 3" xfId="8951" xr:uid="{00000000-0005-0000-0000-0000C85B0000}"/>
    <cellStyle name="Normal 57 7 3 2" xfId="18308" xr:uid="{00000000-0005-0000-0000-0000C95B0000}"/>
    <cellStyle name="Normal 57 7 3 2 2" xfId="34882" xr:uid="{00000000-0005-0000-0000-0000CA5B0000}"/>
    <cellStyle name="Normal 57 7 3 3" xfId="26835" xr:uid="{00000000-0005-0000-0000-0000CB5B0000}"/>
    <cellStyle name="Normal 57 7 4" xfId="14503" xr:uid="{00000000-0005-0000-0000-0000CC5B0000}"/>
    <cellStyle name="Normal 57 7 4 2" xfId="31049" xr:uid="{00000000-0005-0000-0000-0000CD5B0000}"/>
    <cellStyle name="Normal 57 7 5" xfId="23006" xr:uid="{00000000-0005-0000-0000-0000CE5B0000}"/>
    <cellStyle name="Normal 57 8" xfId="4987" xr:uid="{00000000-0005-0000-0000-0000CF5B0000}"/>
    <cellStyle name="Normal 57 8 2" xfId="8952" xr:uid="{00000000-0005-0000-0000-0000D05B0000}"/>
    <cellStyle name="Normal 57 8 2 2" xfId="18309" xr:uid="{00000000-0005-0000-0000-0000D15B0000}"/>
    <cellStyle name="Normal 57 8 2 2 2" xfId="34883" xr:uid="{00000000-0005-0000-0000-0000D25B0000}"/>
    <cellStyle name="Normal 57 8 2 3" xfId="26836" xr:uid="{00000000-0005-0000-0000-0000D35B0000}"/>
    <cellStyle name="Normal 57 8 3" xfId="14505" xr:uid="{00000000-0005-0000-0000-0000D45B0000}"/>
    <cellStyle name="Normal 57 8 3 2" xfId="31051" xr:uid="{00000000-0005-0000-0000-0000D55B0000}"/>
    <cellStyle name="Normal 57 8 4" xfId="23008" xr:uid="{00000000-0005-0000-0000-0000D65B0000}"/>
    <cellStyle name="Normal 57 9" xfId="8953" xr:uid="{00000000-0005-0000-0000-0000D75B0000}"/>
    <cellStyle name="Normal 57 9 2" xfId="18310" xr:uid="{00000000-0005-0000-0000-0000D85B0000}"/>
    <cellStyle name="Normal 57 9 2 2" xfId="34884" xr:uid="{00000000-0005-0000-0000-0000D95B0000}"/>
    <cellStyle name="Normal 57 9 3" xfId="26837" xr:uid="{00000000-0005-0000-0000-0000DA5B0000}"/>
    <cellStyle name="Normal 58" xfId="4988" xr:uid="{00000000-0005-0000-0000-0000DB5B0000}"/>
    <cellStyle name="Normal 58 10" xfId="14506" xr:uid="{00000000-0005-0000-0000-0000DC5B0000}"/>
    <cellStyle name="Normal 58 10 2" xfId="31052" xr:uid="{00000000-0005-0000-0000-0000DD5B0000}"/>
    <cellStyle name="Normal 58 11" xfId="23009" xr:uid="{00000000-0005-0000-0000-0000DE5B0000}"/>
    <cellStyle name="Normal 58 2" xfId="4989" xr:uid="{00000000-0005-0000-0000-0000DF5B0000}"/>
    <cellStyle name="Normal 58 2 2" xfId="4990" xr:uid="{00000000-0005-0000-0000-0000E05B0000}"/>
    <cellStyle name="Normal 58 2 3" xfId="14507" xr:uid="{00000000-0005-0000-0000-0000E15B0000}"/>
    <cellStyle name="Normal 58 2 3 2" xfId="31053" xr:uid="{00000000-0005-0000-0000-0000E25B0000}"/>
    <cellStyle name="Normal 58 2 4" xfId="23010" xr:uid="{00000000-0005-0000-0000-0000E35B0000}"/>
    <cellStyle name="Normal 58 3" xfId="4991" xr:uid="{00000000-0005-0000-0000-0000E45B0000}"/>
    <cellStyle name="Normal 58 3 2" xfId="4992" xr:uid="{00000000-0005-0000-0000-0000E55B0000}"/>
    <cellStyle name="Normal 58 3 2 2" xfId="4993" xr:uid="{00000000-0005-0000-0000-0000E65B0000}"/>
    <cellStyle name="Normal 58 3 2 2 2" xfId="4994" xr:uid="{00000000-0005-0000-0000-0000E75B0000}"/>
    <cellStyle name="Normal 58 3 2 2 2 2" xfId="8954" xr:uid="{00000000-0005-0000-0000-0000E85B0000}"/>
    <cellStyle name="Normal 58 3 2 2 2 2 2" xfId="18311" xr:uid="{00000000-0005-0000-0000-0000E95B0000}"/>
    <cellStyle name="Normal 58 3 2 2 2 2 2 2" xfId="34885" xr:uid="{00000000-0005-0000-0000-0000EA5B0000}"/>
    <cellStyle name="Normal 58 3 2 2 2 2 3" xfId="26838" xr:uid="{00000000-0005-0000-0000-0000EB5B0000}"/>
    <cellStyle name="Normal 58 3 2 2 2 3" xfId="14510" xr:uid="{00000000-0005-0000-0000-0000EC5B0000}"/>
    <cellStyle name="Normal 58 3 2 2 2 3 2" xfId="31056" xr:uid="{00000000-0005-0000-0000-0000ED5B0000}"/>
    <cellStyle name="Normal 58 3 2 2 2 4" xfId="23013" xr:uid="{00000000-0005-0000-0000-0000EE5B0000}"/>
    <cellStyle name="Normal 58 3 2 2 3" xfId="8955" xr:uid="{00000000-0005-0000-0000-0000EF5B0000}"/>
    <cellStyle name="Normal 58 3 2 2 3 2" xfId="18312" xr:uid="{00000000-0005-0000-0000-0000F05B0000}"/>
    <cellStyle name="Normal 58 3 2 2 3 2 2" xfId="34886" xr:uid="{00000000-0005-0000-0000-0000F15B0000}"/>
    <cellStyle name="Normal 58 3 2 2 3 3" xfId="26839" xr:uid="{00000000-0005-0000-0000-0000F25B0000}"/>
    <cellStyle name="Normal 58 3 2 2 4" xfId="14509" xr:uid="{00000000-0005-0000-0000-0000F35B0000}"/>
    <cellStyle name="Normal 58 3 2 2 4 2" xfId="31055" xr:uid="{00000000-0005-0000-0000-0000F45B0000}"/>
    <cellStyle name="Normal 58 3 2 2 5" xfId="23012" xr:uid="{00000000-0005-0000-0000-0000F55B0000}"/>
    <cellStyle name="Normal 58 3 2 3" xfId="4995" xr:uid="{00000000-0005-0000-0000-0000F65B0000}"/>
    <cellStyle name="Normal 58 3 2 3 2" xfId="8956" xr:uid="{00000000-0005-0000-0000-0000F75B0000}"/>
    <cellStyle name="Normal 58 3 2 3 2 2" xfId="18313" xr:uid="{00000000-0005-0000-0000-0000F85B0000}"/>
    <cellStyle name="Normal 58 3 2 3 2 2 2" xfId="34887" xr:uid="{00000000-0005-0000-0000-0000F95B0000}"/>
    <cellStyle name="Normal 58 3 2 3 2 3" xfId="26840" xr:uid="{00000000-0005-0000-0000-0000FA5B0000}"/>
    <cellStyle name="Normal 58 3 2 3 3" xfId="14511" xr:uid="{00000000-0005-0000-0000-0000FB5B0000}"/>
    <cellStyle name="Normal 58 3 2 3 3 2" xfId="31057" xr:uid="{00000000-0005-0000-0000-0000FC5B0000}"/>
    <cellStyle name="Normal 58 3 2 3 4" xfId="23014" xr:uid="{00000000-0005-0000-0000-0000FD5B0000}"/>
    <cellStyle name="Normal 58 3 2 4" xfId="8957" xr:uid="{00000000-0005-0000-0000-0000FE5B0000}"/>
    <cellStyle name="Normal 58 3 2 4 2" xfId="18314" xr:uid="{00000000-0005-0000-0000-0000FF5B0000}"/>
    <cellStyle name="Normal 58 3 2 4 2 2" xfId="34888" xr:uid="{00000000-0005-0000-0000-0000005C0000}"/>
    <cellStyle name="Normal 58 3 2 4 3" xfId="26841" xr:uid="{00000000-0005-0000-0000-0000015C0000}"/>
    <cellStyle name="Normal 58 3 2 5" xfId="14508" xr:uid="{00000000-0005-0000-0000-0000025C0000}"/>
    <cellStyle name="Normal 58 3 2 5 2" xfId="31054" xr:uid="{00000000-0005-0000-0000-0000035C0000}"/>
    <cellStyle name="Normal 58 3 2 6" xfId="23011" xr:uid="{00000000-0005-0000-0000-0000045C0000}"/>
    <cellStyle name="Normal 58 3 3" xfId="4996" xr:uid="{00000000-0005-0000-0000-0000055C0000}"/>
    <cellStyle name="Normal 58 3 3 2" xfId="4997" xr:uid="{00000000-0005-0000-0000-0000065C0000}"/>
    <cellStyle name="Normal 58 3 3 2 2" xfId="8958" xr:uid="{00000000-0005-0000-0000-0000075C0000}"/>
    <cellStyle name="Normal 58 3 3 2 2 2" xfId="18315" xr:uid="{00000000-0005-0000-0000-0000085C0000}"/>
    <cellStyle name="Normal 58 3 3 2 2 2 2" xfId="34889" xr:uid="{00000000-0005-0000-0000-0000095C0000}"/>
    <cellStyle name="Normal 58 3 3 2 2 3" xfId="26842" xr:uid="{00000000-0005-0000-0000-00000A5C0000}"/>
    <cellStyle name="Normal 58 3 3 2 3" xfId="14513" xr:uid="{00000000-0005-0000-0000-00000B5C0000}"/>
    <cellStyle name="Normal 58 3 3 2 3 2" xfId="31059" xr:uid="{00000000-0005-0000-0000-00000C5C0000}"/>
    <cellStyle name="Normal 58 3 3 2 4" xfId="23016" xr:uid="{00000000-0005-0000-0000-00000D5C0000}"/>
    <cellStyle name="Normal 58 3 3 3" xfId="8959" xr:uid="{00000000-0005-0000-0000-00000E5C0000}"/>
    <cellStyle name="Normal 58 3 3 3 2" xfId="18316" xr:uid="{00000000-0005-0000-0000-00000F5C0000}"/>
    <cellStyle name="Normal 58 3 3 3 2 2" xfId="34890" xr:uid="{00000000-0005-0000-0000-0000105C0000}"/>
    <cellStyle name="Normal 58 3 3 3 3" xfId="26843" xr:uid="{00000000-0005-0000-0000-0000115C0000}"/>
    <cellStyle name="Normal 58 3 3 4" xfId="14512" xr:uid="{00000000-0005-0000-0000-0000125C0000}"/>
    <cellStyle name="Normal 58 3 3 4 2" xfId="31058" xr:uid="{00000000-0005-0000-0000-0000135C0000}"/>
    <cellStyle name="Normal 58 3 3 5" xfId="23015" xr:uid="{00000000-0005-0000-0000-0000145C0000}"/>
    <cellStyle name="Normal 58 3 4" xfId="4998" xr:uid="{00000000-0005-0000-0000-0000155C0000}"/>
    <cellStyle name="Normal 58 3 4 2" xfId="8960" xr:uid="{00000000-0005-0000-0000-0000165C0000}"/>
    <cellStyle name="Normal 58 3 4 2 2" xfId="18317" xr:uid="{00000000-0005-0000-0000-0000175C0000}"/>
    <cellStyle name="Normal 58 3 4 2 2 2" xfId="34891" xr:uid="{00000000-0005-0000-0000-0000185C0000}"/>
    <cellStyle name="Normal 58 3 4 2 3" xfId="26844" xr:uid="{00000000-0005-0000-0000-0000195C0000}"/>
    <cellStyle name="Normal 58 3 4 3" xfId="14514" xr:uid="{00000000-0005-0000-0000-00001A5C0000}"/>
    <cellStyle name="Normal 58 3 4 3 2" xfId="31060" xr:uid="{00000000-0005-0000-0000-00001B5C0000}"/>
    <cellStyle name="Normal 58 3 4 4" xfId="23017" xr:uid="{00000000-0005-0000-0000-00001C5C0000}"/>
    <cellStyle name="Normal 58 3 5" xfId="4999" xr:uid="{00000000-0005-0000-0000-00001D5C0000}"/>
    <cellStyle name="Normal 58 3 5 2" xfId="14515" xr:uid="{00000000-0005-0000-0000-00001E5C0000}"/>
    <cellStyle name="Normal 58 3 5 2 2" xfId="31061" xr:uid="{00000000-0005-0000-0000-00001F5C0000}"/>
    <cellStyle name="Normal 58 3 5 3" xfId="23018" xr:uid="{00000000-0005-0000-0000-0000205C0000}"/>
    <cellStyle name="Normal 58 4" xfId="5000" xr:uid="{00000000-0005-0000-0000-0000215C0000}"/>
    <cellStyle name="Normal 58 4 2" xfId="5001" xr:uid="{00000000-0005-0000-0000-0000225C0000}"/>
    <cellStyle name="Normal 58 4 2 2" xfId="5002" xr:uid="{00000000-0005-0000-0000-0000235C0000}"/>
    <cellStyle name="Normal 58 4 2 2 2" xfId="5003" xr:uid="{00000000-0005-0000-0000-0000245C0000}"/>
    <cellStyle name="Normal 58 4 2 2 2 2" xfId="8961" xr:uid="{00000000-0005-0000-0000-0000255C0000}"/>
    <cellStyle name="Normal 58 4 2 2 2 2 2" xfId="18318" xr:uid="{00000000-0005-0000-0000-0000265C0000}"/>
    <cellStyle name="Normal 58 4 2 2 2 2 2 2" xfId="34892" xr:uid="{00000000-0005-0000-0000-0000275C0000}"/>
    <cellStyle name="Normal 58 4 2 2 2 2 3" xfId="26845" xr:uid="{00000000-0005-0000-0000-0000285C0000}"/>
    <cellStyle name="Normal 58 4 2 2 2 3" xfId="14519" xr:uid="{00000000-0005-0000-0000-0000295C0000}"/>
    <cellStyle name="Normal 58 4 2 2 2 3 2" xfId="31065" xr:uid="{00000000-0005-0000-0000-00002A5C0000}"/>
    <cellStyle name="Normal 58 4 2 2 2 4" xfId="23022" xr:uid="{00000000-0005-0000-0000-00002B5C0000}"/>
    <cellStyle name="Normal 58 4 2 2 3" xfId="8962" xr:uid="{00000000-0005-0000-0000-00002C5C0000}"/>
    <cellStyle name="Normal 58 4 2 2 3 2" xfId="18319" xr:uid="{00000000-0005-0000-0000-00002D5C0000}"/>
    <cellStyle name="Normal 58 4 2 2 3 2 2" xfId="34893" xr:uid="{00000000-0005-0000-0000-00002E5C0000}"/>
    <cellStyle name="Normal 58 4 2 2 3 3" xfId="26846" xr:uid="{00000000-0005-0000-0000-00002F5C0000}"/>
    <cellStyle name="Normal 58 4 2 2 4" xfId="14518" xr:uid="{00000000-0005-0000-0000-0000305C0000}"/>
    <cellStyle name="Normal 58 4 2 2 4 2" xfId="31064" xr:uid="{00000000-0005-0000-0000-0000315C0000}"/>
    <cellStyle name="Normal 58 4 2 2 5" xfId="23021" xr:uid="{00000000-0005-0000-0000-0000325C0000}"/>
    <cellStyle name="Normal 58 4 2 3" xfId="5004" xr:uid="{00000000-0005-0000-0000-0000335C0000}"/>
    <cellStyle name="Normal 58 4 2 3 2" xfId="8963" xr:uid="{00000000-0005-0000-0000-0000345C0000}"/>
    <cellStyle name="Normal 58 4 2 3 2 2" xfId="18320" xr:uid="{00000000-0005-0000-0000-0000355C0000}"/>
    <cellStyle name="Normal 58 4 2 3 2 2 2" xfId="34894" xr:uid="{00000000-0005-0000-0000-0000365C0000}"/>
    <cellStyle name="Normal 58 4 2 3 2 3" xfId="26847" xr:uid="{00000000-0005-0000-0000-0000375C0000}"/>
    <cellStyle name="Normal 58 4 2 3 3" xfId="14520" xr:uid="{00000000-0005-0000-0000-0000385C0000}"/>
    <cellStyle name="Normal 58 4 2 3 3 2" xfId="31066" xr:uid="{00000000-0005-0000-0000-0000395C0000}"/>
    <cellStyle name="Normal 58 4 2 3 4" xfId="23023" xr:uid="{00000000-0005-0000-0000-00003A5C0000}"/>
    <cellStyle name="Normal 58 4 2 4" xfId="8964" xr:uid="{00000000-0005-0000-0000-00003B5C0000}"/>
    <cellStyle name="Normal 58 4 2 4 2" xfId="18321" xr:uid="{00000000-0005-0000-0000-00003C5C0000}"/>
    <cellStyle name="Normal 58 4 2 4 2 2" xfId="34895" xr:uid="{00000000-0005-0000-0000-00003D5C0000}"/>
    <cellStyle name="Normal 58 4 2 4 3" xfId="26848" xr:uid="{00000000-0005-0000-0000-00003E5C0000}"/>
    <cellStyle name="Normal 58 4 2 5" xfId="14517" xr:uid="{00000000-0005-0000-0000-00003F5C0000}"/>
    <cellStyle name="Normal 58 4 2 5 2" xfId="31063" xr:uid="{00000000-0005-0000-0000-0000405C0000}"/>
    <cellStyle name="Normal 58 4 2 6" xfId="23020" xr:uid="{00000000-0005-0000-0000-0000415C0000}"/>
    <cellStyle name="Normal 58 4 3" xfId="5005" xr:uid="{00000000-0005-0000-0000-0000425C0000}"/>
    <cellStyle name="Normal 58 4 3 2" xfId="5006" xr:uid="{00000000-0005-0000-0000-0000435C0000}"/>
    <cellStyle name="Normal 58 4 3 2 2" xfId="8965" xr:uid="{00000000-0005-0000-0000-0000445C0000}"/>
    <cellStyle name="Normal 58 4 3 2 2 2" xfId="18322" xr:uid="{00000000-0005-0000-0000-0000455C0000}"/>
    <cellStyle name="Normal 58 4 3 2 2 2 2" xfId="34896" xr:uid="{00000000-0005-0000-0000-0000465C0000}"/>
    <cellStyle name="Normal 58 4 3 2 2 3" xfId="26849" xr:uid="{00000000-0005-0000-0000-0000475C0000}"/>
    <cellStyle name="Normal 58 4 3 2 3" xfId="14522" xr:uid="{00000000-0005-0000-0000-0000485C0000}"/>
    <cellStyle name="Normal 58 4 3 2 3 2" xfId="31068" xr:uid="{00000000-0005-0000-0000-0000495C0000}"/>
    <cellStyle name="Normal 58 4 3 2 4" xfId="23025" xr:uid="{00000000-0005-0000-0000-00004A5C0000}"/>
    <cellStyle name="Normal 58 4 3 3" xfId="8966" xr:uid="{00000000-0005-0000-0000-00004B5C0000}"/>
    <cellStyle name="Normal 58 4 3 3 2" xfId="18323" xr:uid="{00000000-0005-0000-0000-00004C5C0000}"/>
    <cellStyle name="Normal 58 4 3 3 2 2" xfId="34897" xr:uid="{00000000-0005-0000-0000-00004D5C0000}"/>
    <cellStyle name="Normal 58 4 3 3 3" xfId="26850" xr:uid="{00000000-0005-0000-0000-00004E5C0000}"/>
    <cellStyle name="Normal 58 4 3 4" xfId="14521" xr:uid="{00000000-0005-0000-0000-00004F5C0000}"/>
    <cellStyle name="Normal 58 4 3 4 2" xfId="31067" xr:uid="{00000000-0005-0000-0000-0000505C0000}"/>
    <cellStyle name="Normal 58 4 3 5" xfId="23024" xr:uid="{00000000-0005-0000-0000-0000515C0000}"/>
    <cellStyle name="Normal 58 4 4" xfId="5007" xr:uid="{00000000-0005-0000-0000-0000525C0000}"/>
    <cellStyle name="Normal 58 4 4 2" xfId="8967" xr:uid="{00000000-0005-0000-0000-0000535C0000}"/>
    <cellStyle name="Normal 58 4 4 2 2" xfId="18324" xr:uid="{00000000-0005-0000-0000-0000545C0000}"/>
    <cellStyle name="Normal 58 4 4 2 2 2" xfId="34898" xr:uid="{00000000-0005-0000-0000-0000555C0000}"/>
    <cellStyle name="Normal 58 4 4 2 3" xfId="26851" xr:uid="{00000000-0005-0000-0000-0000565C0000}"/>
    <cellStyle name="Normal 58 4 4 3" xfId="14523" xr:uid="{00000000-0005-0000-0000-0000575C0000}"/>
    <cellStyle name="Normal 58 4 4 3 2" xfId="31069" xr:uid="{00000000-0005-0000-0000-0000585C0000}"/>
    <cellStyle name="Normal 58 4 4 4" xfId="23026" xr:uid="{00000000-0005-0000-0000-0000595C0000}"/>
    <cellStyle name="Normal 58 4 5" xfId="8968" xr:uid="{00000000-0005-0000-0000-00005A5C0000}"/>
    <cellStyle name="Normal 58 4 5 2" xfId="18325" xr:uid="{00000000-0005-0000-0000-00005B5C0000}"/>
    <cellStyle name="Normal 58 4 5 2 2" xfId="34899" xr:uid="{00000000-0005-0000-0000-00005C5C0000}"/>
    <cellStyle name="Normal 58 4 5 3" xfId="26852" xr:uid="{00000000-0005-0000-0000-00005D5C0000}"/>
    <cellStyle name="Normal 58 4 6" xfId="14516" xr:uid="{00000000-0005-0000-0000-00005E5C0000}"/>
    <cellStyle name="Normal 58 4 6 2" xfId="31062" xr:uid="{00000000-0005-0000-0000-00005F5C0000}"/>
    <cellStyle name="Normal 58 4 7" xfId="23019" xr:uid="{00000000-0005-0000-0000-0000605C0000}"/>
    <cellStyle name="Normal 58 5" xfId="5008" xr:uid="{00000000-0005-0000-0000-0000615C0000}"/>
    <cellStyle name="Normal 58 5 2" xfId="5009" xr:uid="{00000000-0005-0000-0000-0000625C0000}"/>
    <cellStyle name="Normal 58 5 2 2" xfId="5010" xr:uid="{00000000-0005-0000-0000-0000635C0000}"/>
    <cellStyle name="Normal 58 5 2 2 2" xfId="5011" xr:uid="{00000000-0005-0000-0000-0000645C0000}"/>
    <cellStyle name="Normal 58 5 2 2 2 2" xfId="8969" xr:uid="{00000000-0005-0000-0000-0000655C0000}"/>
    <cellStyle name="Normal 58 5 2 2 2 2 2" xfId="18326" xr:uid="{00000000-0005-0000-0000-0000665C0000}"/>
    <cellStyle name="Normal 58 5 2 2 2 2 2 2" xfId="34900" xr:uid="{00000000-0005-0000-0000-0000675C0000}"/>
    <cellStyle name="Normal 58 5 2 2 2 2 3" xfId="26853" xr:uid="{00000000-0005-0000-0000-0000685C0000}"/>
    <cellStyle name="Normal 58 5 2 2 2 3" xfId="14527" xr:uid="{00000000-0005-0000-0000-0000695C0000}"/>
    <cellStyle name="Normal 58 5 2 2 2 3 2" xfId="31073" xr:uid="{00000000-0005-0000-0000-00006A5C0000}"/>
    <cellStyle name="Normal 58 5 2 2 2 4" xfId="23030" xr:uid="{00000000-0005-0000-0000-00006B5C0000}"/>
    <cellStyle name="Normal 58 5 2 2 3" xfId="8970" xr:uid="{00000000-0005-0000-0000-00006C5C0000}"/>
    <cellStyle name="Normal 58 5 2 2 3 2" xfId="18327" xr:uid="{00000000-0005-0000-0000-00006D5C0000}"/>
    <cellStyle name="Normal 58 5 2 2 3 2 2" xfId="34901" xr:uid="{00000000-0005-0000-0000-00006E5C0000}"/>
    <cellStyle name="Normal 58 5 2 2 3 3" xfId="26854" xr:uid="{00000000-0005-0000-0000-00006F5C0000}"/>
    <cellStyle name="Normal 58 5 2 2 4" xfId="14526" xr:uid="{00000000-0005-0000-0000-0000705C0000}"/>
    <cellStyle name="Normal 58 5 2 2 4 2" xfId="31072" xr:uid="{00000000-0005-0000-0000-0000715C0000}"/>
    <cellStyle name="Normal 58 5 2 2 5" xfId="23029" xr:uid="{00000000-0005-0000-0000-0000725C0000}"/>
    <cellStyle name="Normal 58 5 2 3" xfId="5012" xr:uid="{00000000-0005-0000-0000-0000735C0000}"/>
    <cellStyle name="Normal 58 5 2 3 2" xfId="8971" xr:uid="{00000000-0005-0000-0000-0000745C0000}"/>
    <cellStyle name="Normal 58 5 2 3 2 2" xfId="18328" xr:uid="{00000000-0005-0000-0000-0000755C0000}"/>
    <cellStyle name="Normal 58 5 2 3 2 2 2" xfId="34902" xr:uid="{00000000-0005-0000-0000-0000765C0000}"/>
    <cellStyle name="Normal 58 5 2 3 2 3" xfId="26855" xr:uid="{00000000-0005-0000-0000-0000775C0000}"/>
    <cellStyle name="Normal 58 5 2 3 3" xfId="14528" xr:uid="{00000000-0005-0000-0000-0000785C0000}"/>
    <cellStyle name="Normal 58 5 2 3 3 2" xfId="31074" xr:uid="{00000000-0005-0000-0000-0000795C0000}"/>
    <cellStyle name="Normal 58 5 2 3 4" xfId="23031" xr:uid="{00000000-0005-0000-0000-00007A5C0000}"/>
    <cellStyle name="Normal 58 5 2 4" xfId="8972" xr:uid="{00000000-0005-0000-0000-00007B5C0000}"/>
    <cellStyle name="Normal 58 5 2 4 2" xfId="18329" xr:uid="{00000000-0005-0000-0000-00007C5C0000}"/>
    <cellStyle name="Normal 58 5 2 4 2 2" xfId="34903" xr:uid="{00000000-0005-0000-0000-00007D5C0000}"/>
    <cellStyle name="Normal 58 5 2 4 3" xfId="26856" xr:uid="{00000000-0005-0000-0000-00007E5C0000}"/>
    <cellStyle name="Normal 58 5 2 5" xfId="14525" xr:uid="{00000000-0005-0000-0000-00007F5C0000}"/>
    <cellStyle name="Normal 58 5 2 5 2" xfId="31071" xr:uid="{00000000-0005-0000-0000-0000805C0000}"/>
    <cellStyle name="Normal 58 5 2 6" xfId="23028" xr:uid="{00000000-0005-0000-0000-0000815C0000}"/>
    <cellStyle name="Normal 58 5 3" xfId="5013" xr:uid="{00000000-0005-0000-0000-0000825C0000}"/>
    <cellStyle name="Normal 58 5 3 2" xfId="5014" xr:uid="{00000000-0005-0000-0000-0000835C0000}"/>
    <cellStyle name="Normal 58 5 3 2 2" xfId="8973" xr:uid="{00000000-0005-0000-0000-0000845C0000}"/>
    <cellStyle name="Normal 58 5 3 2 2 2" xfId="18330" xr:uid="{00000000-0005-0000-0000-0000855C0000}"/>
    <cellStyle name="Normal 58 5 3 2 2 2 2" xfId="34904" xr:uid="{00000000-0005-0000-0000-0000865C0000}"/>
    <cellStyle name="Normal 58 5 3 2 2 3" xfId="26857" xr:uid="{00000000-0005-0000-0000-0000875C0000}"/>
    <cellStyle name="Normal 58 5 3 2 3" xfId="14530" xr:uid="{00000000-0005-0000-0000-0000885C0000}"/>
    <cellStyle name="Normal 58 5 3 2 3 2" xfId="31076" xr:uid="{00000000-0005-0000-0000-0000895C0000}"/>
    <cellStyle name="Normal 58 5 3 2 4" xfId="23033" xr:uid="{00000000-0005-0000-0000-00008A5C0000}"/>
    <cellStyle name="Normal 58 5 3 3" xfId="8974" xr:uid="{00000000-0005-0000-0000-00008B5C0000}"/>
    <cellStyle name="Normal 58 5 3 3 2" xfId="18331" xr:uid="{00000000-0005-0000-0000-00008C5C0000}"/>
    <cellStyle name="Normal 58 5 3 3 2 2" xfId="34905" xr:uid="{00000000-0005-0000-0000-00008D5C0000}"/>
    <cellStyle name="Normal 58 5 3 3 3" xfId="26858" xr:uid="{00000000-0005-0000-0000-00008E5C0000}"/>
    <cellStyle name="Normal 58 5 3 4" xfId="14529" xr:uid="{00000000-0005-0000-0000-00008F5C0000}"/>
    <cellStyle name="Normal 58 5 3 4 2" xfId="31075" xr:uid="{00000000-0005-0000-0000-0000905C0000}"/>
    <cellStyle name="Normal 58 5 3 5" xfId="23032" xr:uid="{00000000-0005-0000-0000-0000915C0000}"/>
    <cellStyle name="Normal 58 5 4" xfId="5015" xr:uid="{00000000-0005-0000-0000-0000925C0000}"/>
    <cellStyle name="Normal 58 5 4 2" xfId="8975" xr:uid="{00000000-0005-0000-0000-0000935C0000}"/>
    <cellStyle name="Normal 58 5 4 2 2" xfId="18332" xr:uid="{00000000-0005-0000-0000-0000945C0000}"/>
    <cellStyle name="Normal 58 5 4 2 2 2" xfId="34906" xr:uid="{00000000-0005-0000-0000-0000955C0000}"/>
    <cellStyle name="Normal 58 5 4 2 3" xfId="26859" xr:uid="{00000000-0005-0000-0000-0000965C0000}"/>
    <cellStyle name="Normal 58 5 4 3" xfId="14531" xr:uid="{00000000-0005-0000-0000-0000975C0000}"/>
    <cellStyle name="Normal 58 5 4 3 2" xfId="31077" xr:uid="{00000000-0005-0000-0000-0000985C0000}"/>
    <cellStyle name="Normal 58 5 4 4" xfId="23034" xr:uid="{00000000-0005-0000-0000-0000995C0000}"/>
    <cellStyle name="Normal 58 5 5" xfId="8976" xr:uid="{00000000-0005-0000-0000-00009A5C0000}"/>
    <cellStyle name="Normal 58 5 5 2" xfId="18333" xr:uid="{00000000-0005-0000-0000-00009B5C0000}"/>
    <cellStyle name="Normal 58 5 5 2 2" xfId="34907" xr:uid="{00000000-0005-0000-0000-00009C5C0000}"/>
    <cellStyle name="Normal 58 5 5 3" xfId="26860" xr:uid="{00000000-0005-0000-0000-00009D5C0000}"/>
    <cellStyle name="Normal 58 5 6" xfId="14524" xr:uid="{00000000-0005-0000-0000-00009E5C0000}"/>
    <cellStyle name="Normal 58 5 6 2" xfId="31070" xr:uid="{00000000-0005-0000-0000-00009F5C0000}"/>
    <cellStyle name="Normal 58 5 7" xfId="23027" xr:uid="{00000000-0005-0000-0000-0000A05C0000}"/>
    <cellStyle name="Normal 58 6" xfId="5016" xr:uid="{00000000-0005-0000-0000-0000A15C0000}"/>
    <cellStyle name="Normal 58 6 2" xfId="5017" xr:uid="{00000000-0005-0000-0000-0000A25C0000}"/>
    <cellStyle name="Normal 58 6 2 2" xfId="5018" xr:uid="{00000000-0005-0000-0000-0000A35C0000}"/>
    <cellStyle name="Normal 58 6 2 2 2" xfId="8977" xr:uid="{00000000-0005-0000-0000-0000A45C0000}"/>
    <cellStyle name="Normal 58 6 2 2 2 2" xfId="18334" xr:uid="{00000000-0005-0000-0000-0000A55C0000}"/>
    <cellStyle name="Normal 58 6 2 2 2 2 2" xfId="34908" xr:uid="{00000000-0005-0000-0000-0000A65C0000}"/>
    <cellStyle name="Normal 58 6 2 2 2 3" xfId="26861" xr:uid="{00000000-0005-0000-0000-0000A75C0000}"/>
    <cellStyle name="Normal 58 6 2 2 3" xfId="14534" xr:uid="{00000000-0005-0000-0000-0000A85C0000}"/>
    <cellStyle name="Normal 58 6 2 2 3 2" xfId="31080" xr:uid="{00000000-0005-0000-0000-0000A95C0000}"/>
    <cellStyle name="Normal 58 6 2 2 4" xfId="23037" xr:uid="{00000000-0005-0000-0000-0000AA5C0000}"/>
    <cellStyle name="Normal 58 6 2 3" xfId="8978" xr:uid="{00000000-0005-0000-0000-0000AB5C0000}"/>
    <cellStyle name="Normal 58 6 2 3 2" xfId="18335" xr:uid="{00000000-0005-0000-0000-0000AC5C0000}"/>
    <cellStyle name="Normal 58 6 2 3 2 2" xfId="34909" xr:uid="{00000000-0005-0000-0000-0000AD5C0000}"/>
    <cellStyle name="Normal 58 6 2 3 3" xfId="26862" xr:uid="{00000000-0005-0000-0000-0000AE5C0000}"/>
    <cellStyle name="Normal 58 6 2 4" xfId="14533" xr:uid="{00000000-0005-0000-0000-0000AF5C0000}"/>
    <cellStyle name="Normal 58 6 2 4 2" xfId="31079" xr:uid="{00000000-0005-0000-0000-0000B05C0000}"/>
    <cellStyle name="Normal 58 6 2 5" xfId="23036" xr:uid="{00000000-0005-0000-0000-0000B15C0000}"/>
    <cellStyle name="Normal 58 6 3" xfId="5019" xr:uid="{00000000-0005-0000-0000-0000B25C0000}"/>
    <cellStyle name="Normal 58 6 3 2" xfId="8979" xr:uid="{00000000-0005-0000-0000-0000B35C0000}"/>
    <cellStyle name="Normal 58 6 3 2 2" xfId="18336" xr:uid="{00000000-0005-0000-0000-0000B45C0000}"/>
    <cellStyle name="Normal 58 6 3 2 2 2" xfId="34910" xr:uid="{00000000-0005-0000-0000-0000B55C0000}"/>
    <cellStyle name="Normal 58 6 3 2 3" xfId="26863" xr:uid="{00000000-0005-0000-0000-0000B65C0000}"/>
    <cellStyle name="Normal 58 6 3 3" xfId="14535" xr:uid="{00000000-0005-0000-0000-0000B75C0000}"/>
    <cellStyle name="Normal 58 6 3 3 2" xfId="31081" xr:uid="{00000000-0005-0000-0000-0000B85C0000}"/>
    <cellStyle name="Normal 58 6 3 4" xfId="23038" xr:uid="{00000000-0005-0000-0000-0000B95C0000}"/>
    <cellStyle name="Normal 58 6 4" xfId="8980" xr:uid="{00000000-0005-0000-0000-0000BA5C0000}"/>
    <cellStyle name="Normal 58 6 4 2" xfId="18337" xr:uid="{00000000-0005-0000-0000-0000BB5C0000}"/>
    <cellStyle name="Normal 58 6 4 2 2" xfId="34911" xr:uid="{00000000-0005-0000-0000-0000BC5C0000}"/>
    <cellStyle name="Normal 58 6 4 3" xfId="26864" xr:uid="{00000000-0005-0000-0000-0000BD5C0000}"/>
    <cellStyle name="Normal 58 6 5" xfId="14532" xr:uid="{00000000-0005-0000-0000-0000BE5C0000}"/>
    <cellStyle name="Normal 58 6 5 2" xfId="31078" xr:uid="{00000000-0005-0000-0000-0000BF5C0000}"/>
    <cellStyle name="Normal 58 6 6" xfId="23035" xr:uid="{00000000-0005-0000-0000-0000C05C0000}"/>
    <cellStyle name="Normal 58 7" xfId="5020" xr:uid="{00000000-0005-0000-0000-0000C15C0000}"/>
    <cellStyle name="Normal 58 7 2" xfId="5021" xr:uid="{00000000-0005-0000-0000-0000C25C0000}"/>
    <cellStyle name="Normal 58 7 2 2" xfId="8981" xr:uid="{00000000-0005-0000-0000-0000C35C0000}"/>
    <cellStyle name="Normal 58 7 2 2 2" xfId="18338" xr:uid="{00000000-0005-0000-0000-0000C45C0000}"/>
    <cellStyle name="Normal 58 7 2 2 2 2" xfId="34912" xr:uid="{00000000-0005-0000-0000-0000C55C0000}"/>
    <cellStyle name="Normal 58 7 2 2 3" xfId="26865" xr:uid="{00000000-0005-0000-0000-0000C65C0000}"/>
    <cellStyle name="Normal 58 7 2 3" xfId="14537" xr:uid="{00000000-0005-0000-0000-0000C75C0000}"/>
    <cellStyle name="Normal 58 7 2 3 2" xfId="31083" xr:uid="{00000000-0005-0000-0000-0000C85C0000}"/>
    <cellStyle name="Normal 58 7 2 4" xfId="23040" xr:uid="{00000000-0005-0000-0000-0000C95C0000}"/>
    <cellStyle name="Normal 58 7 3" xfId="8982" xr:uid="{00000000-0005-0000-0000-0000CA5C0000}"/>
    <cellStyle name="Normal 58 7 3 2" xfId="18339" xr:uid="{00000000-0005-0000-0000-0000CB5C0000}"/>
    <cellStyle name="Normal 58 7 3 2 2" xfId="34913" xr:uid="{00000000-0005-0000-0000-0000CC5C0000}"/>
    <cellStyle name="Normal 58 7 3 3" xfId="26866" xr:uid="{00000000-0005-0000-0000-0000CD5C0000}"/>
    <cellStyle name="Normal 58 7 4" xfId="14536" xr:uid="{00000000-0005-0000-0000-0000CE5C0000}"/>
    <cellStyle name="Normal 58 7 4 2" xfId="31082" xr:uid="{00000000-0005-0000-0000-0000CF5C0000}"/>
    <cellStyle name="Normal 58 7 5" xfId="23039" xr:uid="{00000000-0005-0000-0000-0000D05C0000}"/>
    <cellStyle name="Normal 58 8" xfId="5022" xr:uid="{00000000-0005-0000-0000-0000D15C0000}"/>
    <cellStyle name="Normal 58 8 2" xfId="8983" xr:uid="{00000000-0005-0000-0000-0000D25C0000}"/>
    <cellStyle name="Normal 58 8 2 2" xfId="18340" xr:uid="{00000000-0005-0000-0000-0000D35C0000}"/>
    <cellStyle name="Normal 58 8 2 2 2" xfId="34914" xr:uid="{00000000-0005-0000-0000-0000D45C0000}"/>
    <cellStyle name="Normal 58 8 2 3" xfId="26867" xr:uid="{00000000-0005-0000-0000-0000D55C0000}"/>
    <cellStyle name="Normal 58 8 3" xfId="14538" xr:uid="{00000000-0005-0000-0000-0000D65C0000}"/>
    <cellStyle name="Normal 58 8 3 2" xfId="31084" xr:uid="{00000000-0005-0000-0000-0000D75C0000}"/>
    <cellStyle name="Normal 58 8 4" xfId="23041" xr:uid="{00000000-0005-0000-0000-0000D85C0000}"/>
    <cellStyle name="Normal 58 9" xfId="8984" xr:uid="{00000000-0005-0000-0000-0000D95C0000}"/>
    <cellStyle name="Normal 58 9 2" xfId="18341" xr:uid="{00000000-0005-0000-0000-0000DA5C0000}"/>
    <cellStyle name="Normal 58 9 2 2" xfId="34915" xr:uid="{00000000-0005-0000-0000-0000DB5C0000}"/>
    <cellStyle name="Normal 58 9 3" xfId="26868" xr:uid="{00000000-0005-0000-0000-0000DC5C0000}"/>
    <cellStyle name="Normal 59" xfId="5023" xr:uid="{00000000-0005-0000-0000-0000DD5C0000}"/>
    <cellStyle name="Normal 59 10" xfId="14539" xr:uid="{00000000-0005-0000-0000-0000DE5C0000}"/>
    <cellStyle name="Normal 59 10 2" xfId="31085" xr:uid="{00000000-0005-0000-0000-0000DF5C0000}"/>
    <cellStyle name="Normal 59 11" xfId="23042" xr:uid="{00000000-0005-0000-0000-0000E05C0000}"/>
    <cellStyle name="Normal 59 2" xfId="5024" xr:uid="{00000000-0005-0000-0000-0000E15C0000}"/>
    <cellStyle name="Normal 59 2 2" xfId="5025" xr:uid="{00000000-0005-0000-0000-0000E25C0000}"/>
    <cellStyle name="Normal 59 2 3" xfId="14540" xr:uid="{00000000-0005-0000-0000-0000E35C0000}"/>
    <cellStyle name="Normal 59 2 3 2" xfId="31086" xr:uid="{00000000-0005-0000-0000-0000E45C0000}"/>
    <cellStyle name="Normal 59 2 4" xfId="23043" xr:uid="{00000000-0005-0000-0000-0000E55C0000}"/>
    <cellStyle name="Normal 59 3" xfId="5026" xr:uid="{00000000-0005-0000-0000-0000E65C0000}"/>
    <cellStyle name="Normal 59 3 2" xfId="5027" xr:uid="{00000000-0005-0000-0000-0000E75C0000}"/>
    <cellStyle name="Normal 59 3 2 2" xfId="5028" xr:uid="{00000000-0005-0000-0000-0000E85C0000}"/>
    <cellStyle name="Normal 59 3 2 2 2" xfId="5029" xr:uid="{00000000-0005-0000-0000-0000E95C0000}"/>
    <cellStyle name="Normal 59 3 2 2 2 2" xfId="8985" xr:uid="{00000000-0005-0000-0000-0000EA5C0000}"/>
    <cellStyle name="Normal 59 3 2 2 2 2 2" xfId="18342" xr:uid="{00000000-0005-0000-0000-0000EB5C0000}"/>
    <cellStyle name="Normal 59 3 2 2 2 2 2 2" xfId="34916" xr:uid="{00000000-0005-0000-0000-0000EC5C0000}"/>
    <cellStyle name="Normal 59 3 2 2 2 2 3" xfId="26869" xr:uid="{00000000-0005-0000-0000-0000ED5C0000}"/>
    <cellStyle name="Normal 59 3 2 2 2 3" xfId="14543" xr:uid="{00000000-0005-0000-0000-0000EE5C0000}"/>
    <cellStyle name="Normal 59 3 2 2 2 3 2" xfId="31089" xr:uid="{00000000-0005-0000-0000-0000EF5C0000}"/>
    <cellStyle name="Normal 59 3 2 2 2 4" xfId="23046" xr:uid="{00000000-0005-0000-0000-0000F05C0000}"/>
    <cellStyle name="Normal 59 3 2 2 3" xfId="8986" xr:uid="{00000000-0005-0000-0000-0000F15C0000}"/>
    <cellStyle name="Normal 59 3 2 2 3 2" xfId="18343" xr:uid="{00000000-0005-0000-0000-0000F25C0000}"/>
    <cellStyle name="Normal 59 3 2 2 3 2 2" xfId="34917" xr:uid="{00000000-0005-0000-0000-0000F35C0000}"/>
    <cellStyle name="Normal 59 3 2 2 3 3" xfId="26870" xr:uid="{00000000-0005-0000-0000-0000F45C0000}"/>
    <cellStyle name="Normal 59 3 2 2 4" xfId="14542" xr:uid="{00000000-0005-0000-0000-0000F55C0000}"/>
    <cellStyle name="Normal 59 3 2 2 4 2" xfId="31088" xr:uid="{00000000-0005-0000-0000-0000F65C0000}"/>
    <cellStyle name="Normal 59 3 2 2 5" xfId="23045" xr:uid="{00000000-0005-0000-0000-0000F75C0000}"/>
    <cellStyle name="Normal 59 3 2 3" xfId="5030" xr:uid="{00000000-0005-0000-0000-0000F85C0000}"/>
    <cellStyle name="Normal 59 3 2 3 2" xfId="8987" xr:uid="{00000000-0005-0000-0000-0000F95C0000}"/>
    <cellStyle name="Normal 59 3 2 3 2 2" xfId="18344" xr:uid="{00000000-0005-0000-0000-0000FA5C0000}"/>
    <cellStyle name="Normal 59 3 2 3 2 2 2" xfId="34918" xr:uid="{00000000-0005-0000-0000-0000FB5C0000}"/>
    <cellStyle name="Normal 59 3 2 3 2 3" xfId="26871" xr:uid="{00000000-0005-0000-0000-0000FC5C0000}"/>
    <cellStyle name="Normal 59 3 2 3 3" xfId="14544" xr:uid="{00000000-0005-0000-0000-0000FD5C0000}"/>
    <cellStyle name="Normal 59 3 2 3 3 2" xfId="31090" xr:uid="{00000000-0005-0000-0000-0000FE5C0000}"/>
    <cellStyle name="Normal 59 3 2 3 4" xfId="23047" xr:uid="{00000000-0005-0000-0000-0000FF5C0000}"/>
    <cellStyle name="Normal 59 3 2 4" xfId="8988" xr:uid="{00000000-0005-0000-0000-0000005D0000}"/>
    <cellStyle name="Normal 59 3 2 4 2" xfId="18345" xr:uid="{00000000-0005-0000-0000-0000015D0000}"/>
    <cellStyle name="Normal 59 3 2 4 2 2" xfId="34919" xr:uid="{00000000-0005-0000-0000-0000025D0000}"/>
    <cellStyle name="Normal 59 3 2 4 3" xfId="26872" xr:uid="{00000000-0005-0000-0000-0000035D0000}"/>
    <cellStyle name="Normal 59 3 2 5" xfId="14541" xr:uid="{00000000-0005-0000-0000-0000045D0000}"/>
    <cellStyle name="Normal 59 3 2 5 2" xfId="31087" xr:uid="{00000000-0005-0000-0000-0000055D0000}"/>
    <cellStyle name="Normal 59 3 2 6" xfId="23044" xr:uid="{00000000-0005-0000-0000-0000065D0000}"/>
    <cellStyle name="Normal 59 3 3" xfId="5031" xr:uid="{00000000-0005-0000-0000-0000075D0000}"/>
    <cellStyle name="Normal 59 3 3 2" xfId="5032" xr:uid="{00000000-0005-0000-0000-0000085D0000}"/>
    <cellStyle name="Normal 59 3 3 2 2" xfId="8989" xr:uid="{00000000-0005-0000-0000-0000095D0000}"/>
    <cellStyle name="Normal 59 3 3 2 2 2" xfId="18346" xr:uid="{00000000-0005-0000-0000-00000A5D0000}"/>
    <cellStyle name="Normal 59 3 3 2 2 2 2" xfId="34920" xr:uid="{00000000-0005-0000-0000-00000B5D0000}"/>
    <cellStyle name="Normal 59 3 3 2 2 3" xfId="26873" xr:uid="{00000000-0005-0000-0000-00000C5D0000}"/>
    <cellStyle name="Normal 59 3 3 2 3" xfId="14546" xr:uid="{00000000-0005-0000-0000-00000D5D0000}"/>
    <cellStyle name="Normal 59 3 3 2 3 2" xfId="31092" xr:uid="{00000000-0005-0000-0000-00000E5D0000}"/>
    <cellStyle name="Normal 59 3 3 2 4" xfId="23049" xr:uid="{00000000-0005-0000-0000-00000F5D0000}"/>
    <cellStyle name="Normal 59 3 3 3" xfId="8990" xr:uid="{00000000-0005-0000-0000-0000105D0000}"/>
    <cellStyle name="Normal 59 3 3 3 2" xfId="18347" xr:uid="{00000000-0005-0000-0000-0000115D0000}"/>
    <cellStyle name="Normal 59 3 3 3 2 2" xfId="34921" xr:uid="{00000000-0005-0000-0000-0000125D0000}"/>
    <cellStyle name="Normal 59 3 3 3 3" xfId="26874" xr:uid="{00000000-0005-0000-0000-0000135D0000}"/>
    <cellStyle name="Normal 59 3 3 4" xfId="14545" xr:uid="{00000000-0005-0000-0000-0000145D0000}"/>
    <cellStyle name="Normal 59 3 3 4 2" xfId="31091" xr:uid="{00000000-0005-0000-0000-0000155D0000}"/>
    <cellStyle name="Normal 59 3 3 5" xfId="23048" xr:uid="{00000000-0005-0000-0000-0000165D0000}"/>
    <cellStyle name="Normal 59 3 4" xfId="5033" xr:uid="{00000000-0005-0000-0000-0000175D0000}"/>
    <cellStyle name="Normal 59 3 4 2" xfId="8991" xr:uid="{00000000-0005-0000-0000-0000185D0000}"/>
    <cellStyle name="Normal 59 3 4 2 2" xfId="18348" xr:uid="{00000000-0005-0000-0000-0000195D0000}"/>
    <cellStyle name="Normal 59 3 4 2 2 2" xfId="34922" xr:uid="{00000000-0005-0000-0000-00001A5D0000}"/>
    <cellStyle name="Normal 59 3 4 2 3" xfId="26875" xr:uid="{00000000-0005-0000-0000-00001B5D0000}"/>
    <cellStyle name="Normal 59 3 4 3" xfId="14547" xr:uid="{00000000-0005-0000-0000-00001C5D0000}"/>
    <cellStyle name="Normal 59 3 4 3 2" xfId="31093" xr:uid="{00000000-0005-0000-0000-00001D5D0000}"/>
    <cellStyle name="Normal 59 3 4 4" xfId="23050" xr:uid="{00000000-0005-0000-0000-00001E5D0000}"/>
    <cellStyle name="Normal 59 3 5" xfId="5034" xr:uid="{00000000-0005-0000-0000-00001F5D0000}"/>
    <cellStyle name="Normal 59 3 5 2" xfId="14548" xr:uid="{00000000-0005-0000-0000-0000205D0000}"/>
    <cellStyle name="Normal 59 3 5 2 2" xfId="31094" xr:uid="{00000000-0005-0000-0000-0000215D0000}"/>
    <cellStyle name="Normal 59 3 5 3" xfId="23051" xr:uid="{00000000-0005-0000-0000-0000225D0000}"/>
    <cellStyle name="Normal 59 4" xfId="5035" xr:uid="{00000000-0005-0000-0000-0000235D0000}"/>
    <cellStyle name="Normal 59 4 2" xfId="5036" xr:uid="{00000000-0005-0000-0000-0000245D0000}"/>
    <cellStyle name="Normal 59 4 2 2" xfId="5037" xr:uid="{00000000-0005-0000-0000-0000255D0000}"/>
    <cellStyle name="Normal 59 4 2 2 2" xfId="5038" xr:uid="{00000000-0005-0000-0000-0000265D0000}"/>
    <cellStyle name="Normal 59 4 2 2 2 2" xfId="8992" xr:uid="{00000000-0005-0000-0000-0000275D0000}"/>
    <cellStyle name="Normal 59 4 2 2 2 2 2" xfId="18349" xr:uid="{00000000-0005-0000-0000-0000285D0000}"/>
    <cellStyle name="Normal 59 4 2 2 2 2 2 2" xfId="34923" xr:uid="{00000000-0005-0000-0000-0000295D0000}"/>
    <cellStyle name="Normal 59 4 2 2 2 2 3" xfId="26876" xr:uid="{00000000-0005-0000-0000-00002A5D0000}"/>
    <cellStyle name="Normal 59 4 2 2 2 3" xfId="14552" xr:uid="{00000000-0005-0000-0000-00002B5D0000}"/>
    <cellStyle name="Normal 59 4 2 2 2 3 2" xfId="31098" xr:uid="{00000000-0005-0000-0000-00002C5D0000}"/>
    <cellStyle name="Normal 59 4 2 2 2 4" xfId="23055" xr:uid="{00000000-0005-0000-0000-00002D5D0000}"/>
    <cellStyle name="Normal 59 4 2 2 3" xfId="8993" xr:uid="{00000000-0005-0000-0000-00002E5D0000}"/>
    <cellStyle name="Normal 59 4 2 2 3 2" xfId="18350" xr:uid="{00000000-0005-0000-0000-00002F5D0000}"/>
    <cellStyle name="Normal 59 4 2 2 3 2 2" xfId="34924" xr:uid="{00000000-0005-0000-0000-0000305D0000}"/>
    <cellStyle name="Normal 59 4 2 2 3 3" xfId="26877" xr:uid="{00000000-0005-0000-0000-0000315D0000}"/>
    <cellStyle name="Normal 59 4 2 2 4" xfId="14551" xr:uid="{00000000-0005-0000-0000-0000325D0000}"/>
    <cellStyle name="Normal 59 4 2 2 4 2" xfId="31097" xr:uid="{00000000-0005-0000-0000-0000335D0000}"/>
    <cellStyle name="Normal 59 4 2 2 5" xfId="23054" xr:uid="{00000000-0005-0000-0000-0000345D0000}"/>
    <cellStyle name="Normal 59 4 2 3" xfId="5039" xr:uid="{00000000-0005-0000-0000-0000355D0000}"/>
    <cellStyle name="Normal 59 4 2 3 2" xfId="8994" xr:uid="{00000000-0005-0000-0000-0000365D0000}"/>
    <cellStyle name="Normal 59 4 2 3 2 2" xfId="18351" xr:uid="{00000000-0005-0000-0000-0000375D0000}"/>
    <cellStyle name="Normal 59 4 2 3 2 2 2" xfId="34925" xr:uid="{00000000-0005-0000-0000-0000385D0000}"/>
    <cellStyle name="Normal 59 4 2 3 2 3" xfId="26878" xr:uid="{00000000-0005-0000-0000-0000395D0000}"/>
    <cellStyle name="Normal 59 4 2 3 3" xfId="14553" xr:uid="{00000000-0005-0000-0000-00003A5D0000}"/>
    <cellStyle name="Normal 59 4 2 3 3 2" xfId="31099" xr:uid="{00000000-0005-0000-0000-00003B5D0000}"/>
    <cellStyle name="Normal 59 4 2 3 4" xfId="23056" xr:uid="{00000000-0005-0000-0000-00003C5D0000}"/>
    <cellStyle name="Normal 59 4 2 4" xfId="8995" xr:uid="{00000000-0005-0000-0000-00003D5D0000}"/>
    <cellStyle name="Normal 59 4 2 4 2" xfId="18352" xr:uid="{00000000-0005-0000-0000-00003E5D0000}"/>
    <cellStyle name="Normal 59 4 2 4 2 2" xfId="34926" xr:uid="{00000000-0005-0000-0000-00003F5D0000}"/>
    <cellStyle name="Normal 59 4 2 4 3" xfId="26879" xr:uid="{00000000-0005-0000-0000-0000405D0000}"/>
    <cellStyle name="Normal 59 4 2 5" xfId="14550" xr:uid="{00000000-0005-0000-0000-0000415D0000}"/>
    <cellStyle name="Normal 59 4 2 5 2" xfId="31096" xr:uid="{00000000-0005-0000-0000-0000425D0000}"/>
    <cellStyle name="Normal 59 4 2 6" xfId="23053" xr:uid="{00000000-0005-0000-0000-0000435D0000}"/>
    <cellStyle name="Normal 59 4 3" xfId="5040" xr:uid="{00000000-0005-0000-0000-0000445D0000}"/>
    <cellStyle name="Normal 59 4 3 2" xfId="5041" xr:uid="{00000000-0005-0000-0000-0000455D0000}"/>
    <cellStyle name="Normal 59 4 3 2 2" xfId="8996" xr:uid="{00000000-0005-0000-0000-0000465D0000}"/>
    <cellStyle name="Normal 59 4 3 2 2 2" xfId="18353" xr:uid="{00000000-0005-0000-0000-0000475D0000}"/>
    <cellStyle name="Normal 59 4 3 2 2 2 2" xfId="34927" xr:uid="{00000000-0005-0000-0000-0000485D0000}"/>
    <cellStyle name="Normal 59 4 3 2 2 3" xfId="26880" xr:uid="{00000000-0005-0000-0000-0000495D0000}"/>
    <cellStyle name="Normal 59 4 3 2 3" xfId="14555" xr:uid="{00000000-0005-0000-0000-00004A5D0000}"/>
    <cellStyle name="Normal 59 4 3 2 3 2" xfId="31101" xr:uid="{00000000-0005-0000-0000-00004B5D0000}"/>
    <cellStyle name="Normal 59 4 3 2 4" xfId="23058" xr:uid="{00000000-0005-0000-0000-00004C5D0000}"/>
    <cellStyle name="Normal 59 4 3 3" xfId="8997" xr:uid="{00000000-0005-0000-0000-00004D5D0000}"/>
    <cellStyle name="Normal 59 4 3 3 2" xfId="18354" xr:uid="{00000000-0005-0000-0000-00004E5D0000}"/>
    <cellStyle name="Normal 59 4 3 3 2 2" xfId="34928" xr:uid="{00000000-0005-0000-0000-00004F5D0000}"/>
    <cellStyle name="Normal 59 4 3 3 3" xfId="26881" xr:uid="{00000000-0005-0000-0000-0000505D0000}"/>
    <cellStyle name="Normal 59 4 3 4" xfId="14554" xr:uid="{00000000-0005-0000-0000-0000515D0000}"/>
    <cellStyle name="Normal 59 4 3 4 2" xfId="31100" xr:uid="{00000000-0005-0000-0000-0000525D0000}"/>
    <cellStyle name="Normal 59 4 3 5" xfId="23057" xr:uid="{00000000-0005-0000-0000-0000535D0000}"/>
    <cellStyle name="Normal 59 4 4" xfId="5042" xr:uid="{00000000-0005-0000-0000-0000545D0000}"/>
    <cellStyle name="Normal 59 4 4 2" xfId="8998" xr:uid="{00000000-0005-0000-0000-0000555D0000}"/>
    <cellStyle name="Normal 59 4 4 2 2" xfId="18355" xr:uid="{00000000-0005-0000-0000-0000565D0000}"/>
    <cellStyle name="Normal 59 4 4 2 2 2" xfId="34929" xr:uid="{00000000-0005-0000-0000-0000575D0000}"/>
    <cellStyle name="Normal 59 4 4 2 3" xfId="26882" xr:uid="{00000000-0005-0000-0000-0000585D0000}"/>
    <cellStyle name="Normal 59 4 4 3" xfId="14556" xr:uid="{00000000-0005-0000-0000-0000595D0000}"/>
    <cellStyle name="Normal 59 4 4 3 2" xfId="31102" xr:uid="{00000000-0005-0000-0000-00005A5D0000}"/>
    <cellStyle name="Normal 59 4 4 4" xfId="23059" xr:uid="{00000000-0005-0000-0000-00005B5D0000}"/>
    <cellStyle name="Normal 59 4 5" xfId="8999" xr:uid="{00000000-0005-0000-0000-00005C5D0000}"/>
    <cellStyle name="Normal 59 4 5 2" xfId="18356" xr:uid="{00000000-0005-0000-0000-00005D5D0000}"/>
    <cellStyle name="Normal 59 4 5 2 2" xfId="34930" xr:uid="{00000000-0005-0000-0000-00005E5D0000}"/>
    <cellStyle name="Normal 59 4 5 3" xfId="26883" xr:uid="{00000000-0005-0000-0000-00005F5D0000}"/>
    <cellStyle name="Normal 59 4 6" xfId="14549" xr:uid="{00000000-0005-0000-0000-0000605D0000}"/>
    <cellStyle name="Normal 59 4 6 2" xfId="31095" xr:uid="{00000000-0005-0000-0000-0000615D0000}"/>
    <cellStyle name="Normal 59 4 7" xfId="23052" xr:uid="{00000000-0005-0000-0000-0000625D0000}"/>
    <cellStyle name="Normal 59 5" xfId="5043" xr:uid="{00000000-0005-0000-0000-0000635D0000}"/>
    <cellStyle name="Normal 59 5 2" xfId="5044" xr:uid="{00000000-0005-0000-0000-0000645D0000}"/>
    <cellStyle name="Normal 59 5 2 2" xfId="5045" xr:uid="{00000000-0005-0000-0000-0000655D0000}"/>
    <cellStyle name="Normal 59 5 2 2 2" xfId="5046" xr:uid="{00000000-0005-0000-0000-0000665D0000}"/>
    <cellStyle name="Normal 59 5 2 2 2 2" xfId="9000" xr:uid="{00000000-0005-0000-0000-0000675D0000}"/>
    <cellStyle name="Normal 59 5 2 2 2 2 2" xfId="18357" xr:uid="{00000000-0005-0000-0000-0000685D0000}"/>
    <cellStyle name="Normal 59 5 2 2 2 2 2 2" xfId="34931" xr:uid="{00000000-0005-0000-0000-0000695D0000}"/>
    <cellStyle name="Normal 59 5 2 2 2 2 3" xfId="26884" xr:uid="{00000000-0005-0000-0000-00006A5D0000}"/>
    <cellStyle name="Normal 59 5 2 2 2 3" xfId="14560" xr:uid="{00000000-0005-0000-0000-00006B5D0000}"/>
    <cellStyle name="Normal 59 5 2 2 2 3 2" xfId="31106" xr:uid="{00000000-0005-0000-0000-00006C5D0000}"/>
    <cellStyle name="Normal 59 5 2 2 2 4" xfId="23063" xr:uid="{00000000-0005-0000-0000-00006D5D0000}"/>
    <cellStyle name="Normal 59 5 2 2 3" xfId="9001" xr:uid="{00000000-0005-0000-0000-00006E5D0000}"/>
    <cellStyle name="Normal 59 5 2 2 3 2" xfId="18358" xr:uid="{00000000-0005-0000-0000-00006F5D0000}"/>
    <cellStyle name="Normal 59 5 2 2 3 2 2" xfId="34932" xr:uid="{00000000-0005-0000-0000-0000705D0000}"/>
    <cellStyle name="Normal 59 5 2 2 3 3" xfId="26885" xr:uid="{00000000-0005-0000-0000-0000715D0000}"/>
    <cellStyle name="Normal 59 5 2 2 4" xfId="14559" xr:uid="{00000000-0005-0000-0000-0000725D0000}"/>
    <cellStyle name="Normal 59 5 2 2 4 2" xfId="31105" xr:uid="{00000000-0005-0000-0000-0000735D0000}"/>
    <cellStyle name="Normal 59 5 2 2 5" xfId="23062" xr:uid="{00000000-0005-0000-0000-0000745D0000}"/>
    <cellStyle name="Normal 59 5 2 3" xfId="5047" xr:uid="{00000000-0005-0000-0000-0000755D0000}"/>
    <cellStyle name="Normal 59 5 2 3 2" xfId="9002" xr:uid="{00000000-0005-0000-0000-0000765D0000}"/>
    <cellStyle name="Normal 59 5 2 3 2 2" xfId="18359" xr:uid="{00000000-0005-0000-0000-0000775D0000}"/>
    <cellStyle name="Normal 59 5 2 3 2 2 2" xfId="34933" xr:uid="{00000000-0005-0000-0000-0000785D0000}"/>
    <cellStyle name="Normal 59 5 2 3 2 3" xfId="26886" xr:uid="{00000000-0005-0000-0000-0000795D0000}"/>
    <cellStyle name="Normal 59 5 2 3 3" xfId="14561" xr:uid="{00000000-0005-0000-0000-00007A5D0000}"/>
    <cellStyle name="Normal 59 5 2 3 3 2" xfId="31107" xr:uid="{00000000-0005-0000-0000-00007B5D0000}"/>
    <cellStyle name="Normal 59 5 2 3 4" xfId="23064" xr:uid="{00000000-0005-0000-0000-00007C5D0000}"/>
    <cellStyle name="Normal 59 5 2 4" xfId="9003" xr:uid="{00000000-0005-0000-0000-00007D5D0000}"/>
    <cellStyle name="Normal 59 5 2 4 2" xfId="18360" xr:uid="{00000000-0005-0000-0000-00007E5D0000}"/>
    <cellStyle name="Normal 59 5 2 4 2 2" xfId="34934" xr:uid="{00000000-0005-0000-0000-00007F5D0000}"/>
    <cellStyle name="Normal 59 5 2 4 3" xfId="26887" xr:uid="{00000000-0005-0000-0000-0000805D0000}"/>
    <cellStyle name="Normal 59 5 2 5" xfId="14558" xr:uid="{00000000-0005-0000-0000-0000815D0000}"/>
    <cellStyle name="Normal 59 5 2 5 2" xfId="31104" xr:uid="{00000000-0005-0000-0000-0000825D0000}"/>
    <cellStyle name="Normal 59 5 2 6" xfId="23061" xr:uid="{00000000-0005-0000-0000-0000835D0000}"/>
    <cellStyle name="Normal 59 5 3" xfId="5048" xr:uid="{00000000-0005-0000-0000-0000845D0000}"/>
    <cellStyle name="Normal 59 5 3 2" xfId="5049" xr:uid="{00000000-0005-0000-0000-0000855D0000}"/>
    <cellStyle name="Normal 59 5 3 2 2" xfId="9004" xr:uid="{00000000-0005-0000-0000-0000865D0000}"/>
    <cellStyle name="Normal 59 5 3 2 2 2" xfId="18361" xr:uid="{00000000-0005-0000-0000-0000875D0000}"/>
    <cellStyle name="Normal 59 5 3 2 2 2 2" xfId="34935" xr:uid="{00000000-0005-0000-0000-0000885D0000}"/>
    <cellStyle name="Normal 59 5 3 2 2 3" xfId="26888" xr:uid="{00000000-0005-0000-0000-0000895D0000}"/>
    <cellStyle name="Normal 59 5 3 2 3" xfId="14563" xr:uid="{00000000-0005-0000-0000-00008A5D0000}"/>
    <cellStyle name="Normal 59 5 3 2 3 2" xfId="31109" xr:uid="{00000000-0005-0000-0000-00008B5D0000}"/>
    <cellStyle name="Normal 59 5 3 2 4" xfId="23066" xr:uid="{00000000-0005-0000-0000-00008C5D0000}"/>
    <cellStyle name="Normal 59 5 3 3" xfId="9005" xr:uid="{00000000-0005-0000-0000-00008D5D0000}"/>
    <cellStyle name="Normal 59 5 3 3 2" xfId="18362" xr:uid="{00000000-0005-0000-0000-00008E5D0000}"/>
    <cellStyle name="Normal 59 5 3 3 2 2" xfId="34936" xr:uid="{00000000-0005-0000-0000-00008F5D0000}"/>
    <cellStyle name="Normal 59 5 3 3 3" xfId="26889" xr:uid="{00000000-0005-0000-0000-0000905D0000}"/>
    <cellStyle name="Normal 59 5 3 4" xfId="14562" xr:uid="{00000000-0005-0000-0000-0000915D0000}"/>
    <cellStyle name="Normal 59 5 3 4 2" xfId="31108" xr:uid="{00000000-0005-0000-0000-0000925D0000}"/>
    <cellStyle name="Normal 59 5 3 5" xfId="23065" xr:uid="{00000000-0005-0000-0000-0000935D0000}"/>
    <cellStyle name="Normal 59 5 4" xfId="5050" xr:uid="{00000000-0005-0000-0000-0000945D0000}"/>
    <cellStyle name="Normal 59 5 4 2" xfId="9006" xr:uid="{00000000-0005-0000-0000-0000955D0000}"/>
    <cellStyle name="Normal 59 5 4 2 2" xfId="18363" xr:uid="{00000000-0005-0000-0000-0000965D0000}"/>
    <cellStyle name="Normal 59 5 4 2 2 2" xfId="34937" xr:uid="{00000000-0005-0000-0000-0000975D0000}"/>
    <cellStyle name="Normal 59 5 4 2 3" xfId="26890" xr:uid="{00000000-0005-0000-0000-0000985D0000}"/>
    <cellStyle name="Normal 59 5 4 3" xfId="14564" xr:uid="{00000000-0005-0000-0000-0000995D0000}"/>
    <cellStyle name="Normal 59 5 4 3 2" xfId="31110" xr:uid="{00000000-0005-0000-0000-00009A5D0000}"/>
    <cellStyle name="Normal 59 5 4 4" xfId="23067" xr:uid="{00000000-0005-0000-0000-00009B5D0000}"/>
    <cellStyle name="Normal 59 5 5" xfId="9007" xr:uid="{00000000-0005-0000-0000-00009C5D0000}"/>
    <cellStyle name="Normal 59 5 5 2" xfId="18364" xr:uid="{00000000-0005-0000-0000-00009D5D0000}"/>
    <cellStyle name="Normal 59 5 5 2 2" xfId="34938" xr:uid="{00000000-0005-0000-0000-00009E5D0000}"/>
    <cellStyle name="Normal 59 5 5 3" xfId="26891" xr:uid="{00000000-0005-0000-0000-00009F5D0000}"/>
    <cellStyle name="Normal 59 5 6" xfId="14557" xr:uid="{00000000-0005-0000-0000-0000A05D0000}"/>
    <cellStyle name="Normal 59 5 6 2" xfId="31103" xr:uid="{00000000-0005-0000-0000-0000A15D0000}"/>
    <cellStyle name="Normal 59 5 7" xfId="23060" xr:uid="{00000000-0005-0000-0000-0000A25D0000}"/>
    <cellStyle name="Normal 59 6" xfId="5051" xr:uid="{00000000-0005-0000-0000-0000A35D0000}"/>
    <cellStyle name="Normal 59 6 2" xfId="5052" xr:uid="{00000000-0005-0000-0000-0000A45D0000}"/>
    <cellStyle name="Normal 59 6 2 2" xfId="5053" xr:uid="{00000000-0005-0000-0000-0000A55D0000}"/>
    <cellStyle name="Normal 59 6 2 2 2" xfId="9008" xr:uid="{00000000-0005-0000-0000-0000A65D0000}"/>
    <cellStyle name="Normal 59 6 2 2 2 2" xfId="18365" xr:uid="{00000000-0005-0000-0000-0000A75D0000}"/>
    <cellStyle name="Normal 59 6 2 2 2 2 2" xfId="34939" xr:uid="{00000000-0005-0000-0000-0000A85D0000}"/>
    <cellStyle name="Normal 59 6 2 2 2 3" xfId="26892" xr:uid="{00000000-0005-0000-0000-0000A95D0000}"/>
    <cellStyle name="Normal 59 6 2 2 3" xfId="14567" xr:uid="{00000000-0005-0000-0000-0000AA5D0000}"/>
    <cellStyle name="Normal 59 6 2 2 3 2" xfId="31113" xr:uid="{00000000-0005-0000-0000-0000AB5D0000}"/>
    <cellStyle name="Normal 59 6 2 2 4" xfId="23070" xr:uid="{00000000-0005-0000-0000-0000AC5D0000}"/>
    <cellStyle name="Normal 59 6 2 3" xfId="9009" xr:uid="{00000000-0005-0000-0000-0000AD5D0000}"/>
    <cellStyle name="Normal 59 6 2 3 2" xfId="18366" xr:uid="{00000000-0005-0000-0000-0000AE5D0000}"/>
    <cellStyle name="Normal 59 6 2 3 2 2" xfId="34940" xr:uid="{00000000-0005-0000-0000-0000AF5D0000}"/>
    <cellStyle name="Normal 59 6 2 3 3" xfId="26893" xr:uid="{00000000-0005-0000-0000-0000B05D0000}"/>
    <cellStyle name="Normal 59 6 2 4" xfId="14566" xr:uid="{00000000-0005-0000-0000-0000B15D0000}"/>
    <cellStyle name="Normal 59 6 2 4 2" xfId="31112" xr:uid="{00000000-0005-0000-0000-0000B25D0000}"/>
    <cellStyle name="Normal 59 6 2 5" xfId="23069" xr:uid="{00000000-0005-0000-0000-0000B35D0000}"/>
    <cellStyle name="Normal 59 6 3" xfId="5054" xr:uid="{00000000-0005-0000-0000-0000B45D0000}"/>
    <cellStyle name="Normal 59 6 3 2" xfId="9010" xr:uid="{00000000-0005-0000-0000-0000B55D0000}"/>
    <cellStyle name="Normal 59 6 3 2 2" xfId="18367" xr:uid="{00000000-0005-0000-0000-0000B65D0000}"/>
    <cellStyle name="Normal 59 6 3 2 2 2" xfId="34941" xr:uid="{00000000-0005-0000-0000-0000B75D0000}"/>
    <cellStyle name="Normal 59 6 3 2 3" xfId="26894" xr:uid="{00000000-0005-0000-0000-0000B85D0000}"/>
    <cellStyle name="Normal 59 6 3 3" xfId="14568" xr:uid="{00000000-0005-0000-0000-0000B95D0000}"/>
    <cellStyle name="Normal 59 6 3 3 2" xfId="31114" xr:uid="{00000000-0005-0000-0000-0000BA5D0000}"/>
    <cellStyle name="Normal 59 6 3 4" xfId="23071" xr:uid="{00000000-0005-0000-0000-0000BB5D0000}"/>
    <cellStyle name="Normal 59 6 4" xfId="9011" xr:uid="{00000000-0005-0000-0000-0000BC5D0000}"/>
    <cellStyle name="Normal 59 6 4 2" xfId="18368" xr:uid="{00000000-0005-0000-0000-0000BD5D0000}"/>
    <cellStyle name="Normal 59 6 4 2 2" xfId="34942" xr:uid="{00000000-0005-0000-0000-0000BE5D0000}"/>
    <cellStyle name="Normal 59 6 4 3" xfId="26895" xr:uid="{00000000-0005-0000-0000-0000BF5D0000}"/>
    <cellStyle name="Normal 59 6 5" xfId="14565" xr:uid="{00000000-0005-0000-0000-0000C05D0000}"/>
    <cellStyle name="Normal 59 6 5 2" xfId="31111" xr:uid="{00000000-0005-0000-0000-0000C15D0000}"/>
    <cellStyle name="Normal 59 6 6" xfId="23068" xr:uid="{00000000-0005-0000-0000-0000C25D0000}"/>
    <cellStyle name="Normal 59 7" xfId="5055" xr:uid="{00000000-0005-0000-0000-0000C35D0000}"/>
    <cellStyle name="Normal 59 7 2" xfId="5056" xr:uid="{00000000-0005-0000-0000-0000C45D0000}"/>
    <cellStyle name="Normal 59 7 2 2" xfId="9012" xr:uid="{00000000-0005-0000-0000-0000C55D0000}"/>
    <cellStyle name="Normal 59 7 2 2 2" xfId="18369" xr:uid="{00000000-0005-0000-0000-0000C65D0000}"/>
    <cellStyle name="Normal 59 7 2 2 2 2" xfId="34943" xr:uid="{00000000-0005-0000-0000-0000C75D0000}"/>
    <cellStyle name="Normal 59 7 2 2 3" xfId="26896" xr:uid="{00000000-0005-0000-0000-0000C85D0000}"/>
    <cellStyle name="Normal 59 7 2 3" xfId="14570" xr:uid="{00000000-0005-0000-0000-0000C95D0000}"/>
    <cellStyle name="Normal 59 7 2 3 2" xfId="31116" xr:uid="{00000000-0005-0000-0000-0000CA5D0000}"/>
    <cellStyle name="Normal 59 7 2 4" xfId="23073" xr:uid="{00000000-0005-0000-0000-0000CB5D0000}"/>
    <cellStyle name="Normal 59 7 3" xfId="9013" xr:uid="{00000000-0005-0000-0000-0000CC5D0000}"/>
    <cellStyle name="Normal 59 7 3 2" xfId="18370" xr:uid="{00000000-0005-0000-0000-0000CD5D0000}"/>
    <cellStyle name="Normal 59 7 3 2 2" xfId="34944" xr:uid="{00000000-0005-0000-0000-0000CE5D0000}"/>
    <cellStyle name="Normal 59 7 3 3" xfId="26897" xr:uid="{00000000-0005-0000-0000-0000CF5D0000}"/>
    <cellStyle name="Normal 59 7 4" xfId="14569" xr:uid="{00000000-0005-0000-0000-0000D05D0000}"/>
    <cellStyle name="Normal 59 7 4 2" xfId="31115" xr:uid="{00000000-0005-0000-0000-0000D15D0000}"/>
    <cellStyle name="Normal 59 7 5" xfId="23072" xr:uid="{00000000-0005-0000-0000-0000D25D0000}"/>
    <cellStyle name="Normal 59 8" xfId="5057" xr:uid="{00000000-0005-0000-0000-0000D35D0000}"/>
    <cellStyle name="Normal 59 8 2" xfId="9014" xr:uid="{00000000-0005-0000-0000-0000D45D0000}"/>
    <cellStyle name="Normal 59 8 2 2" xfId="18371" xr:uid="{00000000-0005-0000-0000-0000D55D0000}"/>
    <cellStyle name="Normal 59 8 2 2 2" xfId="34945" xr:uid="{00000000-0005-0000-0000-0000D65D0000}"/>
    <cellStyle name="Normal 59 8 2 3" xfId="26898" xr:uid="{00000000-0005-0000-0000-0000D75D0000}"/>
    <cellStyle name="Normal 59 8 3" xfId="14571" xr:uid="{00000000-0005-0000-0000-0000D85D0000}"/>
    <cellStyle name="Normal 59 8 3 2" xfId="31117" xr:uid="{00000000-0005-0000-0000-0000D95D0000}"/>
    <cellStyle name="Normal 59 8 4" xfId="23074" xr:uid="{00000000-0005-0000-0000-0000DA5D0000}"/>
    <cellStyle name="Normal 59 9" xfId="9015" xr:uid="{00000000-0005-0000-0000-0000DB5D0000}"/>
    <cellStyle name="Normal 59 9 2" xfId="18372" xr:uid="{00000000-0005-0000-0000-0000DC5D0000}"/>
    <cellStyle name="Normal 59 9 2 2" xfId="34946" xr:uid="{00000000-0005-0000-0000-0000DD5D0000}"/>
    <cellStyle name="Normal 59 9 3" xfId="26899" xr:uid="{00000000-0005-0000-0000-0000DE5D0000}"/>
    <cellStyle name="Normal 6" xfId="281" xr:uid="{00000000-0005-0000-0000-0000DF5D0000}"/>
    <cellStyle name="Normal 6 10" xfId="9017" xr:uid="{00000000-0005-0000-0000-0000E05D0000}"/>
    <cellStyle name="Normal 6 10 2" xfId="18373" xr:uid="{00000000-0005-0000-0000-0000E15D0000}"/>
    <cellStyle name="Normal 6 10 2 2" xfId="34947" xr:uid="{00000000-0005-0000-0000-0000E25D0000}"/>
    <cellStyle name="Normal 6 10 3" xfId="26900" xr:uid="{00000000-0005-0000-0000-0000E35D0000}"/>
    <cellStyle name="Normal 6 11" xfId="9016" xr:uid="{00000000-0005-0000-0000-0000E45D0000}"/>
    <cellStyle name="Normal 6 12" xfId="14572" xr:uid="{00000000-0005-0000-0000-0000E55D0000}"/>
    <cellStyle name="Normal 6 12 2" xfId="31118" xr:uid="{00000000-0005-0000-0000-0000E65D0000}"/>
    <cellStyle name="Normal 6 13" xfId="23075" xr:uid="{00000000-0005-0000-0000-0000E75D0000}"/>
    <cellStyle name="Normal 6 2" xfId="282" xr:uid="{00000000-0005-0000-0000-0000E85D0000}"/>
    <cellStyle name="Normal 6 2 2" xfId="283" xr:uid="{00000000-0005-0000-0000-0000E95D0000}"/>
    <cellStyle name="Normal 6 2 2 2" xfId="14574" xr:uid="{00000000-0005-0000-0000-0000EA5D0000}"/>
    <cellStyle name="Normal 6 2 2 2 2" xfId="31120" xr:uid="{00000000-0005-0000-0000-0000EB5D0000}"/>
    <cellStyle name="Normal 6 2 2 3" xfId="23077" xr:uid="{00000000-0005-0000-0000-0000EC5D0000}"/>
    <cellStyle name="Normal 6 2 3" xfId="5058" xr:uid="{00000000-0005-0000-0000-0000ED5D0000}"/>
    <cellStyle name="Normal 6 2 4" xfId="14573" xr:uid="{00000000-0005-0000-0000-0000EE5D0000}"/>
    <cellStyle name="Normal 6 2 4 2" xfId="31119" xr:uid="{00000000-0005-0000-0000-0000EF5D0000}"/>
    <cellStyle name="Normal 6 2 5" xfId="23076" xr:uid="{00000000-0005-0000-0000-0000F05D0000}"/>
    <cellStyle name="Normal 6 3" xfId="284" xr:uid="{00000000-0005-0000-0000-0000F15D0000}"/>
    <cellStyle name="Normal 6 3 2" xfId="5060" xr:uid="{00000000-0005-0000-0000-0000F25D0000}"/>
    <cellStyle name="Normal 6 3 2 2" xfId="5061" xr:uid="{00000000-0005-0000-0000-0000F35D0000}"/>
    <cellStyle name="Normal 6 3 2 2 2" xfId="5062" xr:uid="{00000000-0005-0000-0000-0000F45D0000}"/>
    <cellStyle name="Normal 6 3 2 2 2 2" xfId="9018" xr:uid="{00000000-0005-0000-0000-0000F55D0000}"/>
    <cellStyle name="Normal 6 3 2 2 2 2 2" xfId="18374" xr:uid="{00000000-0005-0000-0000-0000F65D0000}"/>
    <cellStyle name="Normal 6 3 2 2 2 2 2 2" xfId="34948" xr:uid="{00000000-0005-0000-0000-0000F75D0000}"/>
    <cellStyle name="Normal 6 3 2 2 2 2 3" xfId="26901" xr:uid="{00000000-0005-0000-0000-0000F85D0000}"/>
    <cellStyle name="Normal 6 3 2 2 2 3" xfId="14577" xr:uid="{00000000-0005-0000-0000-0000F95D0000}"/>
    <cellStyle name="Normal 6 3 2 2 2 3 2" xfId="31123" xr:uid="{00000000-0005-0000-0000-0000FA5D0000}"/>
    <cellStyle name="Normal 6 3 2 2 2 4" xfId="23080" xr:uid="{00000000-0005-0000-0000-0000FB5D0000}"/>
    <cellStyle name="Normal 6 3 2 2 3" xfId="9019" xr:uid="{00000000-0005-0000-0000-0000FC5D0000}"/>
    <cellStyle name="Normal 6 3 2 2 3 2" xfId="18375" xr:uid="{00000000-0005-0000-0000-0000FD5D0000}"/>
    <cellStyle name="Normal 6 3 2 2 3 2 2" xfId="34949" xr:uid="{00000000-0005-0000-0000-0000FE5D0000}"/>
    <cellStyle name="Normal 6 3 2 2 3 3" xfId="26902" xr:uid="{00000000-0005-0000-0000-0000FF5D0000}"/>
    <cellStyle name="Normal 6 3 2 2 4" xfId="14576" xr:uid="{00000000-0005-0000-0000-0000005E0000}"/>
    <cellStyle name="Normal 6 3 2 2 4 2" xfId="31122" xr:uid="{00000000-0005-0000-0000-0000015E0000}"/>
    <cellStyle name="Normal 6 3 2 2 5" xfId="23079" xr:uid="{00000000-0005-0000-0000-0000025E0000}"/>
    <cellStyle name="Normal 6 3 2 3" xfId="5063" xr:uid="{00000000-0005-0000-0000-0000035E0000}"/>
    <cellStyle name="Normal 6 3 2 3 2" xfId="9020" xr:uid="{00000000-0005-0000-0000-0000045E0000}"/>
    <cellStyle name="Normal 6 3 2 3 2 2" xfId="18376" xr:uid="{00000000-0005-0000-0000-0000055E0000}"/>
    <cellStyle name="Normal 6 3 2 3 2 2 2" xfId="34950" xr:uid="{00000000-0005-0000-0000-0000065E0000}"/>
    <cellStyle name="Normal 6 3 2 3 2 3" xfId="26903" xr:uid="{00000000-0005-0000-0000-0000075E0000}"/>
    <cellStyle name="Normal 6 3 2 3 3" xfId="14578" xr:uid="{00000000-0005-0000-0000-0000085E0000}"/>
    <cellStyle name="Normal 6 3 2 3 3 2" xfId="31124" xr:uid="{00000000-0005-0000-0000-0000095E0000}"/>
    <cellStyle name="Normal 6 3 2 3 4" xfId="23081" xr:uid="{00000000-0005-0000-0000-00000A5E0000}"/>
    <cellStyle name="Normal 6 3 2 4" xfId="9021" xr:uid="{00000000-0005-0000-0000-00000B5E0000}"/>
    <cellStyle name="Normal 6 3 2 4 2" xfId="18377" xr:uid="{00000000-0005-0000-0000-00000C5E0000}"/>
    <cellStyle name="Normal 6 3 2 4 2 2" xfId="34951" xr:uid="{00000000-0005-0000-0000-00000D5E0000}"/>
    <cellStyle name="Normal 6 3 2 4 3" xfId="26904" xr:uid="{00000000-0005-0000-0000-00000E5E0000}"/>
    <cellStyle name="Normal 6 3 2 5" xfId="14575" xr:uid="{00000000-0005-0000-0000-00000F5E0000}"/>
    <cellStyle name="Normal 6 3 2 5 2" xfId="31121" xr:uid="{00000000-0005-0000-0000-0000105E0000}"/>
    <cellStyle name="Normal 6 3 2 6" xfId="23078" xr:uid="{00000000-0005-0000-0000-0000115E0000}"/>
    <cellStyle name="Normal 6 3 3" xfId="5064" xr:uid="{00000000-0005-0000-0000-0000125E0000}"/>
    <cellStyle name="Normal 6 3 3 2" xfId="5065" xr:uid="{00000000-0005-0000-0000-0000135E0000}"/>
    <cellStyle name="Normal 6 3 3 2 2" xfId="9022" xr:uid="{00000000-0005-0000-0000-0000145E0000}"/>
    <cellStyle name="Normal 6 3 3 2 2 2" xfId="18378" xr:uid="{00000000-0005-0000-0000-0000155E0000}"/>
    <cellStyle name="Normal 6 3 3 2 2 2 2" xfId="34952" xr:uid="{00000000-0005-0000-0000-0000165E0000}"/>
    <cellStyle name="Normal 6 3 3 2 2 3" xfId="26905" xr:uid="{00000000-0005-0000-0000-0000175E0000}"/>
    <cellStyle name="Normal 6 3 3 2 3" xfId="14580" xr:uid="{00000000-0005-0000-0000-0000185E0000}"/>
    <cellStyle name="Normal 6 3 3 2 3 2" xfId="31126" xr:uid="{00000000-0005-0000-0000-0000195E0000}"/>
    <cellStyle name="Normal 6 3 3 2 4" xfId="23083" xr:uid="{00000000-0005-0000-0000-00001A5E0000}"/>
    <cellStyle name="Normal 6 3 3 3" xfId="9023" xr:uid="{00000000-0005-0000-0000-00001B5E0000}"/>
    <cellStyle name="Normal 6 3 3 3 2" xfId="18379" xr:uid="{00000000-0005-0000-0000-00001C5E0000}"/>
    <cellStyle name="Normal 6 3 3 3 2 2" xfId="34953" xr:uid="{00000000-0005-0000-0000-00001D5E0000}"/>
    <cellStyle name="Normal 6 3 3 3 3" xfId="26906" xr:uid="{00000000-0005-0000-0000-00001E5E0000}"/>
    <cellStyle name="Normal 6 3 3 4" xfId="14579" xr:uid="{00000000-0005-0000-0000-00001F5E0000}"/>
    <cellStyle name="Normal 6 3 3 4 2" xfId="31125" xr:uid="{00000000-0005-0000-0000-0000205E0000}"/>
    <cellStyle name="Normal 6 3 3 5" xfId="23082" xr:uid="{00000000-0005-0000-0000-0000215E0000}"/>
    <cellStyle name="Normal 6 3 4" xfId="5066" xr:uid="{00000000-0005-0000-0000-0000225E0000}"/>
    <cellStyle name="Normal 6 3 4 2" xfId="9024" xr:uid="{00000000-0005-0000-0000-0000235E0000}"/>
    <cellStyle name="Normal 6 3 4 2 2" xfId="18380" xr:uid="{00000000-0005-0000-0000-0000245E0000}"/>
    <cellStyle name="Normal 6 3 4 2 2 2" xfId="34954" xr:uid="{00000000-0005-0000-0000-0000255E0000}"/>
    <cellStyle name="Normal 6 3 4 2 3" xfId="26907" xr:uid="{00000000-0005-0000-0000-0000265E0000}"/>
    <cellStyle name="Normal 6 3 4 3" xfId="14581" xr:uid="{00000000-0005-0000-0000-0000275E0000}"/>
    <cellStyle name="Normal 6 3 4 3 2" xfId="31127" xr:uid="{00000000-0005-0000-0000-0000285E0000}"/>
    <cellStyle name="Normal 6 3 4 4" xfId="23084" xr:uid="{00000000-0005-0000-0000-0000295E0000}"/>
    <cellStyle name="Normal 6 3 5" xfId="9025" xr:uid="{00000000-0005-0000-0000-00002A5E0000}"/>
    <cellStyle name="Normal 6 3 5 2" xfId="18381" xr:uid="{00000000-0005-0000-0000-00002B5E0000}"/>
    <cellStyle name="Normal 6 3 5 2 2" xfId="34955" xr:uid="{00000000-0005-0000-0000-00002C5E0000}"/>
    <cellStyle name="Normal 6 3 5 3" xfId="26908" xr:uid="{00000000-0005-0000-0000-00002D5E0000}"/>
    <cellStyle name="Normal 6 3 6" xfId="5059" xr:uid="{00000000-0005-0000-0000-00002E5E0000}"/>
    <cellStyle name="Normal 6 4" xfId="382" xr:uid="{00000000-0005-0000-0000-00002F5E0000}"/>
    <cellStyle name="Normal 6 4 2" xfId="5067" xr:uid="{00000000-0005-0000-0000-0000305E0000}"/>
    <cellStyle name="Normal 6 4 2 2" xfId="5068" xr:uid="{00000000-0005-0000-0000-0000315E0000}"/>
    <cellStyle name="Normal 6 4 2 2 2" xfId="5069" xr:uid="{00000000-0005-0000-0000-0000325E0000}"/>
    <cellStyle name="Normal 6 4 2 2 2 2" xfId="9026" xr:uid="{00000000-0005-0000-0000-0000335E0000}"/>
    <cellStyle name="Normal 6 4 2 2 2 2 2" xfId="18382" xr:uid="{00000000-0005-0000-0000-0000345E0000}"/>
    <cellStyle name="Normal 6 4 2 2 2 2 2 2" xfId="34956" xr:uid="{00000000-0005-0000-0000-0000355E0000}"/>
    <cellStyle name="Normal 6 4 2 2 2 2 3" xfId="26909" xr:uid="{00000000-0005-0000-0000-0000365E0000}"/>
    <cellStyle name="Normal 6 4 2 2 2 3" xfId="14585" xr:uid="{00000000-0005-0000-0000-0000375E0000}"/>
    <cellStyle name="Normal 6 4 2 2 2 3 2" xfId="31131" xr:uid="{00000000-0005-0000-0000-0000385E0000}"/>
    <cellStyle name="Normal 6 4 2 2 2 4" xfId="23088" xr:uid="{00000000-0005-0000-0000-0000395E0000}"/>
    <cellStyle name="Normal 6 4 2 2 3" xfId="9027" xr:uid="{00000000-0005-0000-0000-00003A5E0000}"/>
    <cellStyle name="Normal 6 4 2 2 3 2" xfId="18383" xr:uid="{00000000-0005-0000-0000-00003B5E0000}"/>
    <cellStyle name="Normal 6 4 2 2 3 2 2" xfId="34957" xr:uid="{00000000-0005-0000-0000-00003C5E0000}"/>
    <cellStyle name="Normal 6 4 2 2 3 3" xfId="26910" xr:uid="{00000000-0005-0000-0000-00003D5E0000}"/>
    <cellStyle name="Normal 6 4 2 2 4" xfId="14584" xr:uid="{00000000-0005-0000-0000-00003E5E0000}"/>
    <cellStyle name="Normal 6 4 2 2 4 2" xfId="31130" xr:uid="{00000000-0005-0000-0000-00003F5E0000}"/>
    <cellStyle name="Normal 6 4 2 2 5" xfId="23087" xr:uid="{00000000-0005-0000-0000-0000405E0000}"/>
    <cellStyle name="Normal 6 4 2 3" xfId="5070" xr:uid="{00000000-0005-0000-0000-0000415E0000}"/>
    <cellStyle name="Normal 6 4 2 3 2" xfId="9028" xr:uid="{00000000-0005-0000-0000-0000425E0000}"/>
    <cellStyle name="Normal 6 4 2 3 2 2" xfId="18384" xr:uid="{00000000-0005-0000-0000-0000435E0000}"/>
    <cellStyle name="Normal 6 4 2 3 2 2 2" xfId="34958" xr:uid="{00000000-0005-0000-0000-0000445E0000}"/>
    <cellStyle name="Normal 6 4 2 3 2 3" xfId="26911" xr:uid="{00000000-0005-0000-0000-0000455E0000}"/>
    <cellStyle name="Normal 6 4 2 3 3" xfId="14586" xr:uid="{00000000-0005-0000-0000-0000465E0000}"/>
    <cellStyle name="Normal 6 4 2 3 3 2" xfId="31132" xr:uid="{00000000-0005-0000-0000-0000475E0000}"/>
    <cellStyle name="Normal 6 4 2 3 4" xfId="23089" xr:uid="{00000000-0005-0000-0000-0000485E0000}"/>
    <cellStyle name="Normal 6 4 2 4" xfId="9029" xr:uid="{00000000-0005-0000-0000-0000495E0000}"/>
    <cellStyle name="Normal 6 4 2 4 2" xfId="18385" xr:uid="{00000000-0005-0000-0000-00004A5E0000}"/>
    <cellStyle name="Normal 6 4 2 4 2 2" xfId="34959" xr:uid="{00000000-0005-0000-0000-00004B5E0000}"/>
    <cellStyle name="Normal 6 4 2 4 3" xfId="26912" xr:uid="{00000000-0005-0000-0000-00004C5E0000}"/>
    <cellStyle name="Normal 6 4 2 5" xfId="14583" xr:uid="{00000000-0005-0000-0000-00004D5E0000}"/>
    <cellStyle name="Normal 6 4 2 5 2" xfId="31129" xr:uid="{00000000-0005-0000-0000-00004E5E0000}"/>
    <cellStyle name="Normal 6 4 2 6" xfId="23086" xr:uid="{00000000-0005-0000-0000-00004F5E0000}"/>
    <cellStyle name="Normal 6 4 3" xfId="5071" xr:uid="{00000000-0005-0000-0000-0000505E0000}"/>
    <cellStyle name="Normal 6 4 3 2" xfId="5072" xr:uid="{00000000-0005-0000-0000-0000515E0000}"/>
    <cellStyle name="Normal 6 4 3 2 2" xfId="9030" xr:uid="{00000000-0005-0000-0000-0000525E0000}"/>
    <cellStyle name="Normal 6 4 3 2 2 2" xfId="18386" xr:uid="{00000000-0005-0000-0000-0000535E0000}"/>
    <cellStyle name="Normal 6 4 3 2 2 2 2" xfId="34960" xr:uid="{00000000-0005-0000-0000-0000545E0000}"/>
    <cellStyle name="Normal 6 4 3 2 2 3" xfId="26913" xr:uid="{00000000-0005-0000-0000-0000555E0000}"/>
    <cellStyle name="Normal 6 4 3 2 3" xfId="14588" xr:uid="{00000000-0005-0000-0000-0000565E0000}"/>
    <cellStyle name="Normal 6 4 3 2 3 2" xfId="31134" xr:uid="{00000000-0005-0000-0000-0000575E0000}"/>
    <cellStyle name="Normal 6 4 3 2 4" xfId="23091" xr:uid="{00000000-0005-0000-0000-0000585E0000}"/>
    <cellStyle name="Normal 6 4 3 3" xfId="9031" xr:uid="{00000000-0005-0000-0000-0000595E0000}"/>
    <cellStyle name="Normal 6 4 3 3 2" xfId="18387" xr:uid="{00000000-0005-0000-0000-00005A5E0000}"/>
    <cellStyle name="Normal 6 4 3 3 2 2" xfId="34961" xr:uid="{00000000-0005-0000-0000-00005B5E0000}"/>
    <cellStyle name="Normal 6 4 3 3 3" xfId="26914" xr:uid="{00000000-0005-0000-0000-00005C5E0000}"/>
    <cellStyle name="Normal 6 4 3 4" xfId="14587" xr:uid="{00000000-0005-0000-0000-00005D5E0000}"/>
    <cellStyle name="Normal 6 4 3 4 2" xfId="31133" xr:uid="{00000000-0005-0000-0000-00005E5E0000}"/>
    <cellStyle name="Normal 6 4 3 5" xfId="23090" xr:uid="{00000000-0005-0000-0000-00005F5E0000}"/>
    <cellStyle name="Normal 6 4 4" xfId="5073" xr:uid="{00000000-0005-0000-0000-0000605E0000}"/>
    <cellStyle name="Normal 6 4 4 2" xfId="9032" xr:uid="{00000000-0005-0000-0000-0000615E0000}"/>
    <cellStyle name="Normal 6 4 4 2 2" xfId="18388" xr:uid="{00000000-0005-0000-0000-0000625E0000}"/>
    <cellStyle name="Normal 6 4 4 2 2 2" xfId="34962" xr:uid="{00000000-0005-0000-0000-0000635E0000}"/>
    <cellStyle name="Normal 6 4 4 2 3" xfId="26915" xr:uid="{00000000-0005-0000-0000-0000645E0000}"/>
    <cellStyle name="Normal 6 4 4 3" xfId="14589" xr:uid="{00000000-0005-0000-0000-0000655E0000}"/>
    <cellStyle name="Normal 6 4 4 3 2" xfId="31135" xr:uid="{00000000-0005-0000-0000-0000665E0000}"/>
    <cellStyle name="Normal 6 4 4 4" xfId="23092" xr:uid="{00000000-0005-0000-0000-0000675E0000}"/>
    <cellStyle name="Normal 6 4 5" xfId="9033" xr:uid="{00000000-0005-0000-0000-0000685E0000}"/>
    <cellStyle name="Normal 6 4 5 2" xfId="18389" xr:uid="{00000000-0005-0000-0000-0000695E0000}"/>
    <cellStyle name="Normal 6 4 5 2 2" xfId="34963" xr:uid="{00000000-0005-0000-0000-00006A5E0000}"/>
    <cellStyle name="Normal 6 4 5 3" xfId="26916" xr:uid="{00000000-0005-0000-0000-00006B5E0000}"/>
    <cellStyle name="Normal 6 4 6" xfId="14582" xr:uid="{00000000-0005-0000-0000-00006C5E0000}"/>
    <cellStyle name="Normal 6 4 6 2" xfId="31128" xr:uid="{00000000-0005-0000-0000-00006D5E0000}"/>
    <cellStyle name="Normal 6 4 7" xfId="23085" xr:uid="{00000000-0005-0000-0000-00006E5E0000}"/>
    <cellStyle name="Normal 6 5" xfId="1720" xr:uid="{00000000-0005-0000-0000-00006F5E0000}"/>
    <cellStyle name="Normal 6 5 2" xfId="5075" xr:uid="{00000000-0005-0000-0000-0000705E0000}"/>
    <cellStyle name="Normal 6 5 2 2" xfId="5076" xr:uid="{00000000-0005-0000-0000-0000715E0000}"/>
    <cellStyle name="Normal 6 5 2 2 2" xfId="5077" xr:uid="{00000000-0005-0000-0000-0000725E0000}"/>
    <cellStyle name="Normal 6 5 2 2 2 2" xfId="9034" xr:uid="{00000000-0005-0000-0000-0000735E0000}"/>
    <cellStyle name="Normal 6 5 2 2 2 2 2" xfId="18390" xr:uid="{00000000-0005-0000-0000-0000745E0000}"/>
    <cellStyle name="Normal 6 5 2 2 2 2 2 2" xfId="34964" xr:uid="{00000000-0005-0000-0000-0000755E0000}"/>
    <cellStyle name="Normal 6 5 2 2 2 2 3" xfId="26917" xr:uid="{00000000-0005-0000-0000-0000765E0000}"/>
    <cellStyle name="Normal 6 5 2 2 2 3" xfId="14592" xr:uid="{00000000-0005-0000-0000-0000775E0000}"/>
    <cellStyle name="Normal 6 5 2 2 2 3 2" xfId="31139" xr:uid="{00000000-0005-0000-0000-0000785E0000}"/>
    <cellStyle name="Normal 6 5 2 2 2 4" xfId="23096" xr:uid="{00000000-0005-0000-0000-0000795E0000}"/>
    <cellStyle name="Normal 6 5 2 2 3" xfId="9035" xr:uid="{00000000-0005-0000-0000-00007A5E0000}"/>
    <cellStyle name="Normal 6 5 2 2 3 2" xfId="18391" xr:uid="{00000000-0005-0000-0000-00007B5E0000}"/>
    <cellStyle name="Normal 6 5 2 2 3 2 2" xfId="34965" xr:uid="{00000000-0005-0000-0000-00007C5E0000}"/>
    <cellStyle name="Normal 6 5 2 2 3 3" xfId="26918" xr:uid="{00000000-0005-0000-0000-00007D5E0000}"/>
    <cellStyle name="Normal 6 5 2 2 4" xfId="14591" xr:uid="{00000000-0005-0000-0000-00007E5E0000}"/>
    <cellStyle name="Normal 6 5 2 2 4 2" xfId="31138" xr:uid="{00000000-0005-0000-0000-00007F5E0000}"/>
    <cellStyle name="Normal 6 5 2 2 5" xfId="23095" xr:uid="{00000000-0005-0000-0000-0000805E0000}"/>
    <cellStyle name="Normal 6 5 2 3" xfId="5078" xr:uid="{00000000-0005-0000-0000-0000815E0000}"/>
    <cellStyle name="Normal 6 5 2 3 2" xfId="9036" xr:uid="{00000000-0005-0000-0000-0000825E0000}"/>
    <cellStyle name="Normal 6 5 2 3 2 2" xfId="18392" xr:uid="{00000000-0005-0000-0000-0000835E0000}"/>
    <cellStyle name="Normal 6 5 2 3 2 2 2" xfId="34966" xr:uid="{00000000-0005-0000-0000-0000845E0000}"/>
    <cellStyle name="Normal 6 5 2 3 2 3" xfId="26919" xr:uid="{00000000-0005-0000-0000-0000855E0000}"/>
    <cellStyle name="Normal 6 5 2 3 3" xfId="14593" xr:uid="{00000000-0005-0000-0000-0000865E0000}"/>
    <cellStyle name="Normal 6 5 2 3 3 2" xfId="31140" xr:uid="{00000000-0005-0000-0000-0000875E0000}"/>
    <cellStyle name="Normal 6 5 2 3 4" xfId="23097" xr:uid="{00000000-0005-0000-0000-0000885E0000}"/>
    <cellStyle name="Normal 6 5 2 4" xfId="9037" xr:uid="{00000000-0005-0000-0000-0000895E0000}"/>
    <cellStyle name="Normal 6 5 2 4 2" xfId="18393" xr:uid="{00000000-0005-0000-0000-00008A5E0000}"/>
    <cellStyle name="Normal 6 5 2 4 2 2" xfId="34967" xr:uid="{00000000-0005-0000-0000-00008B5E0000}"/>
    <cellStyle name="Normal 6 5 2 4 3" xfId="26920" xr:uid="{00000000-0005-0000-0000-00008C5E0000}"/>
    <cellStyle name="Normal 6 5 2 5" xfId="14590" xr:uid="{00000000-0005-0000-0000-00008D5E0000}"/>
    <cellStyle name="Normal 6 5 2 5 2" xfId="31137" xr:uid="{00000000-0005-0000-0000-00008E5E0000}"/>
    <cellStyle name="Normal 6 5 2 6" xfId="23094" xr:uid="{00000000-0005-0000-0000-00008F5E0000}"/>
    <cellStyle name="Normal 6 5 3" xfId="5079" xr:uid="{00000000-0005-0000-0000-0000905E0000}"/>
    <cellStyle name="Normal 6 5 3 2" xfId="5080" xr:uid="{00000000-0005-0000-0000-0000915E0000}"/>
    <cellStyle name="Normal 6 5 3 2 2" xfId="9038" xr:uid="{00000000-0005-0000-0000-0000925E0000}"/>
    <cellStyle name="Normal 6 5 3 2 2 2" xfId="18394" xr:uid="{00000000-0005-0000-0000-0000935E0000}"/>
    <cellStyle name="Normal 6 5 3 2 2 2 2" xfId="34968" xr:uid="{00000000-0005-0000-0000-0000945E0000}"/>
    <cellStyle name="Normal 6 5 3 2 2 3" xfId="26921" xr:uid="{00000000-0005-0000-0000-0000955E0000}"/>
    <cellStyle name="Normal 6 5 3 2 3" xfId="14595" xr:uid="{00000000-0005-0000-0000-0000965E0000}"/>
    <cellStyle name="Normal 6 5 3 2 3 2" xfId="31142" xr:uid="{00000000-0005-0000-0000-0000975E0000}"/>
    <cellStyle name="Normal 6 5 3 2 4" xfId="23099" xr:uid="{00000000-0005-0000-0000-0000985E0000}"/>
    <cellStyle name="Normal 6 5 3 3" xfId="9039" xr:uid="{00000000-0005-0000-0000-0000995E0000}"/>
    <cellStyle name="Normal 6 5 3 3 2" xfId="18395" xr:uid="{00000000-0005-0000-0000-00009A5E0000}"/>
    <cellStyle name="Normal 6 5 3 3 2 2" xfId="34969" xr:uid="{00000000-0005-0000-0000-00009B5E0000}"/>
    <cellStyle name="Normal 6 5 3 3 3" xfId="26922" xr:uid="{00000000-0005-0000-0000-00009C5E0000}"/>
    <cellStyle name="Normal 6 5 3 4" xfId="14594" xr:uid="{00000000-0005-0000-0000-00009D5E0000}"/>
    <cellStyle name="Normal 6 5 3 4 2" xfId="31141" xr:uid="{00000000-0005-0000-0000-00009E5E0000}"/>
    <cellStyle name="Normal 6 5 3 5" xfId="23098" xr:uid="{00000000-0005-0000-0000-00009F5E0000}"/>
    <cellStyle name="Normal 6 5 4" xfId="5081" xr:uid="{00000000-0005-0000-0000-0000A05E0000}"/>
    <cellStyle name="Normal 6 5 4 2" xfId="9040" xr:uid="{00000000-0005-0000-0000-0000A15E0000}"/>
    <cellStyle name="Normal 6 5 4 2 2" xfId="18396" xr:uid="{00000000-0005-0000-0000-0000A25E0000}"/>
    <cellStyle name="Normal 6 5 4 2 2 2" xfId="34970" xr:uid="{00000000-0005-0000-0000-0000A35E0000}"/>
    <cellStyle name="Normal 6 5 4 2 3" xfId="26923" xr:uid="{00000000-0005-0000-0000-0000A45E0000}"/>
    <cellStyle name="Normal 6 5 4 3" xfId="14596" xr:uid="{00000000-0005-0000-0000-0000A55E0000}"/>
    <cellStyle name="Normal 6 5 4 3 2" xfId="31143" xr:uid="{00000000-0005-0000-0000-0000A65E0000}"/>
    <cellStyle name="Normal 6 5 4 4" xfId="23100" xr:uid="{00000000-0005-0000-0000-0000A75E0000}"/>
    <cellStyle name="Normal 6 5 5" xfId="9041" xr:uid="{00000000-0005-0000-0000-0000A85E0000}"/>
    <cellStyle name="Normal 6 5 5 2" xfId="18397" xr:uid="{00000000-0005-0000-0000-0000A95E0000}"/>
    <cellStyle name="Normal 6 5 5 2 2" xfId="34971" xr:uid="{00000000-0005-0000-0000-0000AA5E0000}"/>
    <cellStyle name="Normal 6 5 5 3" xfId="26924" xr:uid="{00000000-0005-0000-0000-0000AB5E0000}"/>
    <cellStyle name="Normal 6 5 6" xfId="5074" xr:uid="{00000000-0005-0000-0000-0000AC5E0000}"/>
    <cellStyle name="Normal 6 5 6 2" xfId="31136" xr:uid="{00000000-0005-0000-0000-0000AD5E0000}"/>
    <cellStyle name="Normal 6 5 7" xfId="23093" xr:uid="{00000000-0005-0000-0000-0000AE5E0000}"/>
    <cellStyle name="Normal 6 6" xfId="1677" xr:uid="{00000000-0005-0000-0000-0000AF5E0000}"/>
    <cellStyle name="Normal 6 6 2" xfId="5083" xr:uid="{00000000-0005-0000-0000-0000B05E0000}"/>
    <cellStyle name="Normal 6 6 2 2" xfId="5084" xr:uid="{00000000-0005-0000-0000-0000B15E0000}"/>
    <cellStyle name="Normal 6 6 2 2 2" xfId="9042" xr:uid="{00000000-0005-0000-0000-0000B25E0000}"/>
    <cellStyle name="Normal 6 6 2 2 2 2" xfId="18398" xr:uid="{00000000-0005-0000-0000-0000B35E0000}"/>
    <cellStyle name="Normal 6 6 2 2 2 2 2" xfId="34972" xr:uid="{00000000-0005-0000-0000-0000B45E0000}"/>
    <cellStyle name="Normal 6 6 2 2 2 3" xfId="26925" xr:uid="{00000000-0005-0000-0000-0000B55E0000}"/>
    <cellStyle name="Normal 6 6 2 2 3" xfId="14598" xr:uid="{00000000-0005-0000-0000-0000B65E0000}"/>
    <cellStyle name="Normal 6 6 2 2 3 2" xfId="31146" xr:uid="{00000000-0005-0000-0000-0000B75E0000}"/>
    <cellStyle name="Normal 6 6 2 2 4" xfId="23103" xr:uid="{00000000-0005-0000-0000-0000B85E0000}"/>
    <cellStyle name="Normal 6 6 2 3" xfId="9043" xr:uid="{00000000-0005-0000-0000-0000B95E0000}"/>
    <cellStyle name="Normal 6 6 2 3 2" xfId="18399" xr:uid="{00000000-0005-0000-0000-0000BA5E0000}"/>
    <cellStyle name="Normal 6 6 2 3 2 2" xfId="34973" xr:uid="{00000000-0005-0000-0000-0000BB5E0000}"/>
    <cellStyle name="Normal 6 6 2 3 3" xfId="26926" xr:uid="{00000000-0005-0000-0000-0000BC5E0000}"/>
    <cellStyle name="Normal 6 6 2 4" xfId="14597" xr:uid="{00000000-0005-0000-0000-0000BD5E0000}"/>
    <cellStyle name="Normal 6 6 2 4 2" xfId="31145" xr:uid="{00000000-0005-0000-0000-0000BE5E0000}"/>
    <cellStyle name="Normal 6 6 2 5" xfId="23102" xr:uid="{00000000-0005-0000-0000-0000BF5E0000}"/>
    <cellStyle name="Normal 6 6 3" xfId="5085" xr:uid="{00000000-0005-0000-0000-0000C05E0000}"/>
    <cellStyle name="Normal 6 6 3 2" xfId="9044" xr:uid="{00000000-0005-0000-0000-0000C15E0000}"/>
    <cellStyle name="Normal 6 6 3 2 2" xfId="18400" xr:uid="{00000000-0005-0000-0000-0000C25E0000}"/>
    <cellStyle name="Normal 6 6 3 2 2 2" xfId="34974" xr:uid="{00000000-0005-0000-0000-0000C35E0000}"/>
    <cellStyle name="Normal 6 6 3 2 3" xfId="26927" xr:uid="{00000000-0005-0000-0000-0000C45E0000}"/>
    <cellStyle name="Normal 6 6 3 3" xfId="14599" xr:uid="{00000000-0005-0000-0000-0000C55E0000}"/>
    <cellStyle name="Normal 6 6 3 3 2" xfId="31147" xr:uid="{00000000-0005-0000-0000-0000C65E0000}"/>
    <cellStyle name="Normal 6 6 3 4" xfId="23104" xr:uid="{00000000-0005-0000-0000-0000C75E0000}"/>
    <cellStyle name="Normal 6 6 4" xfId="9045" xr:uid="{00000000-0005-0000-0000-0000C85E0000}"/>
    <cellStyle name="Normal 6 6 4 2" xfId="18401" xr:uid="{00000000-0005-0000-0000-0000C95E0000}"/>
    <cellStyle name="Normal 6 6 4 2 2" xfId="34975" xr:uid="{00000000-0005-0000-0000-0000CA5E0000}"/>
    <cellStyle name="Normal 6 6 4 3" xfId="26928" xr:uid="{00000000-0005-0000-0000-0000CB5E0000}"/>
    <cellStyle name="Normal 6 6 5" xfId="5082" xr:uid="{00000000-0005-0000-0000-0000CC5E0000}"/>
    <cellStyle name="Normal 6 6 5 2" xfId="31144" xr:uid="{00000000-0005-0000-0000-0000CD5E0000}"/>
    <cellStyle name="Normal 6 6 6" xfId="23101" xr:uid="{00000000-0005-0000-0000-0000CE5E0000}"/>
    <cellStyle name="Normal 6 7" xfId="5086" xr:uid="{00000000-0005-0000-0000-0000CF5E0000}"/>
    <cellStyle name="Normal 6 7 2" xfId="5087" xr:uid="{00000000-0005-0000-0000-0000D05E0000}"/>
    <cellStyle name="Normal 6 7 2 2" xfId="9046" xr:uid="{00000000-0005-0000-0000-0000D15E0000}"/>
    <cellStyle name="Normal 6 7 2 2 2" xfId="18402" xr:uid="{00000000-0005-0000-0000-0000D25E0000}"/>
    <cellStyle name="Normal 6 7 2 2 2 2" xfId="34976" xr:uid="{00000000-0005-0000-0000-0000D35E0000}"/>
    <cellStyle name="Normal 6 7 2 2 3" xfId="26929" xr:uid="{00000000-0005-0000-0000-0000D45E0000}"/>
    <cellStyle name="Normal 6 7 2 3" xfId="14601" xr:uid="{00000000-0005-0000-0000-0000D55E0000}"/>
    <cellStyle name="Normal 6 7 2 3 2" xfId="31149" xr:uid="{00000000-0005-0000-0000-0000D65E0000}"/>
    <cellStyle name="Normal 6 7 2 4" xfId="23106" xr:uid="{00000000-0005-0000-0000-0000D75E0000}"/>
    <cellStyle name="Normal 6 7 3" xfId="9047" xr:uid="{00000000-0005-0000-0000-0000D85E0000}"/>
    <cellStyle name="Normal 6 7 3 2" xfId="18403" xr:uid="{00000000-0005-0000-0000-0000D95E0000}"/>
    <cellStyle name="Normal 6 7 3 2 2" xfId="34977" xr:uid="{00000000-0005-0000-0000-0000DA5E0000}"/>
    <cellStyle name="Normal 6 7 3 3" xfId="26930" xr:uid="{00000000-0005-0000-0000-0000DB5E0000}"/>
    <cellStyle name="Normal 6 7 4" xfId="14600" xr:uid="{00000000-0005-0000-0000-0000DC5E0000}"/>
    <cellStyle name="Normal 6 7 4 2" xfId="31148" xr:uid="{00000000-0005-0000-0000-0000DD5E0000}"/>
    <cellStyle name="Normal 6 7 5" xfId="23105" xr:uid="{00000000-0005-0000-0000-0000DE5E0000}"/>
    <cellStyle name="Normal 6 8" xfId="5088" xr:uid="{00000000-0005-0000-0000-0000DF5E0000}"/>
    <cellStyle name="Normal 6 8 2" xfId="9048" xr:uid="{00000000-0005-0000-0000-0000E05E0000}"/>
    <cellStyle name="Normal 6 8 2 2" xfId="18404" xr:uid="{00000000-0005-0000-0000-0000E15E0000}"/>
    <cellStyle name="Normal 6 8 2 2 2" xfId="34978" xr:uid="{00000000-0005-0000-0000-0000E25E0000}"/>
    <cellStyle name="Normal 6 8 2 3" xfId="26931" xr:uid="{00000000-0005-0000-0000-0000E35E0000}"/>
    <cellStyle name="Normal 6 8 3" xfId="14602" xr:uid="{00000000-0005-0000-0000-0000E45E0000}"/>
    <cellStyle name="Normal 6 8 3 2" xfId="31150" xr:uid="{00000000-0005-0000-0000-0000E55E0000}"/>
    <cellStyle name="Normal 6 8 4" xfId="23107" xr:uid="{00000000-0005-0000-0000-0000E65E0000}"/>
    <cellStyle name="Normal 6 9" xfId="9049" xr:uid="{00000000-0005-0000-0000-0000E75E0000}"/>
    <cellStyle name="Normal 6 9 2" xfId="18405" xr:uid="{00000000-0005-0000-0000-0000E85E0000}"/>
    <cellStyle name="Normal 6 9 2 2" xfId="34979" xr:uid="{00000000-0005-0000-0000-0000E95E0000}"/>
    <cellStyle name="Normal 6 9 3" xfId="26932" xr:uid="{00000000-0005-0000-0000-0000EA5E0000}"/>
    <cellStyle name="Normal 60" xfId="5089" xr:uid="{00000000-0005-0000-0000-0000EB5E0000}"/>
    <cellStyle name="Normal 60 10" xfId="14603" xr:uid="{00000000-0005-0000-0000-0000EC5E0000}"/>
    <cellStyle name="Normal 60 10 2" xfId="31151" xr:uid="{00000000-0005-0000-0000-0000ED5E0000}"/>
    <cellStyle name="Normal 60 11" xfId="23108" xr:uid="{00000000-0005-0000-0000-0000EE5E0000}"/>
    <cellStyle name="Normal 60 2" xfId="5090" xr:uid="{00000000-0005-0000-0000-0000EF5E0000}"/>
    <cellStyle name="Normal 60 2 2" xfId="5091" xr:uid="{00000000-0005-0000-0000-0000F05E0000}"/>
    <cellStyle name="Normal 60 2 3" xfId="14604" xr:uid="{00000000-0005-0000-0000-0000F15E0000}"/>
    <cellStyle name="Normal 60 2 3 2" xfId="31152" xr:uid="{00000000-0005-0000-0000-0000F25E0000}"/>
    <cellStyle name="Normal 60 2 4" xfId="23109" xr:uid="{00000000-0005-0000-0000-0000F35E0000}"/>
    <cellStyle name="Normal 60 3" xfId="5092" xr:uid="{00000000-0005-0000-0000-0000F45E0000}"/>
    <cellStyle name="Normal 60 3 2" xfId="5093" xr:uid="{00000000-0005-0000-0000-0000F55E0000}"/>
    <cellStyle name="Normal 60 3 2 2" xfId="5094" xr:uid="{00000000-0005-0000-0000-0000F65E0000}"/>
    <cellStyle name="Normal 60 3 2 2 2" xfId="5095" xr:uid="{00000000-0005-0000-0000-0000F75E0000}"/>
    <cellStyle name="Normal 60 3 2 2 2 2" xfId="9050" xr:uid="{00000000-0005-0000-0000-0000F85E0000}"/>
    <cellStyle name="Normal 60 3 2 2 2 2 2" xfId="18406" xr:uid="{00000000-0005-0000-0000-0000F95E0000}"/>
    <cellStyle name="Normal 60 3 2 2 2 2 2 2" xfId="34980" xr:uid="{00000000-0005-0000-0000-0000FA5E0000}"/>
    <cellStyle name="Normal 60 3 2 2 2 2 3" xfId="26933" xr:uid="{00000000-0005-0000-0000-0000FB5E0000}"/>
    <cellStyle name="Normal 60 3 2 2 2 3" xfId="14607" xr:uid="{00000000-0005-0000-0000-0000FC5E0000}"/>
    <cellStyle name="Normal 60 3 2 2 2 3 2" xfId="31155" xr:uid="{00000000-0005-0000-0000-0000FD5E0000}"/>
    <cellStyle name="Normal 60 3 2 2 2 4" xfId="23112" xr:uid="{00000000-0005-0000-0000-0000FE5E0000}"/>
    <cellStyle name="Normal 60 3 2 2 3" xfId="9051" xr:uid="{00000000-0005-0000-0000-0000FF5E0000}"/>
    <cellStyle name="Normal 60 3 2 2 3 2" xfId="18407" xr:uid="{00000000-0005-0000-0000-0000005F0000}"/>
    <cellStyle name="Normal 60 3 2 2 3 2 2" xfId="34981" xr:uid="{00000000-0005-0000-0000-0000015F0000}"/>
    <cellStyle name="Normal 60 3 2 2 3 3" xfId="26934" xr:uid="{00000000-0005-0000-0000-0000025F0000}"/>
    <cellStyle name="Normal 60 3 2 2 4" xfId="14606" xr:uid="{00000000-0005-0000-0000-0000035F0000}"/>
    <cellStyle name="Normal 60 3 2 2 4 2" xfId="31154" xr:uid="{00000000-0005-0000-0000-0000045F0000}"/>
    <cellStyle name="Normal 60 3 2 2 5" xfId="23111" xr:uid="{00000000-0005-0000-0000-0000055F0000}"/>
    <cellStyle name="Normal 60 3 2 3" xfId="5096" xr:uid="{00000000-0005-0000-0000-0000065F0000}"/>
    <cellStyle name="Normal 60 3 2 3 2" xfId="9052" xr:uid="{00000000-0005-0000-0000-0000075F0000}"/>
    <cellStyle name="Normal 60 3 2 3 2 2" xfId="18408" xr:uid="{00000000-0005-0000-0000-0000085F0000}"/>
    <cellStyle name="Normal 60 3 2 3 2 2 2" xfId="34982" xr:uid="{00000000-0005-0000-0000-0000095F0000}"/>
    <cellStyle name="Normal 60 3 2 3 2 3" xfId="26935" xr:uid="{00000000-0005-0000-0000-00000A5F0000}"/>
    <cellStyle name="Normal 60 3 2 3 3" xfId="14608" xr:uid="{00000000-0005-0000-0000-00000B5F0000}"/>
    <cellStyle name="Normal 60 3 2 3 3 2" xfId="31156" xr:uid="{00000000-0005-0000-0000-00000C5F0000}"/>
    <cellStyle name="Normal 60 3 2 3 4" xfId="23113" xr:uid="{00000000-0005-0000-0000-00000D5F0000}"/>
    <cellStyle name="Normal 60 3 2 4" xfId="9053" xr:uid="{00000000-0005-0000-0000-00000E5F0000}"/>
    <cellStyle name="Normal 60 3 2 4 2" xfId="18409" xr:uid="{00000000-0005-0000-0000-00000F5F0000}"/>
    <cellStyle name="Normal 60 3 2 4 2 2" xfId="34983" xr:uid="{00000000-0005-0000-0000-0000105F0000}"/>
    <cellStyle name="Normal 60 3 2 4 3" xfId="26936" xr:uid="{00000000-0005-0000-0000-0000115F0000}"/>
    <cellStyle name="Normal 60 3 2 5" xfId="14605" xr:uid="{00000000-0005-0000-0000-0000125F0000}"/>
    <cellStyle name="Normal 60 3 2 5 2" xfId="31153" xr:uid="{00000000-0005-0000-0000-0000135F0000}"/>
    <cellStyle name="Normal 60 3 2 6" xfId="23110" xr:uid="{00000000-0005-0000-0000-0000145F0000}"/>
    <cellStyle name="Normal 60 3 3" xfId="5097" xr:uid="{00000000-0005-0000-0000-0000155F0000}"/>
    <cellStyle name="Normal 60 3 3 2" xfId="5098" xr:uid="{00000000-0005-0000-0000-0000165F0000}"/>
    <cellStyle name="Normal 60 3 3 2 2" xfId="9054" xr:uid="{00000000-0005-0000-0000-0000175F0000}"/>
    <cellStyle name="Normal 60 3 3 2 2 2" xfId="18410" xr:uid="{00000000-0005-0000-0000-0000185F0000}"/>
    <cellStyle name="Normal 60 3 3 2 2 2 2" xfId="34984" xr:uid="{00000000-0005-0000-0000-0000195F0000}"/>
    <cellStyle name="Normal 60 3 3 2 2 3" xfId="26937" xr:uid="{00000000-0005-0000-0000-00001A5F0000}"/>
    <cellStyle name="Normal 60 3 3 2 3" xfId="14610" xr:uid="{00000000-0005-0000-0000-00001B5F0000}"/>
    <cellStyle name="Normal 60 3 3 2 3 2" xfId="31158" xr:uid="{00000000-0005-0000-0000-00001C5F0000}"/>
    <cellStyle name="Normal 60 3 3 2 4" xfId="23115" xr:uid="{00000000-0005-0000-0000-00001D5F0000}"/>
    <cellStyle name="Normal 60 3 3 3" xfId="9055" xr:uid="{00000000-0005-0000-0000-00001E5F0000}"/>
    <cellStyle name="Normal 60 3 3 3 2" xfId="18411" xr:uid="{00000000-0005-0000-0000-00001F5F0000}"/>
    <cellStyle name="Normal 60 3 3 3 2 2" xfId="34985" xr:uid="{00000000-0005-0000-0000-0000205F0000}"/>
    <cellStyle name="Normal 60 3 3 3 3" xfId="26938" xr:uid="{00000000-0005-0000-0000-0000215F0000}"/>
    <cellStyle name="Normal 60 3 3 4" xfId="14609" xr:uid="{00000000-0005-0000-0000-0000225F0000}"/>
    <cellStyle name="Normal 60 3 3 4 2" xfId="31157" xr:uid="{00000000-0005-0000-0000-0000235F0000}"/>
    <cellStyle name="Normal 60 3 3 5" xfId="23114" xr:uid="{00000000-0005-0000-0000-0000245F0000}"/>
    <cellStyle name="Normal 60 3 4" xfId="5099" xr:uid="{00000000-0005-0000-0000-0000255F0000}"/>
    <cellStyle name="Normal 60 3 4 2" xfId="9056" xr:uid="{00000000-0005-0000-0000-0000265F0000}"/>
    <cellStyle name="Normal 60 3 4 2 2" xfId="18412" xr:uid="{00000000-0005-0000-0000-0000275F0000}"/>
    <cellStyle name="Normal 60 3 4 2 2 2" xfId="34986" xr:uid="{00000000-0005-0000-0000-0000285F0000}"/>
    <cellStyle name="Normal 60 3 4 2 3" xfId="26939" xr:uid="{00000000-0005-0000-0000-0000295F0000}"/>
    <cellStyle name="Normal 60 3 4 3" xfId="14611" xr:uid="{00000000-0005-0000-0000-00002A5F0000}"/>
    <cellStyle name="Normal 60 3 4 3 2" xfId="31159" xr:uid="{00000000-0005-0000-0000-00002B5F0000}"/>
    <cellStyle name="Normal 60 3 4 4" xfId="23116" xr:uid="{00000000-0005-0000-0000-00002C5F0000}"/>
    <cellStyle name="Normal 60 3 5" xfId="5100" xr:uid="{00000000-0005-0000-0000-00002D5F0000}"/>
    <cellStyle name="Normal 60 3 5 2" xfId="14612" xr:uid="{00000000-0005-0000-0000-00002E5F0000}"/>
    <cellStyle name="Normal 60 3 5 2 2" xfId="31160" xr:uid="{00000000-0005-0000-0000-00002F5F0000}"/>
    <cellStyle name="Normal 60 3 5 3" xfId="23117" xr:uid="{00000000-0005-0000-0000-0000305F0000}"/>
    <cellStyle name="Normal 60 4" xfId="5101" xr:uid="{00000000-0005-0000-0000-0000315F0000}"/>
    <cellStyle name="Normal 60 4 2" xfId="5102" xr:uid="{00000000-0005-0000-0000-0000325F0000}"/>
    <cellStyle name="Normal 60 4 2 2" xfId="5103" xr:uid="{00000000-0005-0000-0000-0000335F0000}"/>
    <cellStyle name="Normal 60 4 2 2 2" xfId="5104" xr:uid="{00000000-0005-0000-0000-0000345F0000}"/>
    <cellStyle name="Normal 60 4 2 2 2 2" xfId="9057" xr:uid="{00000000-0005-0000-0000-0000355F0000}"/>
    <cellStyle name="Normal 60 4 2 2 2 2 2" xfId="18413" xr:uid="{00000000-0005-0000-0000-0000365F0000}"/>
    <cellStyle name="Normal 60 4 2 2 2 2 2 2" xfId="34987" xr:uid="{00000000-0005-0000-0000-0000375F0000}"/>
    <cellStyle name="Normal 60 4 2 2 2 2 3" xfId="26940" xr:uid="{00000000-0005-0000-0000-0000385F0000}"/>
    <cellStyle name="Normal 60 4 2 2 2 3" xfId="14616" xr:uid="{00000000-0005-0000-0000-0000395F0000}"/>
    <cellStyle name="Normal 60 4 2 2 2 3 2" xfId="31164" xr:uid="{00000000-0005-0000-0000-00003A5F0000}"/>
    <cellStyle name="Normal 60 4 2 2 2 4" xfId="23121" xr:uid="{00000000-0005-0000-0000-00003B5F0000}"/>
    <cellStyle name="Normal 60 4 2 2 3" xfId="9058" xr:uid="{00000000-0005-0000-0000-00003C5F0000}"/>
    <cellStyle name="Normal 60 4 2 2 3 2" xfId="18414" xr:uid="{00000000-0005-0000-0000-00003D5F0000}"/>
    <cellStyle name="Normal 60 4 2 2 3 2 2" xfId="34988" xr:uid="{00000000-0005-0000-0000-00003E5F0000}"/>
    <cellStyle name="Normal 60 4 2 2 3 3" xfId="26941" xr:uid="{00000000-0005-0000-0000-00003F5F0000}"/>
    <cellStyle name="Normal 60 4 2 2 4" xfId="14615" xr:uid="{00000000-0005-0000-0000-0000405F0000}"/>
    <cellStyle name="Normal 60 4 2 2 4 2" xfId="31163" xr:uid="{00000000-0005-0000-0000-0000415F0000}"/>
    <cellStyle name="Normal 60 4 2 2 5" xfId="23120" xr:uid="{00000000-0005-0000-0000-0000425F0000}"/>
    <cellStyle name="Normal 60 4 2 3" xfId="5105" xr:uid="{00000000-0005-0000-0000-0000435F0000}"/>
    <cellStyle name="Normal 60 4 2 3 2" xfId="9059" xr:uid="{00000000-0005-0000-0000-0000445F0000}"/>
    <cellStyle name="Normal 60 4 2 3 2 2" xfId="18415" xr:uid="{00000000-0005-0000-0000-0000455F0000}"/>
    <cellStyle name="Normal 60 4 2 3 2 2 2" xfId="34989" xr:uid="{00000000-0005-0000-0000-0000465F0000}"/>
    <cellStyle name="Normal 60 4 2 3 2 3" xfId="26942" xr:uid="{00000000-0005-0000-0000-0000475F0000}"/>
    <cellStyle name="Normal 60 4 2 3 3" xfId="14617" xr:uid="{00000000-0005-0000-0000-0000485F0000}"/>
    <cellStyle name="Normal 60 4 2 3 3 2" xfId="31165" xr:uid="{00000000-0005-0000-0000-0000495F0000}"/>
    <cellStyle name="Normal 60 4 2 3 4" xfId="23122" xr:uid="{00000000-0005-0000-0000-00004A5F0000}"/>
    <cellStyle name="Normal 60 4 2 4" xfId="9060" xr:uid="{00000000-0005-0000-0000-00004B5F0000}"/>
    <cellStyle name="Normal 60 4 2 4 2" xfId="18416" xr:uid="{00000000-0005-0000-0000-00004C5F0000}"/>
    <cellStyle name="Normal 60 4 2 4 2 2" xfId="34990" xr:uid="{00000000-0005-0000-0000-00004D5F0000}"/>
    <cellStyle name="Normal 60 4 2 4 3" xfId="26943" xr:uid="{00000000-0005-0000-0000-00004E5F0000}"/>
    <cellStyle name="Normal 60 4 2 5" xfId="14614" xr:uid="{00000000-0005-0000-0000-00004F5F0000}"/>
    <cellStyle name="Normal 60 4 2 5 2" xfId="31162" xr:uid="{00000000-0005-0000-0000-0000505F0000}"/>
    <cellStyle name="Normal 60 4 2 6" xfId="23119" xr:uid="{00000000-0005-0000-0000-0000515F0000}"/>
    <cellStyle name="Normal 60 4 3" xfId="5106" xr:uid="{00000000-0005-0000-0000-0000525F0000}"/>
    <cellStyle name="Normal 60 4 3 2" xfId="5107" xr:uid="{00000000-0005-0000-0000-0000535F0000}"/>
    <cellStyle name="Normal 60 4 3 2 2" xfId="9061" xr:uid="{00000000-0005-0000-0000-0000545F0000}"/>
    <cellStyle name="Normal 60 4 3 2 2 2" xfId="18417" xr:uid="{00000000-0005-0000-0000-0000555F0000}"/>
    <cellStyle name="Normal 60 4 3 2 2 2 2" xfId="34991" xr:uid="{00000000-0005-0000-0000-0000565F0000}"/>
    <cellStyle name="Normal 60 4 3 2 2 3" xfId="26944" xr:uid="{00000000-0005-0000-0000-0000575F0000}"/>
    <cellStyle name="Normal 60 4 3 2 3" xfId="14619" xr:uid="{00000000-0005-0000-0000-0000585F0000}"/>
    <cellStyle name="Normal 60 4 3 2 3 2" xfId="31167" xr:uid="{00000000-0005-0000-0000-0000595F0000}"/>
    <cellStyle name="Normal 60 4 3 2 4" xfId="23124" xr:uid="{00000000-0005-0000-0000-00005A5F0000}"/>
    <cellStyle name="Normal 60 4 3 3" xfId="9062" xr:uid="{00000000-0005-0000-0000-00005B5F0000}"/>
    <cellStyle name="Normal 60 4 3 3 2" xfId="18418" xr:uid="{00000000-0005-0000-0000-00005C5F0000}"/>
    <cellStyle name="Normal 60 4 3 3 2 2" xfId="34992" xr:uid="{00000000-0005-0000-0000-00005D5F0000}"/>
    <cellStyle name="Normal 60 4 3 3 3" xfId="26945" xr:uid="{00000000-0005-0000-0000-00005E5F0000}"/>
    <cellStyle name="Normal 60 4 3 4" xfId="14618" xr:uid="{00000000-0005-0000-0000-00005F5F0000}"/>
    <cellStyle name="Normal 60 4 3 4 2" xfId="31166" xr:uid="{00000000-0005-0000-0000-0000605F0000}"/>
    <cellStyle name="Normal 60 4 3 5" xfId="23123" xr:uid="{00000000-0005-0000-0000-0000615F0000}"/>
    <cellStyle name="Normal 60 4 4" xfId="5108" xr:uid="{00000000-0005-0000-0000-0000625F0000}"/>
    <cellStyle name="Normal 60 4 4 2" xfId="9063" xr:uid="{00000000-0005-0000-0000-0000635F0000}"/>
    <cellStyle name="Normal 60 4 4 2 2" xfId="18419" xr:uid="{00000000-0005-0000-0000-0000645F0000}"/>
    <cellStyle name="Normal 60 4 4 2 2 2" xfId="34993" xr:uid="{00000000-0005-0000-0000-0000655F0000}"/>
    <cellStyle name="Normal 60 4 4 2 3" xfId="26946" xr:uid="{00000000-0005-0000-0000-0000665F0000}"/>
    <cellStyle name="Normal 60 4 4 3" xfId="14620" xr:uid="{00000000-0005-0000-0000-0000675F0000}"/>
    <cellStyle name="Normal 60 4 4 3 2" xfId="31168" xr:uid="{00000000-0005-0000-0000-0000685F0000}"/>
    <cellStyle name="Normal 60 4 4 4" xfId="23125" xr:uid="{00000000-0005-0000-0000-0000695F0000}"/>
    <cellStyle name="Normal 60 4 5" xfId="9064" xr:uid="{00000000-0005-0000-0000-00006A5F0000}"/>
    <cellStyle name="Normal 60 4 5 2" xfId="18420" xr:uid="{00000000-0005-0000-0000-00006B5F0000}"/>
    <cellStyle name="Normal 60 4 5 2 2" xfId="34994" xr:uid="{00000000-0005-0000-0000-00006C5F0000}"/>
    <cellStyle name="Normal 60 4 5 3" xfId="26947" xr:uid="{00000000-0005-0000-0000-00006D5F0000}"/>
    <cellStyle name="Normal 60 4 6" xfId="14613" xr:uid="{00000000-0005-0000-0000-00006E5F0000}"/>
    <cellStyle name="Normal 60 4 6 2" xfId="31161" xr:uid="{00000000-0005-0000-0000-00006F5F0000}"/>
    <cellStyle name="Normal 60 4 7" xfId="23118" xr:uid="{00000000-0005-0000-0000-0000705F0000}"/>
    <cellStyle name="Normal 60 5" xfId="5109" xr:uid="{00000000-0005-0000-0000-0000715F0000}"/>
    <cellStyle name="Normal 60 5 2" xfId="5110" xr:uid="{00000000-0005-0000-0000-0000725F0000}"/>
    <cellStyle name="Normal 60 5 2 2" xfId="5111" xr:uid="{00000000-0005-0000-0000-0000735F0000}"/>
    <cellStyle name="Normal 60 5 2 2 2" xfId="5112" xr:uid="{00000000-0005-0000-0000-0000745F0000}"/>
    <cellStyle name="Normal 60 5 2 2 2 2" xfId="9065" xr:uid="{00000000-0005-0000-0000-0000755F0000}"/>
    <cellStyle name="Normal 60 5 2 2 2 2 2" xfId="18421" xr:uid="{00000000-0005-0000-0000-0000765F0000}"/>
    <cellStyle name="Normal 60 5 2 2 2 2 2 2" xfId="34995" xr:uid="{00000000-0005-0000-0000-0000775F0000}"/>
    <cellStyle name="Normal 60 5 2 2 2 2 3" xfId="26948" xr:uid="{00000000-0005-0000-0000-0000785F0000}"/>
    <cellStyle name="Normal 60 5 2 2 2 3" xfId="14624" xr:uid="{00000000-0005-0000-0000-0000795F0000}"/>
    <cellStyle name="Normal 60 5 2 2 2 3 2" xfId="31172" xr:uid="{00000000-0005-0000-0000-00007A5F0000}"/>
    <cellStyle name="Normal 60 5 2 2 2 4" xfId="23129" xr:uid="{00000000-0005-0000-0000-00007B5F0000}"/>
    <cellStyle name="Normal 60 5 2 2 3" xfId="9066" xr:uid="{00000000-0005-0000-0000-00007C5F0000}"/>
    <cellStyle name="Normal 60 5 2 2 3 2" xfId="18422" xr:uid="{00000000-0005-0000-0000-00007D5F0000}"/>
    <cellStyle name="Normal 60 5 2 2 3 2 2" xfId="34996" xr:uid="{00000000-0005-0000-0000-00007E5F0000}"/>
    <cellStyle name="Normal 60 5 2 2 3 3" xfId="26949" xr:uid="{00000000-0005-0000-0000-00007F5F0000}"/>
    <cellStyle name="Normal 60 5 2 2 4" xfId="14623" xr:uid="{00000000-0005-0000-0000-0000805F0000}"/>
    <cellStyle name="Normal 60 5 2 2 4 2" xfId="31171" xr:uid="{00000000-0005-0000-0000-0000815F0000}"/>
    <cellStyle name="Normal 60 5 2 2 5" xfId="23128" xr:uid="{00000000-0005-0000-0000-0000825F0000}"/>
    <cellStyle name="Normal 60 5 2 3" xfId="5113" xr:uid="{00000000-0005-0000-0000-0000835F0000}"/>
    <cellStyle name="Normal 60 5 2 3 2" xfId="9067" xr:uid="{00000000-0005-0000-0000-0000845F0000}"/>
    <cellStyle name="Normal 60 5 2 3 2 2" xfId="18423" xr:uid="{00000000-0005-0000-0000-0000855F0000}"/>
    <cellStyle name="Normal 60 5 2 3 2 2 2" xfId="34997" xr:uid="{00000000-0005-0000-0000-0000865F0000}"/>
    <cellStyle name="Normal 60 5 2 3 2 3" xfId="26950" xr:uid="{00000000-0005-0000-0000-0000875F0000}"/>
    <cellStyle name="Normal 60 5 2 3 3" xfId="14625" xr:uid="{00000000-0005-0000-0000-0000885F0000}"/>
    <cellStyle name="Normal 60 5 2 3 3 2" xfId="31173" xr:uid="{00000000-0005-0000-0000-0000895F0000}"/>
    <cellStyle name="Normal 60 5 2 3 4" xfId="23130" xr:uid="{00000000-0005-0000-0000-00008A5F0000}"/>
    <cellStyle name="Normal 60 5 2 4" xfId="9068" xr:uid="{00000000-0005-0000-0000-00008B5F0000}"/>
    <cellStyle name="Normal 60 5 2 4 2" xfId="18424" xr:uid="{00000000-0005-0000-0000-00008C5F0000}"/>
    <cellStyle name="Normal 60 5 2 4 2 2" xfId="34998" xr:uid="{00000000-0005-0000-0000-00008D5F0000}"/>
    <cellStyle name="Normal 60 5 2 4 3" xfId="26951" xr:uid="{00000000-0005-0000-0000-00008E5F0000}"/>
    <cellStyle name="Normal 60 5 2 5" xfId="14622" xr:uid="{00000000-0005-0000-0000-00008F5F0000}"/>
    <cellStyle name="Normal 60 5 2 5 2" xfId="31170" xr:uid="{00000000-0005-0000-0000-0000905F0000}"/>
    <cellStyle name="Normal 60 5 2 6" xfId="23127" xr:uid="{00000000-0005-0000-0000-0000915F0000}"/>
    <cellStyle name="Normal 60 5 3" xfId="5114" xr:uid="{00000000-0005-0000-0000-0000925F0000}"/>
    <cellStyle name="Normal 60 5 3 2" xfId="5115" xr:uid="{00000000-0005-0000-0000-0000935F0000}"/>
    <cellStyle name="Normal 60 5 3 2 2" xfId="9069" xr:uid="{00000000-0005-0000-0000-0000945F0000}"/>
    <cellStyle name="Normal 60 5 3 2 2 2" xfId="18425" xr:uid="{00000000-0005-0000-0000-0000955F0000}"/>
    <cellStyle name="Normal 60 5 3 2 2 2 2" xfId="34999" xr:uid="{00000000-0005-0000-0000-0000965F0000}"/>
    <cellStyle name="Normal 60 5 3 2 2 3" xfId="26952" xr:uid="{00000000-0005-0000-0000-0000975F0000}"/>
    <cellStyle name="Normal 60 5 3 2 3" xfId="14627" xr:uid="{00000000-0005-0000-0000-0000985F0000}"/>
    <cellStyle name="Normal 60 5 3 2 3 2" xfId="31175" xr:uid="{00000000-0005-0000-0000-0000995F0000}"/>
    <cellStyle name="Normal 60 5 3 2 4" xfId="23132" xr:uid="{00000000-0005-0000-0000-00009A5F0000}"/>
    <cellStyle name="Normal 60 5 3 3" xfId="9070" xr:uid="{00000000-0005-0000-0000-00009B5F0000}"/>
    <cellStyle name="Normal 60 5 3 3 2" xfId="18426" xr:uid="{00000000-0005-0000-0000-00009C5F0000}"/>
    <cellStyle name="Normal 60 5 3 3 2 2" xfId="35000" xr:uid="{00000000-0005-0000-0000-00009D5F0000}"/>
    <cellStyle name="Normal 60 5 3 3 3" xfId="26953" xr:uid="{00000000-0005-0000-0000-00009E5F0000}"/>
    <cellStyle name="Normal 60 5 3 4" xfId="14626" xr:uid="{00000000-0005-0000-0000-00009F5F0000}"/>
    <cellStyle name="Normal 60 5 3 4 2" xfId="31174" xr:uid="{00000000-0005-0000-0000-0000A05F0000}"/>
    <cellStyle name="Normal 60 5 3 5" xfId="23131" xr:uid="{00000000-0005-0000-0000-0000A15F0000}"/>
    <cellStyle name="Normal 60 5 4" xfId="5116" xr:uid="{00000000-0005-0000-0000-0000A25F0000}"/>
    <cellStyle name="Normal 60 5 4 2" xfId="9071" xr:uid="{00000000-0005-0000-0000-0000A35F0000}"/>
    <cellStyle name="Normal 60 5 4 2 2" xfId="18427" xr:uid="{00000000-0005-0000-0000-0000A45F0000}"/>
    <cellStyle name="Normal 60 5 4 2 2 2" xfId="35001" xr:uid="{00000000-0005-0000-0000-0000A55F0000}"/>
    <cellStyle name="Normal 60 5 4 2 3" xfId="26954" xr:uid="{00000000-0005-0000-0000-0000A65F0000}"/>
    <cellStyle name="Normal 60 5 4 3" xfId="14628" xr:uid="{00000000-0005-0000-0000-0000A75F0000}"/>
    <cellStyle name="Normal 60 5 4 3 2" xfId="31176" xr:uid="{00000000-0005-0000-0000-0000A85F0000}"/>
    <cellStyle name="Normal 60 5 4 4" xfId="23133" xr:uid="{00000000-0005-0000-0000-0000A95F0000}"/>
    <cellStyle name="Normal 60 5 5" xfId="9072" xr:uid="{00000000-0005-0000-0000-0000AA5F0000}"/>
    <cellStyle name="Normal 60 5 5 2" xfId="18428" xr:uid="{00000000-0005-0000-0000-0000AB5F0000}"/>
    <cellStyle name="Normal 60 5 5 2 2" xfId="35002" xr:uid="{00000000-0005-0000-0000-0000AC5F0000}"/>
    <cellStyle name="Normal 60 5 5 3" xfId="26955" xr:uid="{00000000-0005-0000-0000-0000AD5F0000}"/>
    <cellStyle name="Normal 60 5 6" xfId="14621" xr:uid="{00000000-0005-0000-0000-0000AE5F0000}"/>
    <cellStyle name="Normal 60 5 6 2" xfId="31169" xr:uid="{00000000-0005-0000-0000-0000AF5F0000}"/>
    <cellStyle name="Normal 60 5 7" xfId="23126" xr:uid="{00000000-0005-0000-0000-0000B05F0000}"/>
    <cellStyle name="Normal 60 6" xfId="5117" xr:uid="{00000000-0005-0000-0000-0000B15F0000}"/>
    <cellStyle name="Normal 60 6 2" xfId="5118" xr:uid="{00000000-0005-0000-0000-0000B25F0000}"/>
    <cellStyle name="Normal 60 6 2 2" xfId="5119" xr:uid="{00000000-0005-0000-0000-0000B35F0000}"/>
    <cellStyle name="Normal 60 6 2 2 2" xfId="9073" xr:uid="{00000000-0005-0000-0000-0000B45F0000}"/>
    <cellStyle name="Normal 60 6 2 2 2 2" xfId="18429" xr:uid="{00000000-0005-0000-0000-0000B55F0000}"/>
    <cellStyle name="Normal 60 6 2 2 2 2 2" xfId="35003" xr:uid="{00000000-0005-0000-0000-0000B65F0000}"/>
    <cellStyle name="Normal 60 6 2 2 2 3" xfId="26956" xr:uid="{00000000-0005-0000-0000-0000B75F0000}"/>
    <cellStyle name="Normal 60 6 2 2 3" xfId="14631" xr:uid="{00000000-0005-0000-0000-0000B85F0000}"/>
    <cellStyle name="Normal 60 6 2 2 3 2" xfId="31179" xr:uid="{00000000-0005-0000-0000-0000B95F0000}"/>
    <cellStyle name="Normal 60 6 2 2 4" xfId="23136" xr:uid="{00000000-0005-0000-0000-0000BA5F0000}"/>
    <cellStyle name="Normal 60 6 2 3" xfId="9074" xr:uid="{00000000-0005-0000-0000-0000BB5F0000}"/>
    <cellStyle name="Normal 60 6 2 3 2" xfId="18430" xr:uid="{00000000-0005-0000-0000-0000BC5F0000}"/>
    <cellStyle name="Normal 60 6 2 3 2 2" xfId="35004" xr:uid="{00000000-0005-0000-0000-0000BD5F0000}"/>
    <cellStyle name="Normal 60 6 2 3 3" xfId="26957" xr:uid="{00000000-0005-0000-0000-0000BE5F0000}"/>
    <cellStyle name="Normal 60 6 2 4" xfId="14630" xr:uid="{00000000-0005-0000-0000-0000BF5F0000}"/>
    <cellStyle name="Normal 60 6 2 4 2" xfId="31178" xr:uid="{00000000-0005-0000-0000-0000C05F0000}"/>
    <cellStyle name="Normal 60 6 2 5" xfId="23135" xr:uid="{00000000-0005-0000-0000-0000C15F0000}"/>
    <cellStyle name="Normal 60 6 3" xfId="5120" xr:uid="{00000000-0005-0000-0000-0000C25F0000}"/>
    <cellStyle name="Normal 60 6 3 2" xfId="9075" xr:uid="{00000000-0005-0000-0000-0000C35F0000}"/>
    <cellStyle name="Normal 60 6 3 2 2" xfId="18431" xr:uid="{00000000-0005-0000-0000-0000C45F0000}"/>
    <cellStyle name="Normal 60 6 3 2 2 2" xfId="35005" xr:uid="{00000000-0005-0000-0000-0000C55F0000}"/>
    <cellStyle name="Normal 60 6 3 2 3" xfId="26958" xr:uid="{00000000-0005-0000-0000-0000C65F0000}"/>
    <cellStyle name="Normal 60 6 3 3" xfId="14632" xr:uid="{00000000-0005-0000-0000-0000C75F0000}"/>
    <cellStyle name="Normal 60 6 3 3 2" xfId="31180" xr:uid="{00000000-0005-0000-0000-0000C85F0000}"/>
    <cellStyle name="Normal 60 6 3 4" xfId="23137" xr:uid="{00000000-0005-0000-0000-0000C95F0000}"/>
    <cellStyle name="Normal 60 6 4" xfId="9076" xr:uid="{00000000-0005-0000-0000-0000CA5F0000}"/>
    <cellStyle name="Normal 60 6 4 2" xfId="18432" xr:uid="{00000000-0005-0000-0000-0000CB5F0000}"/>
    <cellStyle name="Normal 60 6 4 2 2" xfId="35006" xr:uid="{00000000-0005-0000-0000-0000CC5F0000}"/>
    <cellStyle name="Normal 60 6 4 3" xfId="26959" xr:uid="{00000000-0005-0000-0000-0000CD5F0000}"/>
    <cellStyle name="Normal 60 6 5" xfId="14629" xr:uid="{00000000-0005-0000-0000-0000CE5F0000}"/>
    <cellStyle name="Normal 60 6 5 2" xfId="31177" xr:uid="{00000000-0005-0000-0000-0000CF5F0000}"/>
    <cellStyle name="Normal 60 6 6" xfId="23134" xr:uid="{00000000-0005-0000-0000-0000D05F0000}"/>
    <cellStyle name="Normal 60 7" xfId="5121" xr:uid="{00000000-0005-0000-0000-0000D15F0000}"/>
    <cellStyle name="Normal 60 7 2" xfId="5122" xr:uid="{00000000-0005-0000-0000-0000D25F0000}"/>
    <cellStyle name="Normal 60 7 2 2" xfId="9077" xr:uid="{00000000-0005-0000-0000-0000D35F0000}"/>
    <cellStyle name="Normal 60 7 2 2 2" xfId="18433" xr:uid="{00000000-0005-0000-0000-0000D45F0000}"/>
    <cellStyle name="Normal 60 7 2 2 2 2" xfId="35007" xr:uid="{00000000-0005-0000-0000-0000D55F0000}"/>
    <cellStyle name="Normal 60 7 2 2 3" xfId="26960" xr:uid="{00000000-0005-0000-0000-0000D65F0000}"/>
    <cellStyle name="Normal 60 7 2 3" xfId="14634" xr:uid="{00000000-0005-0000-0000-0000D75F0000}"/>
    <cellStyle name="Normal 60 7 2 3 2" xfId="31182" xr:uid="{00000000-0005-0000-0000-0000D85F0000}"/>
    <cellStyle name="Normal 60 7 2 4" xfId="23139" xr:uid="{00000000-0005-0000-0000-0000D95F0000}"/>
    <cellStyle name="Normal 60 7 3" xfId="9078" xr:uid="{00000000-0005-0000-0000-0000DA5F0000}"/>
    <cellStyle name="Normal 60 7 3 2" xfId="18434" xr:uid="{00000000-0005-0000-0000-0000DB5F0000}"/>
    <cellStyle name="Normal 60 7 3 2 2" xfId="35008" xr:uid="{00000000-0005-0000-0000-0000DC5F0000}"/>
    <cellStyle name="Normal 60 7 3 3" xfId="26961" xr:uid="{00000000-0005-0000-0000-0000DD5F0000}"/>
    <cellStyle name="Normal 60 7 4" xfId="14633" xr:uid="{00000000-0005-0000-0000-0000DE5F0000}"/>
    <cellStyle name="Normal 60 7 4 2" xfId="31181" xr:uid="{00000000-0005-0000-0000-0000DF5F0000}"/>
    <cellStyle name="Normal 60 7 5" xfId="23138" xr:uid="{00000000-0005-0000-0000-0000E05F0000}"/>
    <cellStyle name="Normal 60 8" xfId="5123" xr:uid="{00000000-0005-0000-0000-0000E15F0000}"/>
    <cellStyle name="Normal 60 8 2" xfId="9079" xr:uid="{00000000-0005-0000-0000-0000E25F0000}"/>
    <cellStyle name="Normal 60 8 2 2" xfId="18435" xr:uid="{00000000-0005-0000-0000-0000E35F0000}"/>
    <cellStyle name="Normal 60 8 2 2 2" xfId="35009" xr:uid="{00000000-0005-0000-0000-0000E45F0000}"/>
    <cellStyle name="Normal 60 8 2 3" xfId="26962" xr:uid="{00000000-0005-0000-0000-0000E55F0000}"/>
    <cellStyle name="Normal 60 8 3" xfId="14635" xr:uid="{00000000-0005-0000-0000-0000E65F0000}"/>
    <cellStyle name="Normal 60 8 3 2" xfId="31183" xr:uid="{00000000-0005-0000-0000-0000E75F0000}"/>
    <cellStyle name="Normal 60 8 4" xfId="23140" xr:uid="{00000000-0005-0000-0000-0000E85F0000}"/>
    <cellStyle name="Normal 60 9" xfId="9080" xr:uid="{00000000-0005-0000-0000-0000E95F0000}"/>
    <cellStyle name="Normal 60 9 2" xfId="18436" xr:uid="{00000000-0005-0000-0000-0000EA5F0000}"/>
    <cellStyle name="Normal 60 9 2 2" xfId="35010" xr:uid="{00000000-0005-0000-0000-0000EB5F0000}"/>
    <cellStyle name="Normal 60 9 3" xfId="26963" xr:uid="{00000000-0005-0000-0000-0000EC5F0000}"/>
    <cellStyle name="Normal 61" xfId="5124" xr:uid="{00000000-0005-0000-0000-0000ED5F0000}"/>
    <cellStyle name="Normal 61 10" xfId="14636" xr:uid="{00000000-0005-0000-0000-0000EE5F0000}"/>
    <cellStyle name="Normal 61 10 2" xfId="31184" xr:uid="{00000000-0005-0000-0000-0000EF5F0000}"/>
    <cellStyle name="Normal 61 11" xfId="23141" xr:uid="{00000000-0005-0000-0000-0000F05F0000}"/>
    <cellStyle name="Normal 61 2" xfId="5125" xr:uid="{00000000-0005-0000-0000-0000F15F0000}"/>
    <cellStyle name="Normal 61 2 2" xfId="5126" xr:uid="{00000000-0005-0000-0000-0000F25F0000}"/>
    <cellStyle name="Normal 61 2 3" xfId="14637" xr:uid="{00000000-0005-0000-0000-0000F35F0000}"/>
    <cellStyle name="Normal 61 2 3 2" xfId="31185" xr:uid="{00000000-0005-0000-0000-0000F45F0000}"/>
    <cellStyle name="Normal 61 2 4" xfId="23142" xr:uid="{00000000-0005-0000-0000-0000F55F0000}"/>
    <cellStyle name="Normal 61 3" xfId="5127" xr:uid="{00000000-0005-0000-0000-0000F65F0000}"/>
    <cellStyle name="Normal 61 3 2" xfId="5128" xr:uid="{00000000-0005-0000-0000-0000F75F0000}"/>
    <cellStyle name="Normal 61 3 2 2" xfId="5129" xr:uid="{00000000-0005-0000-0000-0000F85F0000}"/>
    <cellStyle name="Normal 61 3 2 2 2" xfId="5130" xr:uid="{00000000-0005-0000-0000-0000F95F0000}"/>
    <cellStyle name="Normal 61 3 2 2 2 2" xfId="9081" xr:uid="{00000000-0005-0000-0000-0000FA5F0000}"/>
    <cellStyle name="Normal 61 3 2 2 2 2 2" xfId="18437" xr:uid="{00000000-0005-0000-0000-0000FB5F0000}"/>
    <cellStyle name="Normal 61 3 2 2 2 2 2 2" xfId="35011" xr:uid="{00000000-0005-0000-0000-0000FC5F0000}"/>
    <cellStyle name="Normal 61 3 2 2 2 2 3" xfId="26964" xr:uid="{00000000-0005-0000-0000-0000FD5F0000}"/>
    <cellStyle name="Normal 61 3 2 2 2 3" xfId="14640" xr:uid="{00000000-0005-0000-0000-0000FE5F0000}"/>
    <cellStyle name="Normal 61 3 2 2 2 3 2" xfId="31188" xr:uid="{00000000-0005-0000-0000-0000FF5F0000}"/>
    <cellStyle name="Normal 61 3 2 2 2 4" xfId="23145" xr:uid="{00000000-0005-0000-0000-000000600000}"/>
    <cellStyle name="Normal 61 3 2 2 3" xfId="9082" xr:uid="{00000000-0005-0000-0000-000001600000}"/>
    <cellStyle name="Normal 61 3 2 2 3 2" xfId="18438" xr:uid="{00000000-0005-0000-0000-000002600000}"/>
    <cellStyle name="Normal 61 3 2 2 3 2 2" xfId="35012" xr:uid="{00000000-0005-0000-0000-000003600000}"/>
    <cellStyle name="Normal 61 3 2 2 3 3" xfId="26965" xr:uid="{00000000-0005-0000-0000-000004600000}"/>
    <cellStyle name="Normal 61 3 2 2 4" xfId="14639" xr:uid="{00000000-0005-0000-0000-000005600000}"/>
    <cellStyle name="Normal 61 3 2 2 4 2" xfId="31187" xr:uid="{00000000-0005-0000-0000-000006600000}"/>
    <cellStyle name="Normal 61 3 2 2 5" xfId="23144" xr:uid="{00000000-0005-0000-0000-000007600000}"/>
    <cellStyle name="Normal 61 3 2 3" xfId="5131" xr:uid="{00000000-0005-0000-0000-000008600000}"/>
    <cellStyle name="Normal 61 3 2 3 2" xfId="9083" xr:uid="{00000000-0005-0000-0000-000009600000}"/>
    <cellStyle name="Normal 61 3 2 3 2 2" xfId="18439" xr:uid="{00000000-0005-0000-0000-00000A600000}"/>
    <cellStyle name="Normal 61 3 2 3 2 2 2" xfId="35013" xr:uid="{00000000-0005-0000-0000-00000B600000}"/>
    <cellStyle name="Normal 61 3 2 3 2 3" xfId="26966" xr:uid="{00000000-0005-0000-0000-00000C600000}"/>
    <cellStyle name="Normal 61 3 2 3 3" xfId="14641" xr:uid="{00000000-0005-0000-0000-00000D600000}"/>
    <cellStyle name="Normal 61 3 2 3 3 2" xfId="31189" xr:uid="{00000000-0005-0000-0000-00000E600000}"/>
    <cellStyle name="Normal 61 3 2 3 4" xfId="23146" xr:uid="{00000000-0005-0000-0000-00000F600000}"/>
    <cellStyle name="Normal 61 3 2 4" xfId="9084" xr:uid="{00000000-0005-0000-0000-000010600000}"/>
    <cellStyle name="Normal 61 3 2 4 2" xfId="18440" xr:uid="{00000000-0005-0000-0000-000011600000}"/>
    <cellStyle name="Normal 61 3 2 4 2 2" xfId="35014" xr:uid="{00000000-0005-0000-0000-000012600000}"/>
    <cellStyle name="Normal 61 3 2 4 3" xfId="26967" xr:uid="{00000000-0005-0000-0000-000013600000}"/>
    <cellStyle name="Normal 61 3 2 5" xfId="14638" xr:uid="{00000000-0005-0000-0000-000014600000}"/>
    <cellStyle name="Normal 61 3 2 5 2" xfId="31186" xr:uid="{00000000-0005-0000-0000-000015600000}"/>
    <cellStyle name="Normal 61 3 2 6" xfId="23143" xr:uid="{00000000-0005-0000-0000-000016600000}"/>
    <cellStyle name="Normal 61 3 3" xfId="5132" xr:uid="{00000000-0005-0000-0000-000017600000}"/>
    <cellStyle name="Normal 61 3 3 2" xfId="5133" xr:uid="{00000000-0005-0000-0000-000018600000}"/>
    <cellStyle name="Normal 61 3 3 2 2" xfId="9085" xr:uid="{00000000-0005-0000-0000-000019600000}"/>
    <cellStyle name="Normal 61 3 3 2 2 2" xfId="18441" xr:uid="{00000000-0005-0000-0000-00001A600000}"/>
    <cellStyle name="Normal 61 3 3 2 2 2 2" xfId="35015" xr:uid="{00000000-0005-0000-0000-00001B600000}"/>
    <cellStyle name="Normal 61 3 3 2 2 3" xfId="26968" xr:uid="{00000000-0005-0000-0000-00001C600000}"/>
    <cellStyle name="Normal 61 3 3 2 3" xfId="14643" xr:uid="{00000000-0005-0000-0000-00001D600000}"/>
    <cellStyle name="Normal 61 3 3 2 3 2" xfId="31191" xr:uid="{00000000-0005-0000-0000-00001E600000}"/>
    <cellStyle name="Normal 61 3 3 2 4" xfId="23148" xr:uid="{00000000-0005-0000-0000-00001F600000}"/>
    <cellStyle name="Normal 61 3 3 3" xfId="9086" xr:uid="{00000000-0005-0000-0000-000020600000}"/>
    <cellStyle name="Normal 61 3 3 3 2" xfId="18442" xr:uid="{00000000-0005-0000-0000-000021600000}"/>
    <cellStyle name="Normal 61 3 3 3 2 2" xfId="35016" xr:uid="{00000000-0005-0000-0000-000022600000}"/>
    <cellStyle name="Normal 61 3 3 3 3" xfId="26969" xr:uid="{00000000-0005-0000-0000-000023600000}"/>
    <cellStyle name="Normal 61 3 3 4" xfId="14642" xr:uid="{00000000-0005-0000-0000-000024600000}"/>
    <cellStyle name="Normal 61 3 3 4 2" xfId="31190" xr:uid="{00000000-0005-0000-0000-000025600000}"/>
    <cellStyle name="Normal 61 3 3 5" xfId="23147" xr:uid="{00000000-0005-0000-0000-000026600000}"/>
    <cellStyle name="Normal 61 3 4" xfId="5134" xr:uid="{00000000-0005-0000-0000-000027600000}"/>
    <cellStyle name="Normal 61 3 4 2" xfId="9087" xr:uid="{00000000-0005-0000-0000-000028600000}"/>
    <cellStyle name="Normal 61 3 4 2 2" xfId="18443" xr:uid="{00000000-0005-0000-0000-000029600000}"/>
    <cellStyle name="Normal 61 3 4 2 2 2" xfId="35017" xr:uid="{00000000-0005-0000-0000-00002A600000}"/>
    <cellStyle name="Normal 61 3 4 2 3" xfId="26970" xr:uid="{00000000-0005-0000-0000-00002B600000}"/>
    <cellStyle name="Normal 61 3 4 3" xfId="14644" xr:uid="{00000000-0005-0000-0000-00002C600000}"/>
    <cellStyle name="Normal 61 3 4 3 2" xfId="31192" xr:uid="{00000000-0005-0000-0000-00002D600000}"/>
    <cellStyle name="Normal 61 3 4 4" xfId="23149" xr:uid="{00000000-0005-0000-0000-00002E600000}"/>
    <cellStyle name="Normal 61 3 5" xfId="5135" xr:uid="{00000000-0005-0000-0000-00002F600000}"/>
    <cellStyle name="Normal 61 3 5 2" xfId="14645" xr:uid="{00000000-0005-0000-0000-000030600000}"/>
    <cellStyle name="Normal 61 3 5 2 2" xfId="31193" xr:uid="{00000000-0005-0000-0000-000031600000}"/>
    <cellStyle name="Normal 61 3 5 3" xfId="23150" xr:uid="{00000000-0005-0000-0000-000032600000}"/>
    <cellStyle name="Normal 61 4" xfId="5136" xr:uid="{00000000-0005-0000-0000-000033600000}"/>
    <cellStyle name="Normal 61 4 2" xfId="5137" xr:uid="{00000000-0005-0000-0000-000034600000}"/>
    <cellStyle name="Normal 61 4 2 2" xfId="5138" xr:uid="{00000000-0005-0000-0000-000035600000}"/>
    <cellStyle name="Normal 61 4 2 2 2" xfId="5139" xr:uid="{00000000-0005-0000-0000-000036600000}"/>
    <cellStyle name="Normal 61 4 2 2 2 2" xfId="9088" xr:uid="{00000000-0005-0000-0000-000037600000}"/>
    <cellStyle name="Normal 61 4 2 2 2 2 2" xfId="18444" xr:uid="{00000000-0005-0000-0000-000038600000}"/>
    <cellStyle name="Normal 61 4 2 2 2 2 2 2" xfId="35018" xr:uid="{00000000-0005-0000-0000-000039600000}"/>
    <cellStyle name="Normal 61 4 2 2 2 2 3" xfId="26971" xr:uid="{00000000-0005-0000-0000-00003A600000}"/>
    <cellStyle name="Normal 61 4 2 2 2 3" xfId="14649" xr:uid="{00000000-0005-0000-0000-00003B600000}"/>
    <cellStyle name="Normal 61 4 2 2 2 3 2" xfId="31197" xr:uid="{00000000-0005-0000-0000-00003C600000}"/>
    <cellStyle name="Normal 61 4 2 2 2 4" xfId="23154" xr:uid="{00000000-0005-0000-0000-00003D600000}"/>
    <cellStyle name="Normal 61 4 2 2 3" xfId="9089" xr:uid="{00000000-0005-0000-0000-00003E600000}"/>
    <cellStyle name="Normal 61 4 2 2 3 2" xfId="18445" xr:uid="{00000000-0005-0000-0000-00003F600000}"/>
    <cellStyle name="Normal 61 4 2 2 3 2 2" xfId="35019" xr:uid="{00000000-0005-0000-0000-000040600000}"/>
    <cellStyle name="Normal 61 4 2 2 3 3" xfId="26972" xr:uid="{00000000-0005-0000-0000-000041600000}"/>
    <cellStyle name="Normal 61 4 2 2 4" xfId="14648" xr:uid="{00000000-0005-0000-0000-000042600000}"/>
    <cellStyle name="Normal 61 4 2 2 4 2" xfId="31196" xr:uid="{00000000-0005-0000-0000-000043600000}"/>
    <cellStyle name="Normal 61 4 2 2 5" xfId="23153" xr:uid="{00000000-0005-0000-0000-000044600000}"/>
    <cellStyle name="Normal 61 4 2 3" xfId="5140" xr:uid="{00000000-0005-0000-0000-000045600000}"/>
    <cellStyle name="Normal 61 4 2 3 2" xfId="9090" xr:uid="{00000000-0005-0000-0000-000046600000}"/>
    <cellStyle name="Normal 61 4 2 3 2 2" xfId="18446" xr:uid="{00000000-0005-0000-0000-000047600000}"/>
    <cellStyle name="Normal 61 4 2 3 2 2 2" xfId="35020" xr:uid="{00000000-0005-0000-0000-000048600000}"/>
    <cellStyle name="Normal 61 4 2 3 2 3" xfId="26973" xr:uid="{00000000-0005-0000-0000-000049600000}"/>
    <cellStyle name="Normal 61 4 2 3 3" xfId="14650" xr:uid="{00000000-0005-0000-0000-00004A600000}"/>
    <cellStyle name="Normal 61 4 2 3 3 2" xfId="31198" xr:uid="{00000000-0005-0000-0000-00004B600000}"/>
    <cellStyle name="Normal 61 4 2 3 4" xfId="23155" xr:uid="{00000000-0005-0000-0000-00004C600000}"/>
    <cellStyle name="Normal 61 4 2 4" xfId="9091" xr:uid="{00000000-0005-0000-0000-00004D600000}"/>
    <cellStyle name="Normal 61 4 2 4 2" xfId="18447" xr:uid="{00000000-0005-0000-0000-00004E600000}"/>
    <cellStyle name="Normal 61 4 2 4 2 2" xfId="35021" xr:uid="{00000000-0005-0000-0000-00004F600000}"/>
    <cellStyle name="Normal 61 4 2 4 3" xfId="26974" xr:uid="{00000000-0005-0000-0000-000050600000}"/>
    <cellStyle name="Normal 61 4 2 5" xfId="14647" xr:uid="{00000000-0005-0000-0000-000051600000}"/>
    <cellStyle name="Normal 61 4 2 5 2" xfId="31195" xr:uid="{00000000-0005-0000-0000-000052600000}"/>
    <cellStyle name="Normal 61 4 2 6" xfId="23152" xr:uid="{00000000-0005-0000-0000-000053600000}"/>
    <cellStyle name="Normal 61 4 3" xfId="5141" xr:uid="{00000000-0005-0000-0000-000054600000}"/>
    <cellStyle name="Normal 61 4 3 2" xfId="5142" xr:uid="{00000000-0005-0000-0000-000055600000}"/>
    <cellStyle name="Normal 61 4 3 2 2" xfId="9092" xr:uid="{00000000-0005-0000-0000-000056600000}"/>
    <cellStyle name="Normal 61 4 3 2 2 2" xfId="18448" xr:uid="{00000000-0005-0000-0000-000057600000}"/>
    <cellStyle name="Normal 61 4 3 2 2 2 2" xfId="35022" xr:uid="{00000000-0005-0000-0000-000058600000}"/>
    <cellStyle name="Normal 61 4 3 2 2 3" xfId="26975" xr:uid="{00000000-0005-0000-0000-000059600000}"/>
    <cellStyle name="Normal 61 4 3 2 3" xfId="14652" xr:uid="{00000000-0005-0000-0000-00005A600000}"/>
    <cellStyle name="Normal 61 4 3 2 3 2" xfId="31200" xr:uid="{00000000-0005-0000-0000-00005B600000}"/>
    <cellStyle name="Normal 61 4 3 2 4" xfId="23157" xr:uid="{00000000-0005-0000-0000-00005C600000}"/>
    <cellStyle name="Normal 61 4 3 3" xfId="9093" xr:uid="{00000000-0005-0000-0000-00005D600000}"/>
    <cellStyle name="Normal 61 4 3 3 2" xfId="18449" xr:uid="{00000000-0005-0000-0000-00005E600000}"/>
    <cellStyle name="Normal 61 4 3 3 2 2" xfId="35023" xr:uid="{00000000-0005-0000-0000-00005F600000}"/>
    <cellStyle name="Normal 61 4 3 3 3" xfId="26976" xr:uid="{00000000-0005-0000-0000-000060600000}"/>
    <cellStyle name="Normal 61 4 3 4" xfId="14651" xr:uid="{00000000-0005-0000-0000-000061600000}"/>
    <cellStyle name="Normal 61 4 3 4 2" xfId="31199" xr:uid="{00000000-0005-0000-0000-000062600000}"/>
    <cellStyle name="Normal 61 4 3 5" xfId="23156" xr:uid="{00000000-0005-0000-0000-000063600000}"/>
    <cellStyle name="Normal 61 4 4" xfId="5143" xr:uid="{00000000-0005-0000-0000-000064600000}"/>
    <cellStyle name="Normal 61 4 4 2" xfId="9094" xr:uid="{00000000-0005-0000-0000-000065600000}"/>
    <cellStyle name="Normal 61 4 4 2 2" xfId="18450" xr:uid="{00000000-0005-0000-0000-000066600000}"/>
    <cellStyle name="Normal 61 4 4 2 2 2" xfId="35024" xr:uid="{00000000-0005-0000-0000-000067600000}"/>
    <cellStyle name="Normal 61 4 4 2 3" xfId="26977" xr:uid="{00000000-0005-0000-0000-000068600000}"/>
    <cellStyle name="Normal 61 4 4 3" xfId="14653" xr:uid="{00000000-0005-0000-0000-000069600000}"/>
    <cellStyle name="Normal 61 4 4 3 2" xfId="31201" xr:uid="{00000000-0005-0000-0000-00006A600000}"/>
    <cellStyle name="Normal 61 4 4 4" xfId="23158" xr:uid="{00000000-0005-0000-0000-00006B600000}"/>
    <cellStyle name="Normal 61 4 5" xfId="9095" xr:uid="{00000000-0005-0000-0000-00006C600000}"/>
    <cellStyle name="Normal 61 4 5 2" xfId="18451" xr:uid="{00000000-0005-0000-0000-00006D600000}"/>
    <cellStyle name="Normal 61 4 5 2 2" xfId="35025" xr:uid="{00000000-0005-0000-0000-00006E600000}"/>
    <cellStyle name="Normal 61 4 5 3" xfId="26978" xr:uid="{00000000-0005-0000-0000-00006F600000}"/>
    <cellStyle name="Normal 61 4 6" xfId="14646" xr:uid="{00000000-0005-0000-0000-000070600000}"/>
    <cellStyle name="Normal 61 4 6 2" xfId="31194" xr:uid="{00000000-0005-0000-0000-000071600000}"/>
    <cellStyle name="Normal 61 4 7" xfId="23151" xr:uid="{00000000-0005-0000-0000-000072600000}"/>
    <cellStyle name="Normal 61 5" xfId="5144" xr:uid="{00000000-0005-0000-0000-000073600000}"/>
    <cellStyle name="Normal 61 5 2" xfId="5145" xr:uid="{00000000-0005-0000-0000-000074600000}"/>
    <cellStyle name="Normal 61 5 2 2" xfId="5146" xr:uid="{00000000-0005-0000-0000-000075600000}"/>
    <cellStyle name="Normal 61 5 2 2 2" xfId="5147" xr:uid="{00000000-0005-0000-0000-000076600000}"/>
    <cellStyle name="Normal 61 5 2 2 2 2" xfId="9096" xr:uid="{00000000-0005-0000-0000-000077600000}"/>
    <cellStyle name="Normal 61 5 2 2 2 2 2" xfId="18452" xr:uid="{00000000-0005-0000-0000-000078600000}"/>
    <cellStyle name="Normal 61 5 2 2 2 2 2 2" xfId="35026" xr:uid="{00000000-0005-0000-0000-000079600000}"/>
    <cellStyle name="Normal 61 5 2 2 2 2 3" xfId="26979" xr:uid="{00000000-0005-0000-0000-00007A600000}"/>
    <cellStyle name="Normal 61 5 2 2 2 3" xfId="14657" xr:uid="{00000000-0005-0000-0000-00007B600000}"/>
    <cellStyle name="Normal 61 5 2 2 2 3 2" xfId="31205" xr:uid="{00000000-0005-0000-0000-00007C600000}"/>
    <cellStyle name="Normal 61 5 2 2 2 4" xfId="23162" xr:uid="{00000000-0005-0000-0000-00007D600000}"/>
    <cellStyle name="Normal 61 5 2 2 3" xfId="9097" xr:uid="{00000000-0005-0000-0000-00007E600000}"/>
    <cellStyle name="Normal 61 5 2 2 3 2" xfId="18453" xr:uid="{00000000-0005-0000-0000-00007F600000}"/>
    <cellStyle name="Normal 61 5 2 2 3 2 2" xfId="35027" xr:uid="{00000000-0005-0000-0000-000080600000}"/>
    <cellStyle name="Normal 61 5 2 2 3 3" xfId="26980" xr:uid="{00000000-0005-0000-0000-000081600000}"/>
    <cellStyle name="Normal 61 5 2 2 4" xfId="14656" xr:uid="{00000000-0005-0000-0000-000082600000}"/>
    <cellStyle name="Normal 61 5 2 2 4 2" xfId="31204" xr:uid="{00000000-0005-0000-0000-000083600000}"/>
    <cellStyle name="Normal 61 5 2 2 5" xfId="23161" xr:uid="{00000000-0005-0000-0000-000084600000}"/>
    <cellStyle name="Normal 61 5 2 3" xfId="5148" xr:uid="{00000000-0005-0000-0000-000085600000}"/>
    <cellStyle name="Normal 61 5 2 3 2" xfId="9098" xr:uid="{00000000-0005-0000-0000-000086600000}"/>
    <cellStyle name="Normal 61 5 2 3 2 2" xfId="18454" xr:uid="{00000000-0005-0000-0000-000087600000}"/>
    <cellStyle name="Normal 61 5 2 3 2 2 2" xfId="35028" xr:uid="{00000000-0005-0000-0000-000088600000}"/>
    <cellStyle name="Normal 61 5 2 3 2 3" xfId="26981" xr:uid="{00000000-0005-0000-0000-000089600000}"/>
    <cellStyle name="Normal 61 5 2 3 3" xfId="14658" xr:uid="{00000000-0005-0000-0000-00008A600000}"/>
    <cellStyle name="Normal 61 5 2 3 3 2" xfId="31206" xr:uid="{00000000-0005-0000-0000-00008B600000}"/>
    <cellStyle name="Normal 61 5 2 3 4" xfId="23163" xr:uid="{00000000-0005-0000-0000-00008C600000}"/>
    <cellStyle name="Normal 61 5 2 4" xfId="9099" xr:uid="{00000000-0005-0000-0000-00008D600000}"/>
    <cellStyle name="Normal 61 5 2 4 2" xfId="18455" xr:uid="{00000000-0005-0000-0000-00008E600000}"/>
    <cellStyle name="Normal 61 5 2 4 2 2" xfId="35029" xr:uid="{00000000-0005-0000-0000-00008F600000}"/>
    <cellStyle name="Normal 61 5 2 4 3" xfId="26982" xr:uid="{00000000-0005-0000-0000-000090600000}"/>
    <cellStyle name="Normal 61 5 2 5" xfId="14655" xr:uid="{00000000-0005-0000-0000-000091600000}"/>
    <cellStyle name="Normal 61 5 2 5 2" xfId="31203" xr:uid="{00000000-0005-0000-0000-000092600000}"/>
    <cellStyle name="Normal 61 5 2 6" xfId="23160" xr:uid="{00000000-0005-0000-0000-000093600000}"/>
    <cellStyle name="Normal 61 5 3" xfId="5149" xr:uid="{00000000-0005-0000-0000-000094600000}"/>
    <cellStyle name="Normal 61 5 3 2" xfId="5150" xr:uid="{00000000-0005-0000-0000-000095600000}"/>
    <cellStyle name="Normal 61 5 3 2 2" xfId="9100" xr:uid="{00000000-0005-0000-0000-000096600000}"/>
    <cellStyle name="Normal 61 5 3 2 2 2" xfId="18456" xr:uid="{00000000-0005-0000-0000-000097600000}"/>
    <cellStyle name="Normal 61 5 3 2 2 2 2" xfId="35030" xr:uid="{00000000-0005-0000-0000-000098600000}"/>
    <cellStyle name="Normal 61 5 3 2 2 3" xfId="26983" xr:uid="{00000000-0005-0000-0000-000099600000}"/>
    <cellStyle name="Normal 61 5 3 2 3" xfId="14660" xr:uid="{00000000-0005-0000-0000-00009A600000}"/>
    <cellStyle name="Normal 61 5 3 2 3 2" xfId="31208" xr:uid="{00000000-0005-0000-0000-00009B600000}"/>
    <cellStyle name="Normal 61 5 3 2 4" xfId="23165" xr:uid="{00000000-0005-0000-0000-00009C600000}"/>
    <cellStyle name="Normal 61 5 3 3" xfId="9101" xr:uid="{00000000-0005-0000-0000-00009D600000}"/>
    <cellStyle name="Normal 61 5 3 3 2" xfId="18457" xr:uid="{00000000-0005-0000-0000-00009E600000}"/>
    <cellStyle name="Normal 61 5 3 3 2 2" xfId="35031" xr:uid="{00000000-0005-0000-0000-00009F600000}"/>
    <cellStyle name="Normal 61 5 3 3 3" xfId="26984" xr:uid="{00000000-0005-0000-0000-0000A0600000}"/>
    <cellStyle name="Normal 61 5 3 4" xfId="14659" xr:uid="{00000000-0005-0000-0000-0000A1600000}"/>
    <cellStyle name="Normal 61 5 3 4 2" xfId="31207" xr:uid="{00000000-0005-0000-0000-0000A2600000}"/>
    <cellStyle name="Normal 61 5 3 5" xfId="23164" xr:uid="{00000000-0005-0000-0000-0000A3600000}"/>
    <cellStyle name="Normal 61 5 4" xfId="5151" xr:uid="{00000000-0005-0000-0000-0000A4600000}"/>
    <cellStyle name="Normal 61 5 4 2" xfId="9102" xr:uid="{00000000-0005-0000-0000-0000A5600000}"/>
    <cellStyle name="Normal 61 5 4 2 2" xfId="18458" xr:uid="{00000000-0005-0000-0000-0000A6600000}"/>
    <cellStyle name="Normal 61 5 4 2 2 2" xfId="35032" xr:uid="{00000000-0005-0000-0000-0000A7600000}"/>
    <cellStyle name="Normal 61 5 4 2 3" xfId="26985" xr:uid="{00000000-0005-0000-0000-0000A8600000}"/>
    <cellStyle name="Normal 61 5 4 3" xfId="14661" xr:uid="{00000000-0005-0000-0000-0000A9600000}"/>
    <cellStyle name="Normal 61 5 4 3 2" xfId="31209" xr:uid="{00000000-0005-0000-0000-0000AA600000}"/>
    <cellStyle name="Normal 61 5 4 4" xfId="23166" xr:uid="{00000000-0005-0000-0000-0000AB600000}"/>
    <cellStyle name="Normal 61 5 5" xfId="9103" xr:uid="{00000000-0005-0000-0000-0000AC600000}"/>
    <cellStyle name="Normal 61 5 5 2" xfId="18459" xr:uid="{00000000-0005-0000-0000-0000AD600000}"/>
    <cellStyle name="Normal 61 5 5 2 2" xfId="35033" xr:uid="{00000000-0005-0000-0000-0000AE600000}"/>
    <cellStyle name="Normal 61 5 5 3" xfId="26986" xr:uid="{00000000-0005-0000-0000-0000AF600000}"/>
    <cellStyle name="Normal 61 5 6" xfId="14654" xr:uid="{00000000-0005-0000-0000-0000B0600000}"/>
    <cellStyle name="Normal 61 5 6 2" xfId="31202" xr:uid="{00000000-0005-0000-0000-0000B1600000}"/>
    <cellStyle name="Normal 61 5 7" xfId="23159" xr:uid="{00000000-0005-0000-0000-0000B2600000}"/>
    <cellStyle name="Normal 61 6" xfId="5152" xr:uid="{00000000-0005-0000-0000-0000B3600000}"/>
    <cellStyle name="Normal 61 6 2" xfId="5153" xr:uid="{00000000-0005-0000-0000-0000B4600000}"/>
    <cellStyle name="Normal 61 6 2 2" xfId="5154" xr:uid="{00000000-0005-0000-0000-0000B5600000}"/>
    <cellStyle name="Normal 61 6 2 2 2" xfId="9104" xr:uid="{00000000-0005-0000-0000-0000B6600000}"/>
    <cellStyle name="Normal 61 6 2 2 2 2" xfId="18460" xr:uid="{00000000-0005-0000-0000-0000B7600000}"/>
    <cellStyle name="Normal 61 6 2 2 2 2 2" xfId="35034" xr:uid="{00000000-0005-0000-0000-0000B8600000}"/>
    <cellStyle name="Normal 61 6 2 2 2 3" xfId="26987" xr:uid="{00000000-0005-0000-0000-0000B9600000}"/>
    <cellStyle name="Normal 61 6 2 2 3" xfId="14664" xr:uid="{00000000-0005-0000-0000-0000BA600000}"/>
    <cellStyle name="Normal 61 6 2 2 3 2" xfId="31212" xr:uid="{00000000-0005-0000-0000-0000BB600000}"/>
    <cellStyle name="Normal 61 6 2 2 4" xfId="23169" xr:uid="{00000000-0005-0000-0000-0000BC600000}"/>
    <cellStyle name="Normal 61 6 2 3" xfId="9105" xr:uid="{00000000-0005-0000-0000-0000BD600000}"/>
    <cellStyle name="Normal 61 6 2 3 2" xfId="18461" xr:uid="{00000000-0005-0000-0000-0000BE600000}"/>
    <cellStyle name="Normal 61 6 2 3 2 2" xfId="35035" xr:uid="{00000000-0005-0000-0000-0000BF600000}"/>
    <cellStyle name="Normal 61 6 2 3 3" xfId="26988" xr:uid="{00000000-0005-0000-0000-0000C0600000}"/>
    <cellStyle name="Normal 61 6 2 4" xfId="14663" xr:uid="{00000000-0005-0000-0000-0000C1600000}"/>
    <cellStyle name="Normal 61 6 2 4 2" xfId="31211" xr:uid="{00000000-0005-0000-0000-0000C2600000}"/>
    <cellStyle name="Normal 61 6 2 5" xfId="23168" xr:uid="{00000000-0005-0000-0000-0000C3600000}"/>
    <cellStyle name="Normal 61 6 3" xfId="5155" xr:uid="{00000000-0005-0000-0000-0000C4600000}"/>
    <cellStyle name="Normal 61 6 3 2" xfId="9106" xr:uid="{00000000-0005-0000-0000-0000C5600000}"/>
    <cellStyle name="Normal 61 6 3 2 2" xfId="18462" xr:uid="{00000000-0005-0000-0000-0000C6600000}"/>
    <cellStyle name="Normal 61 6 3 2 2 2" xfId="35036" xr:uid="{00000000-0005-0000-0000-0000C7600000}"/>
    <cellStyle name="Normal 61 6 3 2 3" xfId="26989" xr:uid="{00000000-0005-0000-0000-0000C8600000}"/>
    <cellStyle name="Normal 61 6 3 3" xfId="14665" xr:uid="{00000000-0005-0000-0000-0000C9600000}"/>
    <cellStyle name="Normal 61 6 3 3 2" xfId="31213" xr:uid="{00000000-0005-0000-0000-0000CA600000}"/>
    <cellStyle name="Normal 61 6 3 4" xfId="23170" xr:uid="{00000000-0005-0000-0000-0000CB600000}"/>
    <cellStyle name="Normal 61 6 4" xfId="9107" xr:uid="{00000000-0005-0000-0000-0000CC600000}"/>
    <cellStyle name="Normal 61 6 4 2" xfId="18463" xr:uid="{00000000-0005-0000-0000-0000CD600000}"/>
    <cellStyle name="Normal 61 6 4 2 2" xfId="35037" xr:uid="{00000000-0005-0000-0000-0000CE600000}"/>
    <cellStyle name="Normal 61 6 4 3" xfId="26990" xr:uid="{00000000-0005-0000-0000-0000CF600000}"/>
    <cellStyle name="Normal 61 6 5" xfId="14662" xr:uid="{00000000-0005-0000-0000-0000D0600000}"/>
    <cellStyle name="Normal 61 6 5 2" xfId="31210" xr:uid="{00000000-0005-0000-0000-0000D1600000}"/>
    <cellStyle name="Normal 61 6 6" xfId="23167" xr:uid="{00000000-0005-0000-0000-0000D2600000}"/>
    <cellStyle name="Normal 61 7" xfId="5156" xr:uid="{00000000-0005-0000-0000-0000D3600000}"/>
    <cellStyle name="Normal 61 7 2" xfId="5157" xr:uid="{00000000-0005-0000-0000-0000D4600000}"/>
    <cellStyle name="Normal 61 7 2 2" xfId="9108" xr:uid="{00000000-0005-0000-0000-0000D5600000}"/>
    <cellStyle name="Normal 61 7 2 2 2" xfId="18464" xr:uid="{00000000-0005-0000-0000-0000D6600000}"/>
    <cellStyle name="Normal 61 7 2 2 2 2" xfId="35038" xr:uid="{00000000-0005-0000-0000-0000D7600000}"/>
    <cellStyle name="Normal 61 7 2 2 3" xfId="26991" xr:uid="{00000000-0005-0000-0000-0000D8600000}"/>
    <cellStyle name="Normal 61 7 2 3" xfId="14667" xr:uid="{00000000-0005-0000-0000-0000D9600000}"/>
    <cellStyle name="Normal 61 7 2 3 2" xfId="31215" xr:uid="{00000000-0005-0000-0000-0000DA600000}"/>
    <cellStyle name="Normal 61 7 2 4" xfId="23172" xr:uid="{00000000-0005-0000-0000-0000DB600000}"/>
    <cellStyle name="Normal 61 7 3" xfId="9109" xr:uid="{00000000-0005-0000-0000-0000DC600000}"/>
    <cellStyle name="Normal 61 7 3 2" xfId="18465" xr:uid="{00000000-0005-0000-0000-0000DD600000}"/>
    <cellStyle name="Normal 61 7 3 2 2" xfId="35039" xr:uid="{00000000-0005-0000-0000-0000DE600000}"/>
    <cellStyle name="Normal 61 7 3 3" xfId="26992" xr:uid="{00000000-0005-0000-0000-0000DF600000}"/>
    <cellStyle name="Normal 61 7 4" xfId="14666" xr:uid="{00000000-0005-0000-0000-0000E0600000}"/>
    <cellStyle name="Normal 61 7 4 2" xfId="31214" xr:uid="{00000000-0005-0000-0000-0000E1600000}"/>
    <cellStyle name="Normal 61 7 5" xfId="23171" xr:uid="{00000000-0005-0000-0000-0000E2600000}"/>
    <cellStyle name="Normal 61 8" xfId="5158" xr:uid="{00000000-0005-0000-0000-0000E3600000}"/>
    <cellStyle name="Normal 61 8 2" xfId="9110" xr:uid="{00000000-0005-0000-0000-0000E4600000}"/>
    <cellStyle name="Normal 61 8 2 2" xfId="18466" xr:uid="{00000000-0005-0000-0000-0000E5600000}"/>
    <cellStyle name="Normal 61 8 2 2 2" xfId="35040" xr:uid="{00000000-0005-0000-0000-0000E6600000}"/>
    <cellStyle name="Normal 61 8 2 3" xfId="26993" xr:uid="{00000000-0005-0000-0000-0000E7600000}"/>
    <cellStyle name="Normal 61 8 3" xfId="14668" xr:uid="{00000000-0005-0000-0000-0000E8600000}"/>
    <cellStyle name="Normal 61 8 3 2" xfId="31216" xr:uid="{00000000-0005-0000-0000-0000E9600000}"/>
    <cellStyle name="Normal 61 8 4" xfId="23173" xr:uid="{00000000-0005-0000-0000-0000EA600000}"/>
    <cellStyle name="Normal 61 9" xfId="9111" xr:uid="{00000000-0005-0000-0000-0000EB600000}"/>
    <cellStyle name="Normal 61 9 2" xfId="18467" xr:uid="{00000000-0005-0000-0000-0000EC600000}"/>
    <cellStyle name="Normal 61 9 2 2" xfId="35041" xr:uid="{00000000-0005-0000-0000-0000ED600000}"/>
    <cellStyle name="Normal 61 9 3" xfId="26994" xr:uid="{00000000-0005-0000-0000-0000EE600000}"/>
    <cellStyle name="Normal 62" xfId="5159" xr:uid="{00000000-0005-0000-0000-0000EF600000}"/>
    <cellStyle name="Normal 62 10" xfId="14669" xr:uid="{00000000-0005-0000-0000-0000F0600000}"/>
    <cellStyle name="Normal 62 10 2" xfId="31217" xr:uid="{00000000-0005-0000-0000-0000F1600000}"/>
    <cellStyle name="Normal 62 11" xfId="23174" xr:uid="{00000000-0005-0000-0000-0000F2600000}"/>
    <cellStyle name="Normal 62 2" xfId="5160" xr:uid="{00000000-0005-0000-0000-0000F3600000}"/>
    <cellStyle name="Normal 62 2 2" xfId="5161" xr:uid="{00000000-0005-0000-0000-0000F4600000}"/>
    <cellStyle name="Normal 62 2 3" xfId="14670" xr:uid="{00000000-0005-0000-0000-0000F5600000}"/>
    <cellStyle name="Normal 62 2 3 2" xfId="31218" xr:uid="{00000000-0005-0000-0000-0000F6600000}"/>
    <cellStyle name="Normal 62 2 4" xfId="23175" xr:uid="{00000000-0005-0000-0000-0000F7600000}"/>
    <cellStyle name="Normal 62 3" xfId="5162" xr:uid="{00000000-0005-0000-0000-0000F8600000}"/>
    <cellStyle name="Normal 62 3 2" xfId="5163" xr:uid="{00000000-0005-0000-0000-0000F9600000}"/>
    <cellStyle name="Normal 62 3 2 2" xfId="5164" xr:uid="{00000000-0005-0000-0000-0000FA600000}"/>
    <cellStyle name="Normal 62 3 2 2 2" xfId="5165" xr:uid="{00000000-0005-0000-0000-0000FB600000}"/>
    <cellStyle name="Normal 62 3 2 2 2 2" xfId="9112" xr:uid="{00000000-0005-0000-0000-0000FC600000}"/>
    <cellStyle name="Normal 62 3 2 2 2 2 2" xfId="18468" xr:uid="{00000000-0005-0000-0000-0000FD600000}"/>
    <cellStyle name="Normal 62 3 2 2 2 2 2 2" xfId="35042" xr:uid="{00000000-0005-0000-0000-0000FE600000}"/>
    <cellStyle name="Normal 62 3 2 2 2 2 3" xfId="26995" xr:uid="{00000000-0005-0000-0000-0000FF600000}"/>
    <cellStyle name="Normal 62 3 2 2 2 3" xfId="14673" xr:uid="{00000000-0005-0000-0000-000000610000}"/>
    <cellStyle name="Normal 62 3 2 2 2 3 2" xfId="31221" xr:uid="{00000000-0005-0000-0000-000001610000}"/>
    <cellStyle name="Normal 62 3 2 2 2 4" xfId="23178" xr:uid="{00000000-0005-0000-0000-000002610000}"/>
    <cellStyle name="Normal 62 3 2 2 3" xfId="9113" xr:uid="{00000000-0005-0000-0000-000003610000}"/>
    <cellStyle name="Normal 62 3 2 2 3 2" xfId="18469" xr:uid="{00000000-0005-0000-0000-000004610000}"/>
    <cellStyle name="Normal 62 3 2 2 3 2 2" xfId="35043" xr:uid="{00000000-0005-0000-0000-000005610000}"/>
    <cellStyle name="Normal 62 3 2 2 3 3" xfId="26996" xr:uid="{00000000-0005-0000-0000-000006610000}"/>
    <cellStyle name="Normal 62 3 2 2 4" xfId="14672" xr:uid="{00000000-0005-0000-0000-000007610000}"/>
    <cellStyle name="Normal 62 3 2 2 4 2" xfId="31220" xr:uid="{00000000-0005-0000-0000-000008610000}"/>
    <cellStyle name="Normal 62 3 2 2 5" xfId="23177" xr:uid="{00000000-0005-0000-0000-000009610000}"/>
    <cellStyle name="Normal 62 3 2 3" xfId="5166" xr:uid="{00000000-0005-0000-0000-00000A610000}"/>
    <cellStyle name="Normal 62 3 2 3 2" xfId="9114" xr:uid="{00000000-0005-0000-0000-00000B610000}"/>
    <cellStyle name="Normal 62 3 2 3 2 2" xfId="18470" xr:uid="{00000000-0005-0000-0000-00000C610000}"/>
    <cellStyle name="Normal 62 3 2 3 2 2 2" xfId="35044" xr:uid="{00000000-0005-0000-0000-00000D610000}"/>
    <cellStyle name="Normal 62 3 2 3 2 3" xfId="26997" xr:uid="{00000000-0005-0000-0000-00000E610000}"/>
    <cellStyle name="Normal 62 3 2 3 3" xfId="14674" xr:uid="{00000000-0005-0000-0000-00000F610000}"/>
    <cellStyle name="Normal 62 3 2 3 3 2" xfId="31222" xr:uid="{00000000-0005-0000-0000-000010610000}"/>
    <cellStyle name="Normal 62 3 2 3 4" xfId="23179" xr:uid="{00000000-0005-0000-0000-000011610000}"/>
    <cellStyle name="Normal 62 3 2 4" xfId="9115" xr:uid="{00000000-0005-0000-0000-000012610000}"/>
    <cellStyle name="Normal 62 3 2 4 2" xfId="18471" xr:uid="{00000000-0005-0000-0000-000013610000}"/>
    <cellStyle name="Normal 62 3 2 4 2 2" xfId="35045" xr:uid="{00000000-0005-0000-0000-000014610000}"/>
    <cellStyle name="Normal 62 3 2 4 3" xfId="26998" xr:uid="{00000000-0005-0000-0000-000015610000}"/>
    <cellStyle name="Normal 62 3 2 5" xfId="14671" xr:uid="{00000000-0005-0000-0000-000016610000}"/>
    <cellStyle name="Normal 62 3 2 5 2" xfId="31219" xr:uid="{00000000-0005-0000-0000-000017610000}"/>
    <cellStyle name="Normal 62 3 2 6" xfId="23176" xr:uid="{00000000-0005-0000-0000-000018610000}"/>
    <cellStyle name="Normal 62 3 3" xfId="5167" xr:uid="{00000000-0005-0000-0000-000019610000}"/>
    <cellStyle name="Normal 62 3 3 2" xfId="5168" xr:uid="{00000000-0005-0000-0000-00001A610000}"/>
    <cellStyle name="Normal 62 3 3 2 2" xfId="9116" xr:uid="{00000000-0005-0000-0000-00001B610000}"/>
    <cellStyle name="Normal 62 3 3 2 2 2" xfId="18472" xr:uid="{00000000-0005-0000-0000-00001C610000}"/>
    <cellStyle name="Normal 62 3 3 2 2 2 2" xfId="35046" xr:uid="{00000000-0005-0000-0000-00001D610000}"/>
    <cellStyle name="Normal 62 3 3 2 2 3" xfId="26999" xr:uid="{00000000-0005-0000-0000-00001E610000}"/>
    <cellStyle name="Normal 62 3 3 2 3" xfId="14676" xr:uid="{00000000-0005-0000-0000-00001F610000}"/>
    <cellStyle name="Normal 62 3 3 2 3 2" xfId="31224" xr:uid="{00000000-0005-0000-0000-000020610000}"/>
    <cellStyle name="Normal 62 3 3 2 4" xfId="23181" xr:uid="{00000000-0005-0000-0000-000021610000}"/>
    <cellStyle name="Normal 62 3 3 3" xfId="9117" xr:uid="{00000000-0005-0000-0000-000022610000}"/>
    <cellStyle name="Normal 62 3 3 3 2" xfId="18473" xr:uid="{00000000-0005-0000-0000-000023610000}"/>
    <cellStyle name="Normal 62 3 3 3 2 2" xfId="35047" xr:uid="{00000000-0005-0000-0000-000024610000}"/>
    <cellStyle name="Normal 62 3 3 3 3" xfId="27000" xr:uid="{00000000-0005-0000-0000-000025610000}"/>
    <cellStyle name="Normal 62 3 3 4" xfId="14675" xr:uid="{00000000-0005-0000-0000-000026610000}"/>
    <cellStyle name="Normal 62 3 3 4 2" xfId="31223" xr:uid="{00000000-0005-0000-0000-000027610000}"/>
    <cellStyle name="Normal 62 3 3 5" xfId="23180" xr:uid="{00000000-0005-0000-0000-000028610000}"/>
    <cellStyle name="Normal 62 3 4" xfId="5169" xr:uid="{00000000-0005-0000-0000-000029610000}"/>
    <cellStyle name="Normal 62 3 4 2" xfId="9118" xr:uid="{00000000-0005-0000-0000-00002A610000}"/>
    <cellStyle name="Normal 62 3 4 2 2" xfId="18474" xr:uid="{00000000-0005-0000-0000-00002B610000}"/>
    <cellStyle name="Normal 62 3 4 2 2 2" xfId="35048" xr:uid="{00000000-0005-0000-0000-00002C610000}"/>
    <cellStyle name="Normal 62 3 4 2 3" xfId="27001" xr:uid="{00000000-0005-0000-0000-00002D610000}"/>
    <cellStyle name="Normal 62 3 4 3" xfId="14677" xr:uid="{00000000-0005-0000-0000-00002E610000}"/>
    <cellStyle name="Normal 62 3 4 3 2" xfId="31225" xr:uid="{00000000-0005-0000-0000-00002F610000}"/>
    <cellStyle name="Normal 62 3 4 4" xfId="23182" xr:uid="{00000000-0005-0000-0000-000030610000}"/>
    <cellStyle name="Normal 62 3 5" xfId="5170" xr:uid="{00000000-0005-0000-0000-000031610000}"/>
    <cellStyle name="Normal 62 3 5 2" xfId="14678" xr:uid="{00000000-0005-0000-0000-000032610000}"/>
    <cellStyle name="Normal 62 3 5 2 2" xfId="31226" xr:uid="{00000000-0005-0000-0000-000033610000}"/>
    <cellStyle name="Normal 62 3 5 3" xfId="23183" xr:uid="{00000000-0005-0000-0000-000034610000}"/>
    <cellStyle name="Normal 62 4" xfId="5171" xr:uid="{00000000-0005-0000-0000-000035610000}"/>
    <cellStyle name="Normal 62 4 2" xfId="5172" xr:uid="{00000000-0005-0000-0000-000036610000}"/>
    <cellStyle name="Normal 62 4 2 2" xfId="5173" xr:uid="{00000000-0005-0000-0000-000037610000}"/>
    <cellStyle name="Normal 62 4 2 2 2" xfId="5174" xr:uid="{00000000-0005-0000-0000-000038610000}"/>
    <cellStyle name="Normal 62 4 2 2 2 2" xfId="9119" xr:uid="{00000000-0005-0000-0000-000039610000}"/>
    <cellStyle name="Normal 62 4 2 2 2 2 2" xfId="18475" xr:uid="{00000000-0005-0000-0000-00003A610000}"/>
    <cellStyle name="Normal 62 4 2 2 2 2 2 2" xfId="35049" xr:uid="{00000000-0005-0000-0000-00003B610000}"/>
    <cellStyle name="Normal 62 4 2 2 2 2 3" xfId="27002" xr:uid="{00000000-0005-0000-0000-00003C610000}"/>
    <cellStyle name="Normal 62 4 2 2 2 3" xfId="14682" xr:uid="{00000000-0005-0000-0000-00003D610000}"/>
    <cellStyle name="Normal 62 4 2 2 2 3 2" xfId="31230" xr:uid="{00000000-0005-0000-0000-00003E610000}"/>
    <cellStyle name="Normal 62 4 2 2 2 4" xfId="23187" xr:uid="{00000000-0005-0000-0000-00003F610000}"/>
    <cellStyle name="Normal 62 4 2 2 3" xfId="9120" xr:uid="{00000000-0005-0000-0000-000040610000}"/>
    <cellStyle name="Normal 62 4 2 2 3 2" xfId="18476" xr:uid="{00000000-0005-0000-0000-000041610000}"/>
    <cellStyle name="Normal 62 4 2 2 3 2 2" xfId="35050" xr:uid="{00000000-0005-0000-0000-000042610000}"/>
    <cellStyle name="Normal 62 4 2 2 3 3" xfId="27003" xr:uid="{00000000-0005-0000-0000-000043610000}"/>
    <cellStyle name="Normal 62 4 2 2 4" xfId="14681" xr:uid="{00000000-0005-0000-0000-000044610000}"/>
    <cellStyle name="Normal 62 4 2 2 4 2" xfId="31229" xr:uid="{00000000-0005-0000-0000-000045610000}"/>
    <cellStyle name="Normal 62 4 2 2 5" xfId="23186" xr:uid="{00000000-0005-0000-0000-000046610000}"/>
    <cellStyle name="Normal 62 4 2 3" xfId="5175" xr:uid="{00000000-0005-0000-0000-000047610000}"/>
    <cellStyle name="Normal 62 4 2 3 2" xfId="9121" xr:uid="{00000000-0005-0000-0000-000048610000}"/>
    <cellStyle name="Normal 62 4 2 3 2 2" xfId="18477" xr:uid="{00000000-0005-0000-0000-000049610000}"/>
    <cellStyle name="Normal 62 4 2 3 2 2 2" xfId="35051" xr:uid="{00000000-0005-0000-0000-00004A610000}"/>
    <cellStyle name="Normal 62 4 2 3 2 3" xfId="27004" xr:uid="{00000000-0005-0000-0000-00004B610000}"/>
    <cellStyle name="Normal 62 4 2 3 3" xfId="14683" xr:uid="{00000000-0005-0000-0000-00004C610000}"/>
    <cellStyle name="Normal 62 4 2 3 3 2" xfId="31231" xr:uid="{00000000-0005-0000-0000-00004D610000}"/>
    <cellStyle name="Normal 62 4 2 3 4" xfId="23188" xr:uid="{00000000-0005-0000-0000-00004E610000}"/>
    <cellStyle name="Normal 62 4 2 4" xfId="9122" xr:uid="{00000000-0005-0000-0000-00004F610000}"/>
    <cellStyle name="Normal 62 4 2 4 2" xfId="18478" xr:uid="{00000000-0005-0000-0000-000050610000}"/>
    <cellStyle name="Normal 62 4 2 4 2 2" xfId="35052" xr:uid="{00000000-0005-0000-0000-000051610000}"/>
    <cellStyle name="Normal 62 4 2 4 3" xfId="27005" xr:uid="{00000000-0005-0000-0000-000052610000}"/>
    <cellStyle name="Normal 62 4 2 5" xfId="14680" xr:uid="{00000000-0005-0000-0000-000053610000}"/>
    <cellStyle name="Normal 62 4 2 5 2" xfId="31228" xr:uid="{00000000-0005-0000-0000-000054610000}"/>
    <cellStyle name="Normal 62 4 2 6" xfId="23185" xr:uid="{00000000-0005-0000-0000-000055610000}"/>
    <cellStyle name="Normal 62 4 3" xfId="5176" xr:uid="{00000000-0005-0000-0000-000056610000}"/>
    <cellStyle name="Normal 62 4 3 2" xfId="5177" xr:uid="{00000000-0005-0000-0000-000057610000}"/>
    <cellStyle name="Normal 62 4 3 2 2" xfId="9123" xr:uid="{00000000-0005-0000-0000-000058610000}"/>
    <cellStyle name="Normal 62 4 3 2 2 2" xfId="18479" xr:uid="{00000000-0005-0000-0000-000059610000}"/>
    <cellStyle name="Normal 62 4 3 2 2 2 2" xfId="35053" xr:uid="{00000000-0005-0000-0000-00005A610000}"/>
    <cellStyle name="Normal 62 4 3 2 2 3" xfId="27006" xr:uid="{00000000-0005-0000-0000-00005B610000}"/>
    <cellStyle name="Normal 62 4 3 2 3" xfId="14685" xr:uid="{00000000-0005-0000-0000-00005C610000}"/>
    <cellStyle name="Normal 62 4 3 2 3 2" xfId="31233" xr:uid="{00000000-0005-0000-0000-00005D610000}"/>
    <cellStyle name="Normal 62 4 3 2 4" xfId="23190" xr:uid="{00000000-0005-0000-0000-00005E610000}"/>
    <cellStyle name="Normal 62 4 3 3" xfId="9124" xr:uid="{00000000-0005-0000-0000-00005F610000}"/>
    <cellStyle name="Normal 62 4 3 3 2" xfId="18480" xr:uid="{00000000-0005-0000-0000-000060610000}"/>
    <cellStyle name="Normal 62 4 3 3 2 2" xfId="35054" xr:uid="{00000000-0005-0000-0000-000061610000}"/>
    <cellStyle name="Normal 62 4 3 3 3" xfId="27007" xr:uid="{00000000-0005-0000-0000-000062610000}"/>
    <cellStyle name="Normal 62 4 3 4" xfId="14684" xr:uid="{00000000-0005-0000-0000-000063610000}"/>
    <cellStyle name="Normal 62 4 3 4 2" xfId="31232" xr:uid="{00000000-0005-0000-0000-000064610000}"/>
    <cellStyle name="Normal 62 4 3 5" xfId="23189" xr:uid="{00000000-0005-0000-0000-000065610000}"/>
    <cellStyle name="Normal 62 4 4" xfId="5178" xr:uid="{00000000-0005-0000-0000-000066610000}"/>
    <cellStyle name="Normal 62 4 4 2" xfId="9125" xr:uid="{00000000-0005-0000-0000-000067610000}"/>
    <cellStyle name="Normal 62 4 4 2 2" xfId="18481" xr:uid="{00000000-0005-0000-0000-000068610000}"/>
    <cellStyle name="Normal 62 4 4 2 2 2" xfId="35055" xr:uid="{00000000-0005-0000-0000-000069610000}"/>
    <cellStyle name="Normal 62 4 4 2 3" xfId="27008" xr:uid="{00000000-0005-0000-0000-00006A610000}"/>
    <cellStyle name="Normal 62 4 4 3" xfId="14686" xr:uid="{00000000-0005-0000-0000-00006B610000}"/>
    <cellStyle name="Normal 62 4 4 3 2" xfId="31234" xr:uid="{00000000-0005-0000-0000-00006C610000}"/>
    <cellStyle name="Normal 62 4 4 4" xfId="23191" xr:uid="{00000000-0005-0000-0000-00006D610000}"/>
    <cellStyle name="Normal 62 4 5" xfId="9126" xr:uid="{00000000-0005-0000-0000-00006E610000}"/>
    <cellStyle name="Normal 62 4 5 2" xfId="18482" xr:uid="{00000000-0005-0000-0000-00006F610000}"/>
    <cellStyle name="Normal 62 4 5 2 2" xfId="35056" xr:uid="{00000000-0005-0000-0000-000070610000}"/>
    <cellStyle name="Normal 62 4 5 3" xfId="27009" xr:uid="{00000000-0005-0000-0000-000071610000}"/>
    <cellStyle name="Normal 62 4 6" xfId="14679" xr:uid="{00000000-0005-0000-0000-000072610000}"/>
    <cellStyle name="Normal 62 4 6 2" xfId="31227" xr:uid="{00000000-0005-0000-0000-000073610000}"/>
    <cellStyle name="Normal 62 4 7" xfId="23184" xr:uid="{00000000-0005-0000-0000-000074610000}"/>
    <cellStyle name="Normal 62 5" xfId="5179" xr:uid="{00000000-0005-0000-0000-000075610000}"/>
    <cellStyle name="Normal 62 5 2" xfId="5180" xr:uid="{00000000-0005-0000-0000-000076610000}"/>
    <cellStyle name="Normal 62 5 2 2" xfId="5181" xr:uid="{00000000-0005-0000-0000-000077610000}"/>
    <cellStyle name="Normal 62 5 2 2 2" xfId="5182" xr:uid="{00000000-0005-0000-0000-000078610000}"/>
    <cellStyle name="Normal 62 5 2 2 2 2" xfId="9127" xr:uid="{00000000-0005-0000-0000-000079610000}"/>
    <cellStyle name="Normal 62 5 2 2 2 2 2" xfId="18483" xr:uid="{00000000-0005-0000-0000-00007A610000}"/>
    <cellStyle name="Normal 62 5 2 2 2 2 2 2" xfId="35057" xr:uid="{00000000-0005-0000-0000-00007B610000}"/>
    <cellStyle name="Normal 62 5 2 2 2 2 3" xfId="27010" xr:uid="{00000000-0005-0000-0000-00007C610000}"/>
    <cellStyle name="Normal 62 5 2 2 2 3" xfId="14690" xr:uid="{00000000-0005-0000-0000-00007D610000}"/>
    <cellStyle name="Normal 62 5 2 2 2 3 2" xfId="31238" xr:uid="{00000000-0005-0000-0000-00007E610000}"/>
    <cellStyle name="Normal 62 5 2 2 2 4" xfId="23195" xr:uid="{00000000-0005-0000-0000-00007F610000}"/>
    <cellStyle name="Normal 62 5 2 2 3" xfId="9128" xr:uid="{00000000-0005-0000-0000-000080610000}"/>
    <cellStyle name="Normal 62 5 2 2 3 2" xfId="18484" xr:uid="{00000000-0005-0000-0000-000081610000}"/>
    <cellStyle name="Normal 62 5 2 2 3 2 2" xfId="35058" xr:uid="{00000000-0005-0000-0000-000082610000}"/>
    <cellStyle name="Normal 62 5 2 2 3 3" xfId="27011" xr:uid="{00000000-0005-0000-0000-000083610000}"/>
    <cellStyle name="Normal 62 5 2 2 4" xfId="14689" xr:uid="{00000000-0005-0000-0000-000084610000}"/>
    <cellStyle name="Normal 62 5 2 2 4 2" xfId="31237" xr:uid="{00000000-0005-0000-0000-000085610000}"/>
    <cellStyle name="Normal 62 5 2 2 5" xfId="23194" xr:uid="{00000000-0005-0000-0000-000086610000}"/>
    <cellStyle name="Normal 62 5 2 3" xfId="5183" xr:uid="{00000000-0005-0000-0000-000087610000}"/>
    <cellStyle name="Normal 62 5 2 3 2" xfId="9129" xr:uid="{00000000-0005-0000-0000-000088610000}"/>
    <cellStyle name="Normal 62 5 2 3 2 2" xfId="18485" xr:uid="{00000000-0005-0000-0000-000089610000}"/>
    <cellStyle name="Normal 62 5 2 3 2 2 2" xfId="35059" xr:uid="{00000000-0005-0000-0000-00008A610000}"/>
    <cellStyle name="Normal 62 5 2 3 2 3" xfId="27012" xr:uid="{00000000-0005-0000-0000-00008B610000}"/>
    <cellStyle name="Normal 62 5 2 3 3" xfId="14691" xr:uid="{00000000-0005-0000-0000-00008C610000}"/>
    <cellStyle name="Normal 62 5 2 3 3 2" xfId="31239" xr:uid="{00000000-0005-0000-0000-00008D610000}"/>
    <cellStyle name="Normal 62 5 2 3 4" xfId="23196" xr:uid="{00000000-0005-0000-0000-00008E610000}"/>
    <cellStyle name="Normal 62 5 2 4" xfId="9130" xr:uid="{00000000-0005-0000-0000-00008F610000}"/>
    <cellStyle name="Normal 62 5 2 4 2" xfId="18486" xr:uid="{00000000-0005-0000-0000-000090610000}"/>
    <cellStyle name="Normal 62 5 2 4 2 2" xfId="35060" xr:uid="{00000000-0005-0000-0000-000091610000}"/>
    <cellStyle name="Normal 62 5 2 4 3" xfId="27013" xr:uid="{00000000-0005-0000-0000-000092610000}"/>
    <cellStyle name="Normal 62 5 2 5" xfId="14688" xr:uid="{00000000-0005-0000-0000-000093610000}"/>
    <cellStyle name="Normal 62 5 2 5 2" xfId="31236" xr:uid="{00000000-0005-0000-0000-000094610000}"/>
    <cellStyle name="Normal 62 5 2 6" xfId="23193" xr:uid="{00000000-0005-0000-0000-000095610000}"/>
    <cellStyle name="Normal 62 5 3" xfId="5184" xr:uid="{00000000-0005-0000-0000-000096610000}"/>
    <cellStyle name="Normal 62 5 3 2" xfId="5185" xr:uid="{00000000-0005-0000-0000-000097610000}"/>
    <cellStyle name="Normal 62 5 3 2 2" xfId="9131" xr:uid="{00000000-0005-0000-0000-000098610000}"/>
    <cellStyle name="Normal 62 5 3 2 2 2" xfId="18487" xr:uid="{00000000-0005-0000-0000-000099610000}"/>
    <cellStyle name="Normal 62 5 3 2 2 2 2" xfId="35061" xr:uid="{00000000-0005-0000-0000-00009A610000}"/>
    <cellStyle name="Normal 62 5 3 2 2 3" xfId="27014" xr:uid="{00000000-0005-0000-0000-00009B610000}"/>
    <cellStyle name="Normal 62 5 3 2 3" xfId="14693" xr:uid="{00000000-0005-0000-0000-00009C610000}"/>
    <cellStyle name="Normal 62 5 3 2 3 2" xfId="31241" xr:uid="{00000000-0005-0000-0000-00009D610000}"/>
    <cellStyle name="Normal 62 5 3 2 4" xfId="23198" xr:uid="{00000000-0005-0000-0000-00009E610000}"/>
    <cellStyle name="Normal 62 5 3 3" xfId="9132" xr:uid="{00000000-0005-0000-0000-00009F610000}"/>
    <cellStyle name="Normal 62 5 3 3 2" xfId="18488" xr:uid="{00000000-0005-0000-0000-0000A0610000}"/>
    <cellStyle name="Normal 62 5 3 3 2 2" xfId="35062" xr:uid="{00000000-0005-0000-0000-0000A1610000}"/>
    <cellStyle name="Normal 62 5 3 3 3" xfId="27015" xr:uid="{00000000-0005-0000-0000-0000A2610000}"/>
    <cellStyle name="Normal 62 5 3 4" xfId="14692" xr:uid="{00000000-0005-0000-0000-0000A3610000}"/>
    <cellStyle name="Normal 62 5 3 4 2" xfId="31240" xr:uid="{00000000-0005-0000-0000-0000A4610000}"/>
    <cellStyle name="Normal 62 5 3 5" xfId="23197" xr:uid="{00000000-0005-0000-0000-0000A5610000}"/>
    <cellStyle name="Normal 62 5 4" xfId="5186" xr:uid="{00000000-0005-0000-0000-0000A6610000}"/>
    <cellStyle name="Normal 62 5 4 2" xfId="9133" xr:uid="{00000000-0005-0000-0000-0000A7610000}"/>
    <cellStyle name="Normal 62 5 4 2 2" xfId="18489" xr:uid="{00000000-0005-0000-0000-0000A8610000}"/>
    <cellStyle name="Normal 62 5 4 2 2 2" xfId="35063" xr:uid="{00000000-0005-0000-0000-0000A9610000}"/>
    <cellStyle name="Normal 62 5 4 2 3" xfId="27016" xr:uid="{00000000-0005-0000-0000-0000AA610000}"/>
    <cellStyle name="Normal 62 5 4 3" xfId="14694" xr:uid="{00000000-0005-0000-0000-0000AB610000}"/>
    <cellStyle name="Normal 62 5 4 3 2" xfId="31242" xr:uid="{00000000-0005-0000-0000-0000AC610000}"/>
    <cellStyle name="Normal 62 5 4 4" xfId="23199" xr:uid="{00000000-0005-0000-0000-0000AD610000}"/>
    <cellStyle name="Normal 62 5 5" xfId="9134" xr:uid="{00000000-0005-0000-0000-0000AE610000}"/>
    <cellStyle name="Normal 62 5 5 2" xfId="18490" xr:uid="{00000000-0005-0000-0000-0000AF610000}"/>
    <cellStyle name="Normal 62 5 5 2 2" xfId="35064" xr:uid="{00000000-0005-0000-0000-0000B0610000}"/>
    <cellStyle name="Normal 62 5 5 3" xfId="27017" xr:uid="{00000000-0005-0000-0000-0000B1610000}"/>
    <cellStyle name="Normal 62 5 6" xfId="14687" xr:uid="{00000000-0005-0000-0000-0000B2610000}"/>
    <cellStyle name="Normal 62 5 6 2" xfId="31235" xr:uid="{00000000-0005-0000-0000-0000B3610000}"/>
    <cellStyle name="Normal 62 5 7" xfId="23192" xr:uid="{00000000-0005-0000-0000-0000B4610000}"/>
    <cellStyle name="Normal 62 6" xfId="5187" xr:uid="{00000000-0005-0000-0000-0000B5610000}"/>
    <cellStyle name="Normal 62 6 2" xfId="5188" xr:uid="{00000000-0005-0000-0000-0000B6610000}"/>
    <cellStyle name="Normal 62 6 2 2" xfId="5189" xr:uid="{00000000-0005-0000-0000-0000B7610000}"/>
    <cellStyle name="Normal 62 6 2 2 2" xfId="9135" xr:uid="{00000000-0005-0000-0000-0000B8610000}"/>
    <cellStyle name="Normal 62 6 2 2 2 2" xfId="18491" xr:uid="{00000000-0005-0000-0000-0000B9610000}"/>
    <cellStyle name="Normal 62 6 2 2 2 2 2" xfId="35065" xr:uid="{00000000-0005-0000-0000-0000BA610000}"/>
    <cellStyle name="Normal 62 6 2 2 2 3" xfId="27018" xr:uid="{00000000-0005-0000-0000-0000BB610000}"/>
    <cellStyle name="Normal 62 6 2 2 3" xfId="14697" xr:uid="{00000000-0005-0000-0000-0000BC610000}"/>
    <cellStyle name="Normal 62 6 2 2 3 2" xfId="31245" xr:uid="{00000000-0005-0000-0000-0000BD610000}"/>
    <cellStyle name="Normal 62 6 2 2 4" xfId="23202" xr:uid="{00000000-0005-0000-0000-0000BE610000}"/>
    <cellStyle name="Normal 62 6 2 3" xfId="9136" xr:uid="{00000000-0005-0000-0000-0000BF610000}"/>
    <cellStyle name="Normal 62 6 2 3 2" xfId="18492" xr:uid="{00000000-0005-0000-0000-0000C0610000}"/>
    <cellStyle name="Normal 62 6 2 3 2 2" xfId="35066" xr:uid="{00000000-0005-0000-0000-0000C1610000}"/>
    <cellStyle name="Normal 62 6 2 3 3" xfId="27019" xr:uid="{00000000-0005-0000-0000-0000C2610000}"/>
    <cellStyle name="Normal 62 6 2 4" xfId="14696" xr:uid="{00000000-0005-0000-0000-0000C3610000}"/>
    <cellStyle name="Normal 62 6 2 4 2" xfId="31244" xr:uid="{00000000-0005-0000-0000-0000C4610000}"/>
    <cellStyle name="Normal 62 6 2 5" xfId="23201" xr:uid="{00000000-0005-0000-0000-0000C5610000}"/>
    <cellStyle name="Normal 62 6 3" xfId="5190" xr:uid="{00000000-0005-0000-0000-0000C6610000}"/>
    <cellStyle name="Normal 62 6 3 2" xfId="9137" xr:uid="{00000000-0005-0000-0000-0000C7610000}"/>
    <cellStyle name="Normal 62 6 3 2 2" xfId="18493" xr:uid="{00000000-0005-0000-0000-0000C8610000}"/>
    <cellStyle name="Normal 62 6 3 2 2 2" xfId="35067" xr:uid="{00000000-0005-0000-0000-0000C9610000}"/>
    <cellStyle name="Normal 62 6 3 2 3" xfId="27020" xr:uid="{00000000-0005-0000-0000-0000CA610000}"/>
    <cellStyle name="Normal 62 6 3 3" xfId="14698" xr:uid="{00000000-0005-0000-0000-0000CB610000}"/>
    <cellStyle name="Normal 62 6 3 3 2" xfId="31246" xr:uid="{00000000-0005-0000-0000-0000CC610000}"/>
    <cellStyle name="Normal 62 6 3 4" xfId="23203" xr:uid="{00000000-0005-0000-0000-0000CD610000}"/>
    <cellStyle name="Normal 62 6 4" xfId="9138" xr:uid="{00000000-0005-0000-0000-0000CE610000}"/>
    <cellStyle name="Normal 62 6 4 2" xfId="18494" xr:uid="{00000000-0005-0000-0000-0000CF610000}"/>
    <cellStyle name="Normal 62 6 4 2 2" xfId="35068" xr:uid="{00000000-0005-0000-0000-0000D0610000}"/>
    <cellStyle name="Normal 62 6 4 3" xfId="27021" xr:uid="{00000000-0005-0000-0000-0000D1610000}"/>
    <cellStyle name="Normal 62 6 5" xfId="14695" xr:uid="{00000000-0005-0000-0000-0000D2610000}"/>
    <cellStyle name="Normal 62 6 5 2" xfId="31243" xr:uid="{00000000-0005-0000-0000-0000D3610000}"/>
    <cellStyle name="Normal 62 6 6" xfId="23200" xr:uid="{00000000-0005-0000-0000-0000D4610000}"/>
    <cellStyle name="Normal 62 7" xfId="5191" xr:uid="{00000000-0005-0000-0000-0000D5610000}"/>
    <cellStyle name="Normal 62 7 2" xfId="5192" xr:uid="{00000000-0005-0000-0000-0000D6610000}"/>
    <cellStyle name="Normal 62 7 2 2" xfId="9139" xr:uid="{00000000-0005-0000-0000-0000D7610000}"/>
    <cellStyle name="Normal 62 7 2 2 2" xfId="18495" xr:uid="{00000000-0005-0000-0000-0000D8610000}"/>
    <cellStyle name="Normal 62 7 2 2 2 2" xfId="35069" xr:uid="{00000000-0005-0000-0000-0000D9610000}"/>
    <cellStyle name="Normal 62 7 2 2 3" xfId="27022" xr:uid="{00000000-0005-0000-0000-0000DA610000}"/>
    <cellStyle name="Normal 62 7 2 3" xfId="14700" xr:uid="{00000000-0005-0000-0000-0000DB610000}"/>
    <cellStyle name="Normal 62 7 2 3 2" xfId="31248" xr:uid="{00000000-0005-0000-0000-0000DC610000}"/>
    <cellStyle name="Normal 62 7 2 4" xfId="23205" xr:uid="{00000000-0005-0000-0000-0000DD610000}"/>
    <cellStyle name="Normal 62 7 3" xfId="9140" xr:uid="{00000000-0005-0000-0000-0000DE610000}"/>
    <cellStyle name="Normal 62 7 3 2" xfId="18496" xr:uid="{00000000-0005-0000-0000-0000DF610000}"/>
    <cellStyle name="Normal 62 7 3 2 2" xfId="35070" xr:uid="{00000000-0005-0000-0000-0000E0610000}"/>
    <cellStyle name="Normal 62 7 3 3" xfId="27023" xr:uid="{00000000-0005-0000-0000-0000E1610000}"/>
    <cellStyle name="Normal 62 7 4" xfId="14699" xr:uid="{00000000-0005-0000-0000-0000E2610000}"/>
    <cellStyle name="Normal 62 7 4 2" xfId="31247" xr:uid="{00000000-0005-0000-0000-0000E3610000}"/>
    <cellStyle name="Normal 62 7 5" xfId="23204" xr:uid="{00000000-0005-0000-0000-0000E4610000}"/>
    <cellStyle name="Normal 62 8" xfId="5193" xr:uid="{00000000-0005-0000-0000-0000E5610000}"/>
    <cellStyle name="Normal 62 8 2" xfId="9141" xr:uid="{00000000-0005-0000-0000-0000E6610000}"/>
    <cellStyle name="Normal 62 8 2 2" xfId="18497" xr:uid="{00000000-0005-0000-0000-0000E7610000}"/>
    <cellStyle name="Normal 62 8 2 2 2" xfId="35071" xr:uid="{00000000-0005-0000-0000-0000E8610000}"/>
    <cellStyle name="Normal 62 8 2 3" xfId="27024" xr:uid="{00000000-0005-0000-0000-0000E9610000}"/>
    <cellStyle name="Normal 62 8 3" xfId="14701" xr:uid="{00000000-0005-0000-0000-0000EA610000}"/>
    <cellStyle name="Normal 62 8 3 2" xfId="31249" xr:uid="{00000000-0005-0000-0000-0000EB610000}"/>
    <cellStyle name="Normal 62 8 4" xfId="23206" xr:uid="{00000000-0005-0000-0000-0000EC610000}"/>
    <cellStyle name="Normal 62 9" xfId="9142" xr:uid="{00000000-0005-0000-0000-0000ED610000}"/>
    <cellStyle name="Normal 62 9 2" xfId="18498" xr:uid="{00000000-0005-0000-0000-0000EE610000}"/>
    <cellStyle name="Normal 62 9 2 2" xfId="35072" xr:uid="{00000000-0005-0000-0000-0000EF610000}"/>
    <cellStyle name="Normal 62 9 3" xfId="27025" xr:uid="{00000000-0005-0000-0000-0000F0610000}"/>
    <cellStyle name="Normal 63" xfId="5194" xr:uid="{00000000-0005-0000-0000-0000F1610000}"/>
    <cellStyle name="Normal 63 10" xfId="14702" xr:uid="{00000000-0005-0000-0000-0000F2610000}"/>
    <cellStyle name="Normal 63 10 2" xfId="31250" xr:uid="{00000000-0005-0000-0000-0000F3610000}"/>
    <cellStyle name="Normal 63 11" xfId="23207" xr:uid="{00000000-0005-0000-0000-0000F4610000}"/>
    <cellStyle name="Normal 63 2" xfId="5195" xr:uid="{00000000-0005-0000-0000-0000F5610000}"/>
    <cellStyle name="Normal 63 2 2" xfId="5196" xr:uid="{00000000-0005-0000-0000-0000F6610000}"/>
    <cellStyle name="Normal 63 2 3" xfId="14703" xr:uid="{00000000-0005-0000-0000-0000F7610000}"/>
    <cellStyle name="Normal 63 2 3 2" xfId="31251" xr:uid="{00000000-0005-0000-0000-0000F8610000}"/>
    <cellStyle name="Normal 63 2 4" xfId="23208" xr:uid="{00000000-0005-0000-0000-0000F9610000}"/>
    <cellStyle name="Normal 63 3" xfId="5197" xr:uid="{00000000-0005-0000-0000-0000FA610000}"/>
    <cellStyle name="Normal 63 3 2" xfId="5198" xr:uid="{00000000-0005-0000-0000-0000FB610000}"/>
    <cellStyle name="Normal 63 3 2 2" xfId="5199" xr:uid="{00000000-0005-0000-0000-0000FC610000}"/>
    <cellStyle name="Normal 63 3 2 2 2" xfId="5200" xr:uid="{00000000-0005-0000-0000-0000FD610000}"/>
    <cellStyle name="Normal 63 3 2 2 2 2" xfId="9143" xr:uid="{00000000-0005-0000-0000-0000FE610000}"/>
    <cellStyle name="Normal 63 3 2 2 2 2 2" xfId="18499" xr:uid="{00000000-0005-0000-0000-0000FF610000}"/>
    <cellStyle name="Normal 63 3 2 2 2 2 2 2" xfId="35073" xr:uid="{00000000-0005-0000-0000-000000620000}"/>
    <cellStyle name="Normal 63 3 2 2 2 2 3" xfId="27026" xr:uid="{00000000-0005-0000-0000-000001620000}"/>
    <cellStyle name="Normal 63 3 2 2 2 3" xfId="14706" xr:uid="{00000000-0005-0000-0000-000002620000}"/>
    <cellStyle name="Normal 63 3 2 2 2 3 2" xfId="31254" xr:uid="{00000000-0005-0000-0000-000003620000}"/>
    <cellStyle name="Normal 63 3 2 2 2 4" xfId="23211" xr:uid="{00000000-0005-0000-0000-000004620000}"/>
    <cellStyle name="Normal 63 3 2 2 3" xfId="9144" xr:uid="{00000000-0005-0000-0000-000005620000}"/>
    <cellStyle name="Normal 63 3 2 2 3 2" xfId="18500" xr:uid="{00000000-0005-0000-0000-000006620000}"/>
    <cellStyle name="Normal 63 3 2 2 3 2 2" xfId="35074" xr:uid="{00000000-0005-0000-0000-000007620000}"/>
    <cellStyle name="Normal 63 3 2 2 3 3" xfId="27027" xr:uid="{00000000-0005-0000-0000-000008620000}"/>
    <cellStyle name="Normal 63 3 2 2 4" xfId="14705" xr:uid="{00000000-0005-0000-0000-000009620000}"/>
    <cellStyle name="Normal 63 3 2 2 4 2" xfId="31253" xr:uid="{00000000-0005-0000-0000-00000A620000}"/>
    <cellStyle name="Normal 63 3 2 2 5" xfId="23210" xr:uid="{00000000-0005-0000-0000-00000B620000}"/>
    <cellStyle name="Normal 63 3 2 3" xfId="5201" xr:uid="{00000000-0005-0000-0000-00000C620000}"/>
    <cellStyle name="Normal 63 3 2 3 2" xfId="9145" xr:uid="{00000000-0005-0000-0000-00000D620000}"/>
    <cellStyle name="Normal 63 3 2 3 2 2" xfId="18501" xr:uid="{00000000-0005-0000-0000-00000E620000}"/>
    <cellStyle name="Normal 63 3 2 3 2 2 2" xfId="35075" xr:uid="{00000000-0005-0000-0000-00000F620000}"/>
    <cellStyle name="Normal 63 3 2 3 2 3" xfId="27028" xr:uid="{00000000-0005-0000-0000-000010620000}"/>
    <cellStyle name="Normal 63 3 2 3 3" xfId="14707" xr:uid="{00000000-0005-0000-0000-000011620000}"/>
    <cellStyle name="Normal 63 3 2 3 3 2" xfId="31255" xr:uid="{00000000-0005-0000-0000-000012620000}"/>
    <cellStyle name="Normal 63 3 2 3 4" xfId="23212" xr:uid="{00000000-0005-0000-0000-000013620000}"/>
    <cellStyle name="Normal 63 3 2 4" xfId="9146" xr:uid="{00000000-0005-0000-0000-000014620000}"/>
    <cellStyle name="Normal 63 3 2 4 2" xfId="18502" xr:uid="{00000000-0005-0000-0000-000015620000}"/>
    <cellStyle name="Normal 63 3 2 4 2 2" xfId="35076" xr:uid="{00000000-0005-0000-0000-000016620000}"/>
    <cellStyle name="Normal 63 3 2 4 3" xfId="27029" xr:uid="{00000000-0005-0000-0000-000017620000}"/>
    <cellStyle name="Normal 63 3 2 5" xfId="14704" xr:uid="{00000000-0005-0000-0000-000018620000}"/>
    <cellStyle name="Normal 63 3 2 5 2" xfId="31252" xr:uid="{00000000-0005-0000-0000-000019620000}"/>
    <cellStyle name="Normal 63 3 2 6" xfId="23209" xr:uid="{00000000-0005-0000-0000-00001A620000}"/>
    <cellStyle name="Normal 63 3 3" xfId="5202" xr:uid="{00000000-0005-0000-0000-00001B620000}"/>
    <cellStyle name="Normal 63 3 3 2" xfId="5203" xr:uid="{00000000-0005-0000-0000-00001C620000}"/>
    <cellStyle name="Normal 63 3 3 2 2" xfId="9147" xr:uid="{00000000-0005-0000-0000-00001D620000}"/>
    <cellStyle name="Normal 63 3 3 2 2 2" xfId="18503" xr:uid="{00000000-0005-0000-0000-00001E620000}"/>
    <cellStyle name="Normal 63 3 3 2 2 2 2" xfId="35077" xr:uid="{00000000-0005-0000-0000-00001F620000}"/>
    <cellStyle name="Normal 63 3 3 2 2 3" xfId="27030" xr:uid="{00000000-0005-0000-0000-000020620000}"/>
    <cellStyle name="Normal 63 3 3 2 3" xfId="14709" xr:uid="{00000000-0005-0000-0000-000021620000}"/>
    <cellStyle name="Normal 63 3 3 2 3 2" xfId="31257" xr:uid="{00000000-0005-0000-0000-000022620000}"/>
    <cellStyle name="Normal 63 3 3 2 4" xfId="23214" xr:uid="{00000000-0005-0000-0000-000023620000}"/>
    <cellStyle name="Normal 63 3 3 3" xfId="9148" xr:uid="{00000000-0005-0000-0000-000024620000}"/>
    <cellStyle name="Normal 63 3 3 3 2" xfId="18504" xr:uid="{00000000-0005-0000-0000-000025620000}"/>
    <cellStyle name="Normal 63 3 3 3 2 2" xfId="35078" xr:uid="{00000000-0005-0000-0000-000026620000}"/>
    <cellStyle name="Normal 63 3 3 3 3" xfId="27031" xr:uid="{00000000-0005-0000-0000-000027620000}"/>
    <cellStyle name="Normal 63 3 3 4" xfId="14708" xr:uid="{00000000-0005-0000-0000-000028620000}"/>
    <cellStyle name="Normal 63 3 3 4 2" xfId="31256" xr:uid="{00000000-0005-0000-0000-000029620000}"/>
    <cellStyle name="Normal 63 3 3 5" xfId="23213" xr:uid="{00000000-0005-0000-0000-00002A620000}"/>
    <cellStyle name="Normal 63 3 4" xfId="5204" xr:uid="{00000000-0005-0000-0000-00002B620000}"/>
    <cellStyle name="Normal 63 3 4 2" xfId="9149" xr:uid="{00000000-0005-0000-0000-00002C620000}"/>
    <cellStyle name="Normal 63 3 4 2 2" xfId="18505" xr:uid="{00000000-0005-0000-0000-00002D620000}"/>
    <cellStyle name="Normal 63 3 4 2 2 2" xfId="35079" xr:uid="{00000000-0005-0000-0000-00002E620000}"/>
    <cellStyle name="Normal 63 3 4 2 3" xfId="27032" xr:uid="{00000000-0005-0000-0000-00002F620000}"/>
    <cellStyle name="Normal 63 3 4 3" xfId="14710" xr:uid="{00000000-0005-0000-0000-000030620000}"/>
    <cellStyle name="Normal 63 3 4 3 2" xfId="31258" xr:uid="{00000000-0005-0000-0000-000031620000}"/>
    <cellStyle name="Normal 63 3 4 4" xfId="23215" xr:uid="{00000000-0005-0000-0000-000032620000}"/>
    <cellStyle name="Normal 63 3 5" xfId="5205" xr:uid="{00000000-0005-0000-0000-000033620000}"/>
    <cellStyle name="Normal 63 3 5 2" xfId="14711" xr:uid="{00000000-0005-0000-0000-000034620000}"/>
    <cellStyle name="Normal 63 3 5 2 2" xfId="31259" xr:uid="{00000000-0005-0000-0000-000035620000}"/>
    <cellStyle name="Normal 63 3 5 3" xfId="23216" xr:uid="{00000000-0005-0000-0000-000036620000}"/>
    <cellStyle name="Normal 63 4" xfId="5206" xr:uid="{00000000-0005-0000-0000-000037620000}"/>
    <cellStyle name="Normal 63 4 2" xfId="5207" xr:uid="{00000000-0005-0000-0000-000038620000}"/>
    <cellStyle name="Normal 63 4 2 2" xfId="5208" xr:uid="{00000000-0005-0000-0000-000039620000}"/>
    <cellStyle name="Normal 63 4 2 2 2" xfId="5209" xr:uid="{00000000-0005-0000-0000-00003A620000}"/>
    <cellStyle name="Normal 63 4 2 2 2 2" xfId="9150" xr:uid="{00000000-0005-0000-0000-00003B620000}"/>
    <cellStyle name="Normal 63 4 2 2 2 2 2" xfId="18506" xr:uid="{00000000-0005-0000-0000-00003C620000}"/>
    <cellStyle name="Normal 63 4 2 2 2 2 2 2" xfId="35080" xr:uid="{00000000-0005-0000-0000-00003D620000}"/>
    <cellStyle name="Normal 63 4 2 2 2 2 3" xfId="27033" xr:uid="{00000000-0005-0000-0000-00003E620000}"/>
    <cellStyle name="Normal 63 4 2 2 2 3" xfId="14715" xr:uid="{00000000-0005-0000-0000-00003F620000}"/>
    <cellStyle name="Normal 63 4 2 2 2 3 2" xfId="31263" xr:uid="{00000000-0005-0000-0000-000040620000}"/>
    <cellStyle name="Normal 63 4 2 2 2 4" xfId="23220" xr:uid="{00000000-0005-0000-0000-000041620000}"/>
    <cellStyle name="Normal 63 4 2 2 3" xfId="9151" xr:uid="{00000000-0005-0000-0000-000042620000}"/>
    <cellStyle name="Normal 63 4 2 2 3 2" xfId="18507" xr:uid="{00000000-0005-0000-0000-000043620000}"/>
    <cellStyle name="Normal 63 4 2 2 3 2 2" xfId="35081" xr:uid="{00000000-0005-0000-0000-000044620000}"/>
    <cellStyle name="Normal 63 4 2 2 3 3" xfId="27034" xr:uid="{00000000-0005-0000-0000-000045620000}"/>
    <cellStyle name="Normal 63 4 2 2 4" xfId="14714" xr:uid="{00000000-0005-0000-0000-000046620000}"/>
    <cellStyle name="Normal 63 4 2 2 4 2" xfId="31262" xr:uid="{00000000-0005-0000-0000-000047620000}"/>
    <cellStyle name="Normal 63 4 2 2 5" xfId="23219" xr:uid="{00000000-0005-0000-0000-000048620000}"/>
    <cellStyle name="Normal 63 4 2 3" xfId="5210" xr:uid="{00000000-0005-0000-0000-000049620000}"/>
    <cellStyle name="Normal 63 4 2 3 2" xfId="9152" xr:uid="{00000000-0005-0000-0000-00004A620000}"/>
    <cellStyle name="Normal 63 4 2 3 2 2" xfId="18508" xr:uid="{00000000-0005-0000-0000-00004B620000}"/>
    <cellStyle name="Normal 63 4 2 3 2 2 2" xfId="35082" xr:uid="{00000000-0005-0000-0000-00004C620000}"/>
    <cellStyle name="Normal 63 4 2 3 2 3" xfId="27035" xr:uid="{00000000-0005-0000-0000-00004D620000}"/>
    <cellStyle name="Normal 63 4 2 3 3" xfId="14716" xr:uid="{00000000-0005-0000-0000-00004E620000}"/>
    <cellStyle name="Normal 63 4 2 3 3 2" xfId="31264" xr:uid="{00000000-0005-0000-0000-00004F620000}"/>
    <cellStyle name="Normal 63 4 2 3 4" xfId="23221" xr:uid="{00000000-0005-0000-0000-000050620000}"/>
    <cellStyle name="Normal 63 4 2 4" xfId="9153" xr:uid="{00000000-0005-0000-0000-000051620000}"/>
    <cellStyle name="Normal 63 4 2 4 2" xfId="18509" xr:uid="{00000000-0005-0000-0000-000052620000}"/>
    <cellStyle name="Normal 63 4 2 4 2 2" xfId="35083" xr:uid="{00000000-0005-0000-0000-000053620000}"/>
    <cellStyle name="Normal 63 4 2 4 3" xfId="27036" xr:uid="{00000000-0005-0000-0000-000054620000}"/>
    <cellStyle name="Normal 63 4 2 5" xfId="14713" xr:uid="{00000000-0005-0000-0000-000055620000}"/>
    <cellStyle name="Normal 63 4 2 5 2" xfId="31261" xr:uid="{00000000-0005-0000-0000-000056620000}"/>
    <cellStyle name="Normal 63 4 2 6" xfId="23218" xr:uid="{00000000-0005-0000-0000-000057620000}"/>
    <cellStyle name="Normal 63 4 3" xfId="5211" xr:uid="{00000000-0005-0000-0000-000058620000}"/>
    <cellStyle name="Normal 63 4 3 2" xfId="5212" xr:uid="{00000000-0005-0000-0000-000059620000}"/>
    <cellStyle name="Normal 63 4 3 2 2" xfId="9154" xr:uid="{00000000-0005-0000-0000-00005A620000}"/>
    <cellStyle name="Normal 63 4 3 2 2 2" xfId="18510" xr:uid="{00000000-0005-0000-0000-00005B620000}"/>
    <cellStyle name="Normal 63 4 3 2 2 2 2" xfId="35084" xr:uid="{00000000-0005-0000-0000-00005C620000}"/>
    <cellStyle name="Normal 63 4 3 2 2 3" xfId="27037" xr:uid="{00000000-0005-0000-0000-00005D620000}"/>
    <cellStyle name="Normal 63 4 3 2 3" xfId="14718" xr:uid="{00000000-0005-0000-0000-00005E620000}"/>
    <cellStyle name="Normal 63 4 3 2 3 2" xfId="31266" xr:uid="{00000000-0005-0000-0000-00005F620000}"/>
    <cellStyle name="Normal 63 4 3 2 4" xfId="23223" xr:uid="{00000000-0005-0000-0000-000060620000}"/>
    <cellStyle name="Normal 63 4 3 3" xfId="9155" xr:uid="{00000000-0005-0000-0000-000061620000}"/>
    <cellStyle name="Normal 63 4 3 3 2" xfId="18511" xr:uid="{00000000-0005-0000-0000-000062620000}"/>
    <cellStyle name="Normal 63 4 3 3 2 2" xfId="35085" xr:uid="{00000000-0005-0000-0000-000063620000}"/>
    <cellStyle name="Normal 63 4 3 3 3" xfId="27038" xr:uid="{00000000-0005-0000-0000-000064620000}"/>
    <cellStyle name="Normal 63 4 3 4" xfId="14717" xr:uid="{00000000-0005-0000-0000-000065620000}"/>
    <cellStyle name="Normal 63 4 3 4 2" xfId="31265" xr:uid="{00000000-0005-0000-0000-000066620000}"/>
    <cellStyle name="Normal 63 4 3 5" xfId="23222" xr:uid="{00000000-0005-0000-0000-000067620000}"/>
    <cellStyle name="Normal 63 4 4" xfId="5213" xr:uid="{00000000-0005-0000-0000-000068620000}"/>
    <cellStyle name="Normal 63 4 4 2" xfId="9156" xr:uid="{00000000-0005-0000-0000-000069620000}"/>
    <cellStyle name="Normal 63 4 4 2 2" xfId="18512" xr:uid="{00000000-0005-0000-0000-00006A620000}"/>
    <cellStyle name="Normal 63 4 4 2 2 2" xfId="35086" xr:uid="{00000000-0005-0000-0000-00006B620000}"/>
    <cellStyle name="Normal 63 4 4 2 3" xfId="27039" xr:uid="{00000000-0005-0000-0000-00006C620000}"/>
    <cellStyle name="Normal 63 4 4 3" xfId="14719" xr:uid="{00000000-0005-0000-0000-00006D620000}"/>
    <cellStyle name="Normal 63 4 4 3 2" xfId="31267" xr:uid="{00000000-0005-0000-0000-00006E620000}"/>
    <cellStyle name="Normal 63 4 4 4" xfId="23224" xr:uid="{00000000-0005-0000-0000-00006F620000}"/>
    <cellStyle name="Normal 63 4 5" xfId="9157" xr:uid="{00000000-0005-0000-0000-000070620000}"/>
    <cellStyle name="Normal 63 4 5 2" xfId="18513" xr:uid="{00000000-0005-0000-0000-000071620000}"/>
    <cellStyle name="Normal 63 4 5 2 2" xfId="35087" xr:uid="{00000000-0005-0000-0000-000072620000}"/>
    <cellStyle name="Normal 63 4 5 3" xfId="27040" xr:uid="{00000000-0005-0000-0000-000073620000}"/>
    <cellStyle name="Normal 63 4 6" xfId="14712" xr:uid="{00000000-0005-0000-0000-000074620000}"/>
    <cellStyle name="Normal 63 4 6 2" xfId="31260" xr:uid="{00000000-0005-0000-0000-000075620000}"/>
    <cellStyle name="Normal 63 4 7" xfId="23217" xr:uid="{00000000-0005-0000-0000-000076620000}"/>
    <cellStyle name="Normal 63 5" xfId="5214" xr:uid="{00000000-0005-0000-0000-000077620000}"/>
    <cellStyle name="Normal 63 5 2" xfId="5215" xr:uid="{00000000-0005-0000-0000-000078620000}"/>
    <cellStyle name="Normal 63 5 2 2" xfId="5216" xr:uid="{00000000-0005-0000-0000-000079620000}"/>
    <cellStyle name="Normal 63 5 2 2 2" xfId="5217" xr:uid="{00000000-0005-0000-0000-00007A620000}"/>
    <cellStyle name="Normal 63 5 2 2 2 2" xfId="9158" xr:uid="{00000000-0005-0000-0000-00007B620000}"/>
    <cellStyle name="Normal 63 5 2 2 2 2 2" xfId="18514" xr:uid="{00000000-0005-0000-0000-00007C620000}"/>
    <cellStyle name="Normal 63 5 2 2 2 2 2 2" xfId="35088" xr:uid="{00000000-0005-0000-0000-00007D620000}"/>
    <cellStyle name="Normal 63 5 2 2 2 2 3" xfId="27041" xr:uid="{00000000-0005-0000-0000-00007E620000}"/>
    <cellStyle name="Normal 63 5 2 2 2 3" xfId="14723" xr:uid="{00000000-0005-0000-0000-00007F620000}"/>
    <cellStyle name="Normal 63 5 2 2 2 3 2" xfId="31271" xr:uid="{00000000-0005-0000-0000-000080620000}"/>
    <cellStyle name="Normal 63 5 2 2 2 4" xfId="23228" xr:uid="{00000000-0005-0000-0000-000081620000}"/>
    <cellStyle name="Normal 63 5 2 2 3" xfId="9159" xr:uid="{00000000-0005-0000-0000-000082620000}"/>
    <cellStyle name="Normal 63 5 2 2 3 2" xfId="18515" xr:uid="{00000000-0005-0000-0000-000083620000}"/>
    <cellStyle name="Normal 63 5 2 2 3 2 2" xfId="35089" xr:uid="{00000000-0005-0000-0000-000084620000}"/>
    <cellStyle name="Normal 63 5 2 2 3 3" xfId="27042" xr:uid="{00000000-0005-0000-0000-000085620000}"/>
    <cellStyle name="Normal 63 5 2 2 4" xfId="14722" xr:uid="{00000000-0005-0000-0000-000086620000}"/>
    <cellStyle name="Normal 63 5 2 2 4 2" xfId="31270" xr:uid="{00000000-0005-0000-0000-000087620000}"/>
    <cellStyle name="Normal 63 5 2 2 5" xfId="23227" xr:uid="{00000000-0005-0000-0000-000088620000}"/>
    <cellStyle name="Normal 63 5 2 3" xfId="5218" xr:uid="{00000000-0005-0000-0000-000089620000}"/>
    <cellStyle name="Normal 63 5 2 3 2" xfId="9160" xr:uid="{00000000-0005-0000-0000-00008A620000}"/>
    <cellStyle name="Normal 63 5 2 3 2 2" xfId="18516" xr:uid="{00000000-0005-0000-0000-00008B620000}"/>
    <cellStyle name="Normal 63 5 2 3 2 2 2" xfId="35090" xr:uid="{00000000-0005-0000-0000-00008C620000}"/>
    <cellStyle name="Normal 63 5 2 3 2 3" xfId="27043" xr:uid="{00000000-0005-0000-0000-00008D620000}"/>
    <cellStyle name="Normal 63 5 2 3 3" xfId="14724" xr:uid="{00000000-0005-0000-0000-00008E620000}"/>
    <cellStyle name="Normal 63 5 2 3 3 2" xfId="31272" xr:uid="{00000000-0005-0000-0000-00008F620000}"/>
    <cellStyle name="Normal 63 5 2 3 4" xfId="23229" xr:uid="{00000000-0005-0000-0000-000090620000}"/>
    <cellStyle name="Normal 63 5 2 4" xfId="9161" xr:uid="{00000000-0005-0000-0000-000091620000}"/>
    <cellStyle name="Normal 63 5 2 4 2" xfId="18517" xr:uid="{00000000-0005-0000-0000-000092620000}"/>
    <cellStyle name="Normal 63 5 2 4 2 2" xfId="35091" xr:uid="{00000000-0005-0000-0000-000093620000}"/>
    <cellStyle name="Normal 63 5 2 4 3" xfId="27044" xr:uid="{00000000-0005-0000-0000-000094620000}"/>
    <cellStyle name="Normal 63 5 2 5" xfId="14721" xr:uid="{00000000-0005-0000-0000-000095620000}"/>
    <cellStyle name="Normal 63 5 2 5 2" xfId="31269" xr:uid="{00000000-0005-0000-0000-000096620000}"/>
    <cellStyle name="Normal 63 5 2 6" xfId="23226" xr:uid="{00000000-0005-0000-0000-000097620000}"/>
    <cellStyle name="Normal 63 5 3" xfId="5219" xr:uid="{00000000-0005-0000-0000-000098620000}"/>
    <cellStyle name="Normal 63 5 3 2" xfId="5220" xr:uid="{00000000-0005-0000-0000-000099620000}"/>
    <cellStyle name="Normal 63 5 3 2 2" xfId="9162" xr:uid="{00000000-0005-0000-0000-00009A620000}"/>
    <cellStyle name="Normal 63 5 3 2 2 2" xfId="18518" xr:uid="{00000000-0005-0000-0000-00009B620000}"/>
    <cellStyle name="Normal 63 5 3 2 2 2 2" xfId="35092" xr:uid="{00000000-0005-0000-0000-00009C620000}"/>
    <cellStyle name="Normal 63 5 3 2 2 3" xfId="27045" xr:uid="{00000000-0005-0000-0000-00009D620000}"/>
    <cellStyle name="Normal 63 5 3 2 3" xfId="14726" xr:uid="{00000000-0005-0000-0000-00009E620000}"/>
    <cellStyle name="Normal 63 5 3 2 3 2" xfId="31274" xr:uid="{00000000-0005-0000-0000-00009F620000}"/>
    <cellStyle name="Normal 63 5 3 2 4" xfId="23231" xr:uid="{00000000-0005-0000-0000-0000A0620000}"/>
    <cellStyle name="Normal 63 5 3 3" xfId="9163" xr:uid="{00000000-0005-0000-0000-0000A1620000}"/>
    <cellStyle name="Normal 63 5 3 3 2" xfId="18519" xr:uid="{00000000-0005-0000-0000-0000A2620000}"/>
    <cellStyle name="Normal 63 5 3 3 2 2" xfId="35093" xr:uid="{00000000-0005-0000-0000-0000A3620000}"/>
    <cellStyle name="Normal 63 5 3 3 3" xfId="27046" xr:uid="{00000000-0005-0000-0000-0000A4620000}"/>
    <cellStyle name="Normal 63 5 3 4" xfId="14725" xr:uid="{00000000-0005-0000-0000-0000A5620000}"/>
    <cellStyle name="Normal 63 5 3 4 2" xfId="31273" xr:uid="{00000000-0005-0000-0000-0000A6620000}"/>
    <cellStyle name="Normal 63 5 3 5" xfId="23230" xr:uid="{00000000-0005-0000-0000-0000A7620000}"/>
    <cellStyle name="Normal 63 5 4" xfId="5221" xr:uid="{00000000-0005-0000-0000-0000A8620000}"/>
    <cellStyle name="Normal 63 5 4 2" xfId="9164" xr:uid="{00000000-0005-0000-0000-0000A9620000}"/>
    <cellStyle name="Normal 63 5 4 2 2" xfId="18520" xr:uid="{00000000-0005-0000-0000-0000AA620000}"/>
    <cellStyle name="Normal 63 5 4 2 2 2" xfId="35094" xr:uid="{00000000-0005-0000-0000-0000AB620000}"/>
    <cellStyle name="Normal 63 5 4 2 3" xfId="27047" xr:uid="{00000000-0005-0000-0000-0000AC620000}"/>
    <cellStyle name="Normal 63 5 4 3" xfId="14727" xr:uid="{00000000-0005-0000-0000-0000AD620000}"/>
    <cellStyle name="Normal 63 5 4 3 2" xfId="31275" xr:uid="{00000000-0005-0000-0000-0000AE620000}"/>
    <cellStyle name="Normal 63 5 4 4" xfId="23232" xr:uid="{00000000-0005-0000-0000-0000AF620000}"/>
    <cellStyle name="Normal 63 5 5" xfId="9165" xr:uid="{00000000-0005-0000-0000-0000B0620000}"/>
    <cellStyle name="Normal 63 5 5 2" xfId="18521" xr:uid="{00000000-0005-0000-0000-0000B1620000}"/>
    <cellStyle name="Normal 63 5 5 2 2" xfId="35095" xr:uid="{00000000-0005-0000-0000-0000B2620000}"/>
    <cellStyle name="Normal 63 5 5 3" xfId="27048" xr:uid="{00000000-0005-0000-0000-0000B3620000}"/>
    <cellStyle name="Normal 63 5 6" xfId="14720" xr:uid="{00000000-0005-0000-0000-0000B4620000}"/>
    <cellStyle name="Normal 63 5 6 2" xfId="31268" xr:uid="{00000000-0005-0000-0000-0000B5620000}"/>
    <cellStyle name="Normal 63 5 7" xfId="23225" xr:uid="{00000000-0005-0000-0000-0000B6620000}"/>
    <cellStyle name="Normal 63 6" xfId="5222" xr:uid="{00000000-0005-0000-0000-0000B7620000}"/>
    <cellStyle name="Normal 63 6 2" xfId="5223" xr:uid="{00000000-0005-0000-0000-0000B8620000}"/>
    <cellStyle name="Normal 63 6 2 2" xfId="5224" xr:uid="{00000000-0005-0000-0000-0000B9620000}"/>
    <cellStyle name="Normal 63 6 2 2 2" xfId="9166" xr:uid="{00000000-0005-0000-0000-0000BA620000}"/>
    <cellStyle name="Normal 63 6 2 2 2 2" xfId="18522" xr:uid="{00000000-0005-0000-0000-0000BB620000}"/>
    <cellStyle name="Normal 63 6 2 2 2 2 2" xfId="35096" xr:uid="{00000000-0005-0000-0000-0000BC620000}"/>
    <cellStyle name="Normal 63 6 2 2 2 3" xfId="27049" xr:uid="{00000000-0005-0000-0000-0000BD620000}"/>
    <cellStyle name="Normal 63 6 2 2 3" xfId="14730" xr:uid="{00000000-0005-0000-0000-0000BE620000}"/>
    <cellStyle name="Normal 63 6 2 2 3 2" xfId="31278" xr:uid="{00000000-0005-0000-0000-0000BF620000}"/>
    <cellStyle name="Normal 63 6 2 2 4" xfId="23235" xr:uid="{00000000-0005-0000-0000-0000C0620000}"/>
    <cellStyle name="Normal 63 6 2 3" xfId="9167" xr:uid="{00000000-0005-0000-0000-0000C1620000}"/>
    <cellStyle name="Normal 63 6 2 3 2" xfId="18523" xr:uid="{00000000-0005-0000-0000-0000C2620000}"/>
    <cellStyle name="Normal 63 6 2 3 2 2" xfId="35097" xr:uid="{00000000-0005-0000-0000-0000C3620000}"/>
    <cellStyle name="Normal 63 6 2 3 3" xfId="27050" xr:uid="{00000000-0005-0000-0000-0000C4620000}"/>
    <cellStyle name="Normal 63 6 2 4" xfId="14729" xr:uid="{00000000-0005-0000-0000-0000C5620000}"/>
    <cellStyle name="Normal 63 6 2 4 2" xfId="31277" xr:uid="{00000000-0005-0000-0000-0000C6620000}"/>
    <cellStyle name="Normal 63 6 2 5" xfId="23234" xr:uid="{00000000-0005-0000-0000-0000C7620000}"/>
    <cellStyle name="Normal 63 6 3" xfId="5225" xr:uid="{00000000-0005-0000-0000-0000C8620000}"/>
    <cellStyle name="Normal 63 6 3 2" xfId="9168" xr:uid="{00000000-0005-0000-0000-0000C9620000}"/>
    <cellStyle name="Normal 63 6 3 2 2" xfId="18524" xr:uid="{00000000-0005-0000-0000-0000CA620000}"/>
    <cellStyle name="Normal 63 6 3 2 2 2" xfId="35098" xr:uid="{00000000-0005-0000-0000-0000CB620000}"/>
    <cellStyle name="Normal 63 6 3 2 3" xfId="27051" xr:uid="{00000000-0005-0000-0000-0000CC620000}"/>
    <cellStyle name="Normal 63 6 3 3" xfId="14731" xr:uid="{00000000-0005-0000-0000-0000CD620000}"/>
    <cellStyle name="Normal 63 6 3 3 2" xfId="31279" xr:uid="{00000000-0005-0000-0000-0000CE620000}"/>
    <cellStyle name="Normal 63 6 3 4" xfId="23236" xr:uid="{00000000-0005-0000-0000-0000CF620000}"/>
    <cellStyle name="Normal 63 6 4" xfId="9169" xr:uid="{00000000-0005-0000-0000-0000D0620000}"/>
    <cellStyle name="Normal 63 6 4 2" xfId="18525" xr:uid="{00000000-0005-0000-0000-0000D1620000}"/>
    <cellStyle name="Normal 63 6 4 2 2" xfId="35099" xr:uid="{00000000-0005-0000-0000-0000D2620000}"/>
    <cellStyle name="Normal 63 6 4 3" xfId="27052" xr:uid="{00000000-0005-0000-0000-0000D3620000}"/>
    <cellStyle name="Normal 63 6 5" xfId="14728" xr:uid="{00000000-0005-0000-0000-0000D4620000}"/>
    <cellStyle name="Normal 63 6 5 2" xfId="31276" xr:uid="{00000000-0005-0000-0000-0000D5620000}"/>
    <cellStyle name="Normal 63 6 6" xfId="23233" xr:uid="{00000000-0005-0000-0000-0000D6620000}"/>
    <cellStyle name="Normal 63 7" xfId="5226" xr:uid="{00000000-0005-0000-0000-0000D7620000}"/>
    <cellStyle name="Normal 63 7 2" xfId="5227" xr:uid="{00000000-0005-0000-0000-0000D8620000}"/>
    <cellStyle name="Normal 63 7 2 2" xfId="9170" xr:uid="{00000000-0005-0000-0000-0000D9620000}"/>
    <cellStyle name="Normal 63 7 2 2 2" xfId="18526" xr:uid="{00000000-0005-0000-0000-0000DA620000}"/>
    <cellStyle name="Normal 63 7 2 2 2 2" xfId="35100" xr:uid="{00000000-0005-0000-0000-0000DB620000}"/>
    <cellStyle name="Normal 63 7 2 2 3" xfId="27053" xr:uid="{00000000-0005-0000-0000-0000DC620000}"/>
    <cellStyle name="Normal 63 7 2 3" xfId="14733" xr:uid="{00000000-0005-0000-0000-0000DD620000}"/>
    <cellStyle name="Normal 63 7 2 3 2" xfId="31281" xr:uid="{00000000-0005-0000-0000-0000DE620000}"/>
    <cellStyle name="Normal 63 7 2 4" xfId="23238" xr:uid="{00000000-0005-0000-0000-0000DF620000}"/>
    <cellStyle name="Normal 63 7 3" xfId="9171" xr:uid="{00000000-0005-0000-0000-0000E0620000}"/>
    <cellStyle name="Normal 63 7 3 2" xfId="18527" xr:uid="{00000000-0005-0000-0000-0000E1620000}"/>
    <cellStyle name="Normal 63 7 3 2 2" xfId="35101" xr:uid="{00000000-0005-0000-0000-0000E2620000}"/>
    <cellStyle name="Normal 63 7 3 3" xfId="27054" xr:uid="{00000000-0005-0000-0000-0000E3620000}"/>
    <cellStyle name="Normal 63 7 4" xfId="14732" xr:uid="{00000000-0005-0000-0000-0000E4620000}"/>
    <cellStyle name="Normal 63 7 4 2" xfId="31280" xr:uid="{00000000-0005-0000-0000-0000E5620000}"/>
    <cellStyle name="Normal 63 7 5" xfId="23237" xr:uid="{00000000-0005-0000-0000-0000E6620000}"/>
    <cellStyle name="Normal 63 8" xfId="5228" xr:uid="{00000000-0005-0000-0000-0000E7620000}"/>
    <cellStyle name="Normal 63 8 2" xfId="9172" xr:uid="{00000000-0005-0000-0000-0000E8620000}"/>
    <cellStyle name="Normal 63 8 2 2" xfId="18528" xr:uid="{00000000-0005-0000-0000-0000E9620000}"/>
    <cellStyle name="Normal 63 8 2 2 2" xfId="35102" xr:uid="{00000000-0005-0000-0000-0000EA620000}"/>
    <cellStyle name="Normal 63 8 2 3" xfId="27055" xr:uid="{00000000-0005-0000-0000-0000EB620000}"/>
    <cellStyle name="Normal 63 8 3" xfId="14734" xr:uid="{00000000-0005-0000-0000-0000EC620000}"/>
    <cellStyle name="Normal 63 8 3 2" xfId="31282" xr:uid="{00000000-0005-0000-0000-0000ED620000}"/>
    <cellStyle name="Normal 63 8 4" xfId="23239" xr:uid="{00000000-0005-0000-0000-0000EE620000}"/>
    <cellStyle name="Normal 63 9" xfId="9173" xr:uid="{00000000-0005-0000-0000-0000EF620000}"/>
    <cellStyle name="Normal 63 9 2" xfId="18529" xr:uid="{00000000-0005-0000-0000-0000F0620000}"/>
    <cellStyle name="Normal 63 9 2 2" xfId="35103" xr:uid="{00000000-0005-0000-0000-0000F1620000}"/>
    <cellStyle name="Normal 63 9 3" xfId="27056" xr:uid="{00000000-0005-0000-0000-0000F2620000}"/>
    <cellStyle name="Normal 64" xfId="5229" xr:uid="{00000000-0005-0000-0000-0000F3620000}"/>
    <cellStyle name="Normal 64 10" xfId="14735" xr:uid="{00000000-0005-0000-0000-0000F4620000}"/>
    <cellStyle name="Normal 64 10 2" xfId="31283" xr:uid="{00000000-0005-0000-0000-0000F5620000}"/>
    <cellStyle name="Normal 64 11" xfId="23240" xr:uid="{00000000-0005-0000-0000-0000F6620000}"/>
    <cellStyle name="Normal 64 2" xfId="5230" xr:uid="{00000000-0005-0000-0000-0000F7620000}"/>
    <cellStyle name="Normal 64 2 2" xfId="5231" xr:uid="{00000000-0005-0000-0000-0000F8620000}"/>
    <cellStyle name="Normal 64 2 3" xfId="14736" xr:uid="{00000000-0005-0000-0000-0000F9620000}"/>
    <cellStyle name="Normal 64 2 3 2" xfId="31284" xr:uid="{00000000-0005-0000-0000-0000FA620000}"/>
    <cellStyle name="Normal 64 2 4" xfId="23241" xr:uid="{00000000-0005-0000-0000-0000FB620000}"/>
    <cellStyle name="Normal 64 3" xfId="5232" xr:uid="{00000000-0005-0000-0000-0000FC620000}"/>
    <cellStyle name="Normal 64 3 2" xfId="5233" xr:uid="{00000000-0005-0000-0000-0000FD620000}"/>
    <cellStyle name="Normal 64 3 2 2" xfId="5234" xr:uid="{00000000-0005-0000-0000-0000FE620000}"/>
    <cellStyle name="Normal 64 3 2 2 2" xfId="5235" xr:uid="{00000000-0005-0000-0000-0000FF620000}"/>
    <cellStyle name="Normal 64 3 2 2 2 2" xfId="9174" xr:uid="{00000000-0005-0000-0000-000000630000}"/>
    <cellStyle name="Normal 64 3 2 2 2 2 2" xfId="18530" xr:uid="{00000000-0005-0000-0000-000001630000}"/>
    <cellStyle name="Normal 64 3 2 2 2 2 2 2" xfId="35104" xr:uid="{00000000-0005-0000-0000-000002630000}"/>
    <cellStyle name="Normal 64 3 2 2 2 2 3" xfId="27057" xr:uid="{00000000-0005-0000-0000-000003630000}"/>
    <cellStyle name="Normal 64 3 2 2 2 3" xfId="14739" xr:uid="{00000000-0005-0000-0000-000004630000}"/>
    <cellStyle name="Normal 64 3 2 2 2 3 2" xfId="31287" xr:uid="{00000000-0005-0000-0000-000005630000}"/>
    <cellStyle name="Normal 64 3 2 2 2 4" xfId="23244" xr:uid="{00000000-0005-0000-0000-000006630000}"/>
    <cellStyle name="Normal 64 3 2 2 3" xfId="9175" xr:uid="{00000000-0005-0000-0000-000007630000}"/>
    <cellStyle name="Normal 64 3 2 2 3 2" xfId="18531" xr:uid="{00000000-0005-0000-0000-000008630000}"/>
    <cellStyle name="Normal 64 3 2 2 3 2 2" xfId="35105" xr:uid="{00000000-0005-0000-0000-000009630000}"/>
    <cellStyle name="Normal 64 3 2 2 3 3" xfId="27058" xr:uid="{00000000-0005-0000-0000-00000A630000}"/>
    <cellStyle name="Normal 64 3 2 2 4" xfId="14738" xr:uid="{00000000-0005-0000-0000-00000B630000}"/>
    <cellStyle name="Normal 64 3 2 2 4 2" xfId="31286" xr:uid="{00000000-0005-0000-0000-00000C630000}"/>
    <cellStyle name="Normal 64 3 2 2 5" xfId="23243" xr:uid="{00000000-0005-0000-0000-00000D630000}"/>
    <cellStyle name="Normal 64 3 2 3" xfId="5236" xr:uid="{00000000-0005-0000-0000-00000E630000}"/>
    <cellStyle name="Normal 64 3 2 3 2" xfId="9176" xr:uid="{00000000-0005-0000-0000-00000F630000}"/>
    <cellStyle name="Normal 64 3 2 3 2 2" xfId="18532" xr:uid="{00000000-0005-0000-0000-000010630000}"/>
    <cellStyle name="Normal 64 3 2 3 2 2 2" xfId="35106" xr:uid="{00000000-0005-0000-0000-000011630000}"/>
    <cellStyle name="Normal 64 3 2 3 2 3" xfId="27059" xr:uid="{00000000-0005-0000-0000-000012630000}"/>
    <cellStyle name="Normal 64 3 2 3 3" xfId="14740" xr:uid="{00000000-0005-0000-0000-000013630000}"/>
    <cellStyle name="Normal 64 3 2 3 3 2" xfId="31288" xr:uid="{00000000-0005-0000-0000-000014630000}"/>
    <cellStyle name="Normal 64 3 2 3 4" xfId="23245" xr:uid="{00000000-0005-0000-0000-000015630000}"/>
    <cellStyle name="Normal 64 3 2 4" xfId="9177" xr:uid="{00000000-0005-0000-0000-000016630000}"/>
    <cellStyle name="Normal 64 3 2 4 2" xfId="18533" xr:uid="{00000000-0005-0000-0000-000017630000}"/>
    <cellStyle name="Normal 64 3 2 4 2 2" xfId="35107" xr:uid="{00000000-0005-0000-0000-000018630000}"/>
    <cellStyle name="Normal 64 3 2 4 3" xfId="27060" xr:uid="{00000000-0005-0000-0000-000019630000}"/>
    <cellStyle name="Normal 64 3 2 5" xfId="14737" xr:uid="{00000000-0005-0000-0000-00001A630000}"/>
    <cellStyle name="Normal 64 3 2 5 2" xfId="31285" xr:uid="{00000000-0005-0000-0000-00001B630000}"/>
    <cellStyle name="Normal 64 3 2 6" xfId="23242" xr:uid="{00000000-0005-0000-0000-00001C630000}"/>
    <cellStyle name="Normal 64 3 3" xfId="5237" xr:uid="{00000000-0005-0000-0000-00001D630000}"/>
    <cellStyle name="Normal 64 3 3 2" xfId="5238" xr:uid="{00000000-0005-0000-0000-00001E630000}"/>
    <cellStyle name="Normal 64 3 3 2 2" xfId="9178" xr:uid="{00000000-0005-0000-0000-00001F630000}"/>
    <cellStyle name="Normal 64 3 3 2 2 2" xfId="18534" xr:uid="{00000000-0005-0000-0000-000020630000}"/>
    <cellStyle name="Normal 64 3 3 2 2 2 2" xfId="35108" xr:uid="{00000000-0005-0000-0000-000021630000}"/>
    <cellStyle name="Normal 64 3 3 2 2 3" xfId="27061" xr:uid="{00000000-0005-0000-0000-000022630000}"/>
    <cellStyle name="Normal 64 3 3 2 3" xfId="14742" xr:uid="{00000000-0005-0000-0000-000023630000}"/>
    <cellStyle name="Normal 64 3 3 2 3 2" xfId="31290" xr:uid="{00000000-0005-0000-0000-000024630000}"/>
    <cellStyle name="Normal 64 3 3 2 4" xfId="23247" xr:uid="{00000000-0005-0000-0000-000025630000}"/>
    <cellStyle name="Normal 64 3 3 3" xfId="9179" xr:uid="{00000000-0005-0000-0000-000026630000}"/>
    <cellStyle name="Normal 64 3 3 3 2" xfId="18535" xr:uid="{00000000-0005-0000-0000-000027630000}"/>
    <cellStyle name="Normal 64 3 3 3 2 2" xfId="35109" xr:uid="{00000000-0005-0000-0000-000028630000}"/>
    <cellStyle name="Normal 64 3 3 3 3" xfId="27062" xr:uid="{00000000-0005-0000-0000-000029630000}"/>
    <cellStyle name="Normal 64 3 3 4" xfId="14741" xr:uid="{00000000-0005-0000-0000-00002A630000}"/>
    <cellStyle name="Normal 64 3 3 4 2" xfId="31289" xr:uid="{00000000-0005-0000-0000-00002B630000}"/>
    <cellStyle name="Normal 64 3 3 5" xfId="23246" xr:uid="{00000000-0005-0000-0000-00002C630000}"/>
    <cellStyle name="Normal 64 3 4" xfId="5239" xr:uid="{00000000-0005-0000-0000-00002D630000}"/>
    <cellStyle name="Normal 64 3 4 2" xfId="9180" xr:uid="{00000000-0005-0000-0000-00002E630000}"/>
    <cellStyle name="Normal 64 3 4 2 2" xfId="18536" xr:uid="{00000000-0005-0000-0000-00002F630000}"/>
    <cellStyle name="Normal 64 3 4 2 2 2" xfId="35110" xr:uid="{00000000-0005-0000-0000-000030630000}"/>
    <cellStyle name="Normal 64 3 4 2 3" xfId="27063" xr:uid="{00000000-0005-0000-0000-000031630000}"/>
    <cellStyle name="Normal 64 3 4 3" xfId="14743" xr:uid="{00000000-0005-0000-0000-000032630000}"/>
    <cellStyle name="Normal 64 3 4 3 2" xfId="31291" xr:uid="{00000000-0005-0000-0000-000033630000}"/>
    <cellStyle name="Normal 64 3 4 4" xfId="23248" xr:uid="{00000000-0005-0000-0000-000034630000}"/>
    <cellStyle name="Normal 64 3 5" xfId="5240" xr:uid="{00000000-0005-0000-0000-000035630000}"/>
    <cellStyle name="Normal 64 3 5 2" xfId="14744" xr:uid="{00000000-0005-0000-0000-000036630000}"/>
    <cellStyle name="Normal 64 3 5 2 2" xfId="31292" xr:uid="{00000000-0005-0000-0000-000037630000}"/>
    <cellStyle name="Normal 64 3 5 3" xfId="23249" xr:uid="{00000000-0005-0000-0000-000038630000}"/>
    <cellStyle name="Normal 64 4" xfId="5241" xr:uid="{00000000-0005-0000-0000-000039630000}"/>
    <cellStyle name="Normal 64 4 2" xfId="5242" xr:uid="{00000000-0005-0000-0000-00003A630000}"/>
    <cellStyle name="Normal 64 4 2 2" xfId="5243" xr:uid="{00000000-0005-0000-0000-00003B630000}"/>
    <cellStyle name="Normal 64 4 2 2 2" xfId="5244" xr:uid="{00000000-0005-0000-0000-00003C630000}"/>
    <cellStyle name="Normal 64 4 2 2 2 2" xfId="9181" xr:uid="{00000000-0005-0000-0000-00003D630000}"/>
    <cellStyle name="Normal 64 4 2 2 2 2 2" xfId="18537" xr:uid="{00000000-0005-0000-0000-00003E630000}"/>
    <cellStyle name="Normal 64 4 2 2 2 2 2 2" xfId="35111" xr:uid="{00000000-0005-0000-0000-00003F630000}"/>
    <cellStyle name="Normal 64 4 2 2 2 2 3" xfId="27064" xr:uid="{00000000-0005-0000-0000-000040630000}"/>
    <cellStyle name="Normal 64 4 2 2 2 3" xfId="14748" xr:uid="{00000000-0005-0000-0000-000041630000}"/>
    <cellStyle name="Normal 64 4 2 2 2 3 2" xfId="31296" xr:uid="{00000000-0005-0000-0000-000042630000}"/>
    <cellStyle name="Normal 64 4 2 2 2 4" xfId="23253" xr:uid="{00000000-0005-0000-0000-000043630000}"/>
    <cellStyle name="Normal 64 4 2 2 3" xfId="9182" xr:uid="{00000000-0005-0000-0000-000044630000}"/>
    <cellStyle name="Normal 64 4 2 2 3 2" xfId="18538" xr:uid="{00000000-0005-0000-0000-000045630000}"/>
    <cellStyle name="Normal 64 4 2 2 3 2 2" xfId="35112" xr:uid="{00000000-0005-0000-0000-000046630000}"/>
    <cellStyle name="Normal 64 4 2 2 3 3" xfId="27065" xr:uid="{00000000-0005-0000-0000-000047630000}"/>
    <cellStyle name="Normal 64 4 2 2 4" xfId="14747" xr:uid="{00000000-0005-0000-0000-000048630000}"/>
    <cellStyle name="Normal 64 4 2 2 4 2" xfId="31295" xr:uid="{00000000-0005-0000-0000-000049630000}"/>
    <cellStyle name="Normal 64 4 2 2 5" xfId="23252" xr:uid="{00000000-0005-0000-0000-00004A630000}"/>
    <cellStyle name="Normal 64 4 2 3" xfId="5245" xr:uid="{00000000-0005-0000-0000-00004B630000}"/>
    <cellStyle name="Normal 64 4 2 3 2" xfId="9183" xr:uid="{00000000-0005-0000-0000-00004C630000}"/>
    <cellStyle name="Normal 64 4 2 3 2 2" xfId="18539" xr:uid="{00000000-0005-0000-0000-00004D630000}"/>
    <cellStyle name="Normal 64 4 2 3 2 2 2" xfId="35113" xr:uid="{00000000-0005-0000-0000-00004E630000}"/>
    <cellStyle name="Normal 64 4 2 3 2 3" xfId="27066" xr:uid="{00000000-0005-0000-0000-00004F630000}"/>
    <cellStyle name="Normal 64 4 2 3 3" xfId="14749" xr:uid="{00000000-0005-0000-0000-000050630000}"/>
    <cellStyle name="Normal 64 4 2 3 3 2" xfId="31297" xr:uid="{00000000-0005-0000-0000-000051630000}"/>
    <cellStyle name="Normal 64 4 2 3 4" xfId="23254" xr:uid="{00000000-0005-0000-0000-000052630000}"/>
    <cellStyle name="Normal 64 4 2 4" xfId="9184" xr:uid="{00000000-0005-0000-0000-000053630000}"/>
    <cellStyle name="Normal 64 4 2 4 2" xfId="18540" xr:uid="{00000000-0005-0000-0000-000054630000}"/>
    <cellStyle name="Normal 64 4 2 4 2 2" xfId="35114" xr:uid="{00000000-0005-0000-0000-000055630000}"/>
    <cellStyle name="Normal 64 4 2 4 3" xfId="27067" xr:uid="{00000000-0005-0000-0000-000056630000}"/>
    <cellStyle name="Normal 64 4 2 5" xfId="14746" xr:uid="{00000000-0005-0000-0000-000057630000}"/>
    <cellStyle name="Normal 64 4 2 5 2" xfId="31294" xr:uid="{00000000-0005-0000-0000-000058630000}"/>
    <cellStyle name="Normal 64 4 2 6" xfId="23251" xr:uid="{00000000-0005-0000-0000-000059630000}"/>
    <cellStyle name="Normal 64 4 3" xfId="5246" xr:uid="{00000000-0005-0000-0000-00005A630000}"/>
    <cellStyle name="Normal 64 4 3 2" xfId="5247" xr:uid="{00000000-0005-0000-0000-00005B630000}"/>
    <cellStyle name="Normal 64 4 3 2 2" xfId="9185" xr:uid="{00000000-0005-0000-0000-00005C630000}"/>
    <cellStyle name="Normal 64 4 3 2 2 2" xfId="18541" xr:uid="{00000000-0005-0000-0000-00005D630000}"/>
    <cellStyle name="Normal 64 4 3 2 2 2 2" xfId="35115" xr:uid="{00000000-0005-0000-0000-00005E630000}"/>
    <cellStyle name="Normal 64 4 3 2 2 3" xfId="27068" xr:uid="{00000000-0005-0000-0000-00005F630000}"/>
    <cellStyle name="Normal 64 4 3 2 3" xfId="14751" xr:uid="{00000000-0005-0000-0000-000060630000}"/>
    <cellStyle name="Normal 64 4 3 2 3 2" xfId="31299" xr:uid="{00000000-0005-0000-0000-000061630000}"/>
    <cellStyle name="Normal 64 4 3 2 4" xfId="23256" xr:uid="{00000000-0005-0000-0000-000062630000}"/>
    <cellStyle name="Normal 64 4 3 3" xfId="9186" xr:uid="{00000000-0005-0000-0000-000063630000}"/>
    <cellStyle name="Normal 64 4 3 3 2" xfId="18542" xr:uid="{00000000-0005-0000-0000-000064630000}"/>
    <cellStyle name="Normal 64 4 3 3 2 2" xfId="35116" xr:uid="{00000000-0005-0000-0000-000065630000}"/>
    <cellStyle name="Normal 64 4 3 3 3" xfId="27069" xr:uid="{00000000-0005-0000-0000-000066630000}"/>
    <cellStyle name="Normal 64 4 3 4" xfId="14750" xr:uid="{00000000-0005-0000-0000-000067630000}"/>
    <cellStyle name="Normal 64 4 3 4 2" xfId="31298" xr:uid="{00000000-0005-0000-0000-000068630000}"/>
    <cellStyle name="Normal 64 4 3 5" xfId="23255" xr:uid="{00000000-0005-0000-0000-000069630000}"/>
    <cellStyle name="Normal 64 4 4" xfId="5248" xr:uid="{00000000-0005-0000-0000-00006A630000}"/>
    <cellStyle name="Normal 64 4 4 2" xfId="9187" xr:uid="{00000000-0005-0000-0000-00006B630000}"/>
    <cellStyle name="Normal 64 4 4 2 2" xfId="18543" xr:uid="{00000000-0005-0000-0000-00006C630000}"/>
    <cellStyle name="Normal 64 4 4 2 2 2" xfId="35117" xr:uid="{00000000-0005-0000-0000-00006D630000}"/>
    <cellStyle name="Normal 64 4 4 2 3" xfId="27070" xr:uid="{00000000-0005-0000-0000-00006E630000}"/>
    <cellStyle name="Normal 64 4 4 3" xfId="14752" xr:uid="{00000000-0005-0000-0000-00006F630000}"/>
    <cellStyle name="Normal 64 4 4 3 2" xfId="31300" xr:uid="{00000000-0005-0000-0000-000070630000}"/>
    <cellStyle name="Normal 64 4 4 4" xfId="23257" xr:uid="{00000000-0005-0000-0000-000071630000}"/>
    <cellStyle name="Normal 64 4 5" xfId="9188" xr:uid="{00000000-0005-0000-0000-000072630000}"/>
    <cellStyle name="Normal 64 4 5 2" xfId="18544" xr:uid="{00000000-0005-0000-0000-000073630000}"/>
    <cellStyle name="Normal 64 4 5 2 2" xfId="35118" xr:uid="{00000000-0005-0000-0000-000074630000}"/>
    <cellStyle name="Normal 64 4 5 3" xfId="27071" xr:uid="{00000000-0005-0000-0000-000075630000}"/>
    <cellStyle name="Normal 64 4 6" xfId="14745" xr:uid="{00000000-0005-0000-0000-000076630000}"/>
    <cellStyle name="Normal 64 4 6 2" xfId="31293" xr:uid="{00000000-0005-0000-0000-000077630000}"/>
    <cellStyle name="Normal 64 4 7" xfId="23250" xr:uid="{00000000-0005-0000-0000-000078630000}"/>
    <cellStyle name="Normal 64 5" xfId="5249" xr:uid="{00000000-0005-0000-0000-000079630000}"/>
    <cellStyle name="Normal 64 5 2" xfId="5250" xr:uid="{00000000-0005-0000-0000-00007A630000}"/>
    <cellStyle name="Normal 64 5 2 2" xfId="5251" xr:uid="{00000000-0005-0000-0000-00007B630000}"/>
    <cellStyle name="Normal 64 5 2 2 2" xfId="5252" xr:uid="{00000000-0005-0000-0000-00007C630000}"/>
    <cellStyle name="Normal 64 5 2 2 2 2" xfId="9189" xr:uid="{00000000-0005-0000-0000-00007D630000}"/>
    <cellStyle name="Normal 64 5 2 2 2 2 2" xfId="18545" xr:uid="{00000000-0005-0000-0000-00007E630000}"/>
    <cellStyle name="Normal 64 5 2 2 2 2 2 2" xfId="35119" xr:uid="{00000000-0005-0000-0000-00007F630000}"/>
    <cellStyle name="Normal 64 5 2 2 2 2 3" xfId="27072" xr:uid="{00000000-0005-0000-0000-000080630000}"/>
    <cellStyle name="Normal 64 5 2 2 2 3" xfId="14756" xr:uid="{00000000-0005-0000-0000-000081630000}"/>
    <cellStyle name="Normal 64 5 2 2 2 3 2" xfId="31304" xr:uid="{00000000-0005-0000-0000-000082630000}"/>
    <cellStyle name="Normal 64 5 2 2 2 4" xfId="23261" xr:uid="{00000000-0005-0000-0000-000083630000}"/>
    <cellStyle name="Normal 64 5 2 2 3" xfId="9190" xr:uid="{00000000-0005-0000-0000-000084630000}"/>
    <cellStyle name="Normal 64 5 2 2 3 2" xfId="18546" xr:uid="{00000000-0005-0000-0000-000085630000}"/>
    <cellStyle name="Normal 64 5 2 2 3 2 2" xfId="35120" xr:uid="{00000000-0005-0000-0000-000086630000}"/>
    <cellStyle name="Normal 64 5 2 2 3 3" xfId="27073" xr:uid="{00000000-0005-0000-0000-000087630000}"/>
    <cellStyle name="Normal 64 5 2 2 4" xfId="14755" xr:uid="{00000000-0005-0000-0000-000088630000}"/>
    <cellStyle name="Normal 64 5 2 2 4 2" xfId="31303" xr:uid="{00000000-0005-0000-0000-000089630000}"/>
    <cellStyle name="Normal 64 5 2 2 5" xfId="23260" xr:uid="{00000000-0005-0000-0000-00008A630000}"/>
    <cellStyle name="Normal 64 5 2 3" xfId="5253" xr:uid="{00000000-0005-0000-0000-00008B630000}"/>
    <cellStyle name="Normal 64 5 2 3 2" xfId="9191" xr:uid="{00000000-0005-0000-0000-00008C630000}"/>
    <cellStyle name="Normal 64 5 2 3 2 2" xfId="18547" xr:uid="{00000000-0005-0000-0000-00008D630000}"/>
    <cellStyle name="Normal 64 5 2 3 2 2 2" xfId="35121" xr:uid="{00000000-0005-0000-0000-00008E630000}"/>
    <cellStyle name="Normal 64 5 2 3 2 3" xfId="27074" xr:uid="{00000000-0005-0000-0000-00008F630000}"/>
    <cellStyle name="Normal 64 5 2 3 3" xfId="14757" xr:uid="{00000000-0005-0000-0000-000090630000}"/>
    <cellStyle name="Normal 64 5 2 3 3 2" xfId="31305" xr:uid="{00000000-0005-0000-0000-000091630000}"/>
    <cellStyle name="Normal 64 5 2 3 4" xfId="23262" xr:uid="{00000000-0005-0000-0000-000092630000}"/>
    <cellStyle name="Normal 64 5 2 4" xfId="9192" xr:uid="{00000000-0005-0000-0000-000093630000}"/>
    <cellStyle name="Normal 64 5 2 4 2" xfId="18548" xr:uid="{00000000-0005-0000-0000-000094630000}"/>
    <cellStyle name="Normal 64 5 2 4 2 2" xfId="35122" xr:uid="{00000000-0005-0000-0000-000095630000}"/>
    <cellStyle name="Normal 64 5 2 4 3" xfId="27075" xr:uid="{00000000-0005-0000-0000-000096630000}"/>
    <cellStyle name="Normal 64 5 2 5" xfId="14754" xr:uid="{00000000-0005-0000-0000-000097630000}"/>
    <cellStyle name="Normal 64 5 2 5 2" xfId="31302" xr:uid="{00000000-0005-0000-0000-000098630000}"/>
    <cellStyle name="Normal 64 5 2 6" xfId="23259" xr:uid="{00000000-0005-0000-0000-000099630000}"/>
    <cellStyle name="Normal 64 5 3" xfId="5254" xr:uid="{00000000-0005-0000-0000-00009A630000}"/>
    <cellStyle name="Normal 64 5 3 2" xfId="5255" xr:uid="{00000000-0005-0000-0000-00009B630000}"/>
    <cellStyle name="Normal 64 5 3 2 2" xfId="9193" xr:uid="{00000000-0005-0000-0000-00009C630000}"/>
    <cellStyle name="Normal 64 5 3 2 2 2" xfId="18549" xr:uid="{00000000-0005-0000-0000-00009D630000}"/>
    <cellStyle name="Normal 64 5 3 2 2 2 2" xfId="35123" xr:uid="{00000000-0005-0000-0000-00009E630000}"/>
    <cellStyle name="Normal 64 5 3 2 2 3" xfId="27076" xr:uid="{00000000-0005-0000-0000-00009F630000}"/>
    <cellStyle name="Normal 64 5 3 2 3" xfId="14759" xr:uid="{00000000-0005-0000-0000-0000A0630000}"/>
    <cellStyle name="Normal 64 5 3 2 3 2" xfId="31307" xr:uid="{00000000-0005-0000-0000-0000A1630000}"/>
    <cellStyle name="Normal 64 5 3 2 4" xfId="23264" xr:uid="{00000000-0005-0000-0000-0000A2630000}"/>
    <cellStyle name="Normal 64 5 3 3" xfId="9194" xr:uid="{00000000-0005-0000-0000-0000A3630000}"/>
    <cellStyle name="Normal 64 5 3 3 2" xfId="18550" xr:uid="{00000000-0005-0000-0000-0000A4630000}"/>
    <cellStyle name="Normal 64 5 3 3 2 2" xfId="35124" xr:uid="{00000000-0005-0000-0000-0000A5630000}"/>
    <cellStyle name="Normal 64 5 3 3 3" xfId="27077" xr:uid="{00000000-0005-0000-0000-0000A6630000}"/>
    <cellStyle name="Normal 64 5 3 4" xfId="14758" xr:uid="{00000000-0005-0000-0000-0000A7630000}"/>
    <cellStyle name="Normal 64 5 3 4 2" xfId="31306" xr:uid="{00000000-0005-0000-0000-0000A8630000}"/>
    <cellStyle name="Normal 64 5 3 5" xfId="23263" xr:uid="{00000000-0005-0000-0000-0000A9630000}"/>
    <cellStyle name="Normal 64 5 4" xfId="5256" xr:uid="{00000000-0005-0000-0000-0000AA630000}"/>
    <cellStyle name="Normal 64 5 4 2" xfId="9195" xr:uid="{00000000-0005-0000-0000-0000AB630000}"/>
    <cellStyle name="Normal 64 5 4 2 2" xfId="18551" xr:uid="{00000000-0005-0000-0000-0000AC630000}"/>
    <cellStyle name="Normal 64 5 4 2 2 2" xfId="35125" xr:uid="{00000000-0005-0000-0000-0000AD630000}"/>
    <cellStyle name="Normal 64 5 4 2 3" xfId="27078" xr:uid="{00000000-0005-0000-0000-0000AE630000}"/>
    <cellStyle name="Normal 64 5 4 3" xfId="14760" xr:uid="{00000000-0005-0000-0000-0000AF630000}"/>
    <cellStyle name="Normal 64 5 4 3 2" xfId="31308" xr:uid="{00000000-0005-0000-0000-0000B0630000}"/>
    <cellStyle name="Normal 64 5 4 4" xfId="23265" xr:uid="{00000000-0005-0000-0000-0000B1630000}"/>
    <cellStyle name="Normal 64 5 5" xfId="9196" xr:uid="{00000000-0005-0000-0000-0000B2630000}"/>
    <cellStyle name="Normal 64 5 5 2" xfId="18552" xr:uid="{00000000-0005-0000-0000-0000B3630000}"/>
    <cellStyle name="Normal 64 5 5 2 2" xfId="35126" xr:uid="{00000000-0005-0000-0000-0000B4630000}"/>
    <cellStyle name="Normal 64 5 5 3" xfId="27079" xr:uid="{00000000-0005-0000-0000-0000B5630000}"/>
    <cellStyle name="Normal 64 5 6" xfId="14753" xr:uid="{00000000-0005-0000-0000-0000B6630000}"/>
    <cellStyle name="Normal 64 5 6 2" xfId="31301" xr:uid="{00000000-0005-0000-0000-0000B7630000}"/>
    <cellStyle name="Normal 64 5 7" xfId="23258" xr:uid="{00000000-0005-0000-0000-0000B8630000}"/>
    <cellStyle name="Normal 64 6" xfId="5257" xr:uid="{00000000-0005-0000-0000-0000B9630000}"/>
    <cellStyle name="Normal 64 6 2" xfId="5258" xr:uid="{00000000-0005-0000-0000-0000BA630000}"/>
    <cellStyle name="Normal 64 6 2 2" xfId="5259" xr:uid="{00000000-0005-0000-0000-0000BB630000}"/>
    <cellStyle name="Normal 64 6 2 2 2" xfId="9197" xr:uid="{00000000-0005-0000-0000-0000BC630000}"/>
    <cellStyle name="Normal 64 6 2 2 2 2" xfId="18553" xr:uid="{00000000-0005-0000-0000-0000BD630000}"/>
    <cellStyle name="Normal 64 6 2 2 2 2 2" xfId="35127" xr:uid="{00000000-0005-0000-0000-0000BE630000}"/>
    <cellStyle name="Normal 64 6 2 2 2 3" xfId="27080" xr:uid="{00000000-0005-0000-0000-0000BF630000}"/>
    <cellStyle name="Normal 64 6 2 2 3" xfId="14763" xr:uid="{00000000-0005-0000-0000-0000C0630000}"/>
    <cellStyle name="Normal 64 6 2 2 3 2" xfId="31311" xr:uid="{00000000-0005-0000-0000-0000C1630000}"/>
    <cellStyle name="Normal 64 6 2 2 4" xfId="23268" xr:uid="{00000000-0005-0000-0000-0000C2630000}"/>
    <cellStyle name="Normal 64 6 2 3" xfId="9198" xr:uid="{00000000-0005-0000-0000-0000C3630000}"/>
    <cellStyle name="Normal 64 6 2 3 2" xfId="18554" xr:uid="{00000000-0005-0000-0000-0000C4630000}"/>
    <cellStyle name="Normal 64 6 2 3 2 2" xfId="35128" xr:uid="{00000000-0005-0000-0000-0000C5630000}"/>
    <cellStyle name="Normal 64 6 2 3 3" xfId="27081" xr:uid="{00000000-0005-0000-0000-0000C6630000}"/>
    <cellStyle name="Normal 64 6 2 4" xfId="14762" xr:uid="{00000000-0005-0000-0000-0000C7630000}"/>
    <cellStyle name="Normal 64 6 2 4 2" xfId="31310" xr:uid="{00000000-0005-0000-0000-0000C8630000}"/>
    <cellStyle name="Normal 64 6 2 5" xfId="23267" xr:uid="{00000000-0005-0000-0000-0000C9630000}"/>
    <cellStyle name="Normal 64 6 3" xfId="5260" xr:uid="{00000000-0005-0000-0000-0000CA630000}"/>
    <cellStyle name="Normal 64 6 3 2" xfId="9199" xr:uid="{00000000-0005-0000-0000-0000CB630000}"/>
    <cellStyle name="Normal 64 6 3 2 2" xfId="18555" xr:uid="{00000000-0005-0000-0000-0000CC630000}"/>
    <cellStyle name="Normal 64 6 3 2 2 2" xfId="35129" xr:uid="{00000000-0005-0000-0000-0000CD630000}"/>
    <cellStyle name="Normal 64 6 3 2 3" xfId="27082" xr:uid="{00000000-0005-0000-0000-0000CE630000}"/>
    <cellStyle name="Normal 64 6 3 3" xfId="14764" xr:uid="{00000000-0005-0000-0000-0000CF630000}"/>
    <cellStyle name="Normal 64 6 3 3 2" xfId="31312" xr:uid="{00000000-0005-0000-0000-0000D0630000}"/>
    <cellStyle name="Normal 64 6 3 4" xfId="23269" xr:uid="{00000000-0005-0000-0000-0000D1630000}"/>
    <cellStyle name="Normal 64 6 4" xfId="9200" xr:uid="{00000000-0005-0000-0000-0000D2630000}"/>
    <cellStyle name="Normal 64 6 4 2" xfId="18556" xr:uid="{00000000-0005-0000-0000-0000D3630000}"/>
    <cellStyle name="Normal 64 6 4 2 2" xfId="35130" xr:uid="{00000000-0005-0000-0000-0000D4630000}"/>
    <cellStyle name="Normal 64 6 4 3" xfId="27083" xr:uid="{00000000-0005-0000-0000-0000D5630000}"/>
    <cellStyle name="Normal 64 6 5" xfId="14761" xr:uid="{00000000-0005-0000-0000-0000D6630000}"/>
    <cellStyle name="Normal 64 6 5 2" xfId="31309" xr:uid="{00000000-0005-0000-0000-0000D7630000}"/>
    <cellStyle name="Normal 64 6 6" xfId="23266" xr:uid="{00000000-0005-0000-0000-0000D8630000}"/>
    <cellStyle name="Normal 64 7" xfId="5261" xr:uid="{00000000-0005-0000-0000-0000D9630000}"/>
    <cellStyle name="Normal 64 7 2" xfId="5262" xr:uid="{00000000-0005-0000-0000-0000DA630000}"/>
    <cellStyle name="Normal 64 7 2 2" xfId="9201" xr:uid="{00000000-0005-0000-0000-0000DB630000}"/>
    <cellStyle name="Normal 64 7 2 2 2" xfId="18557" xr:uid="{00000000-0005-0000-0000-0000DC630000}"/>
    <cellStyle name="Normal 64 7 2 2 2 2" xfId="35131" xr:uid="{00000000-0005-0000-0000-0000DD630000}"/>
    <cellStyle name="Normal 64 7 2 2 3" xfId="27084" xr:uid="{00000000-0005-0000-0000-0000DE630000}"/>
    <cellStyle name="Normal 64 7 2 3" xfId="14766" xr:uid="{00000000-0005-0000-0000-0000DF630000}"/>
    <cellStyle name="Normal 64 7 2 3 2" xfId="31314" xr:uid="{00000000-0005-0000-0000-0000E0630000}"/>
    <cellStyle name="Normal 64 7 2 4" xfId="23271" xr:uid="{00000000-0005-0000-0000-0000E1630000}"/>
    <cellStyle name="Normal 64 7 3" xfId="9202" xr:uid="{00000000-0005-0000-0000-0000E2630000}"/>
    <cellStyle name="Normal 64 7 3 2" xfId="18558" xr:uid="{00000000-0005-0000-0000-0000E3630000}"/>
    <cellStyle name="Normal 64 7 3 2 2" xfId="35132" xr:uid="{00000000-0005-0000-0000-0000E4630000}"/>
    <cellStyle name="Normal 64 7 3 3" xfId="27085" xr:uid="{00000000-0005-0000-0000-0000E5630000}"/>
    <cellStyle name="Normal 64 7 4" xfId="14765" xr:uid="{00000000-0005-0000-0000-0000E6630000}"/>
    <cellStyle name="Normal 64 7 4 2" xfId="31313" xr:uid="{00000000-0005-0000-0000-0000E7630000}"/>
    <cellStyle name="Normal 64 7 5" xfId="23270" xr:uid="{00000000-0005-0000-0000-0000E8630000}"/>
    <cellStyle name="Normal 64 8" xfId="5263" xr:uid="{00000000-0005-0000-0000-0000E9630000}"/>
    <cellStyle name="Normal 64 8 2" xfId="9203" xr:uid="{00000000-0005-0000-0000-0000EA630000}"/>
    <cellStyle name="Normal 64 8 2 2" xfId="18559" xr:uid="{00000000-0005-0000-0000-0000EB630000}"/>
    <cellStyle name="Normal 64 8 2 2 2" xfId="35133" xr:uid="{00000000-0005-0000-0000-0000EC630000}"/>
    <cellStyle name="Normal 64 8 2 3" xfId="27086" xr:uid="{00000000-0005-0000-0000-0000ED630000}"/>
    <cellStyle name="Normal 64 8 3" xfId="14767" xr:uid="{00000000-0005-0000-0000-0000EE630000}"/>
    <cellStyle name="Normal 64 8 3 2" xfId="31315" xr:uid="{00000000-0005-0000-0000-0000EF630000}"/>
    <cellStyle name="Normal 64 8 4" xfId="23272" xr:uid="{00000000-0005-0000-0000-0000F0630000}"/>
    <cellStyle name="Normal 64 9" xfId="9204" xr:uid="{00000000-0005-0000-0000-0000F1630000}"/>
    <cellStyle name="Normal 64 9 2" xfId="18560" xr:uid="{00000000-0005-0000-0000-0000F2630000}"/>
    <cellStyle name="Normal 64 9 2 2" xfId="35134" xr:uid="{00000000-0005-0000-0000-0000F3630000}"/>
    <cellStyle name="Normal 64 9 3" xfId="27087" xr:uid="{00000000-0005-0000-0000-0000F4630000}"/>
    <cellStyle name="Normal 65" xfId="5264" xr:uid="{00000000-0005-0000-0000-0000F5630000}"/>
    <cellStyle name="Normal 65 10" xfId="14768" xr:uid="{00000000-0005-0000-0000-0000F6630000}"/>
    <cellStyle name="Normal 65 10 2" xfId="31316" xr:uid="{00000000-0005-0000-0000-0000F7630000}"/>
    <cellStyle name="Normal 65 11" xfId="23273" xr:uid="{00000000-0005-0000-0000-0000F8630000}"/>
    <cellStyle name="Normal 65 2" xfId="5265" xr:uid="{00000000-0005-0000-0000-0000F9630000}"/>
    <cellStyle name="Normal 65 2 2" xfId="5266" xr:uid="{00000000-0005-0000-0000-0000FA630000}"/>
    <cellStyle name="Normal 65 2 3" xfId="14769" xr:uid="{00000000-0005-0000-0000-0000FB630000}"/>
    <cellStyle name="Normal 65 2 3 2" xfId="31317" xr:uid="{00000000-0005-0000-0000-0000FC630000}"/>
    <cellStyle name="Normal 65 2 4" xfId="23274" xr:uid="{00000000-0005-0000-0000-0000FD630000}"/>
    <cellStyle name="Normal 65 3" xfId="5267" xr:uid="{00000000-0005-0000-0000-0000FE630000}"/>
    <cellStyle name="Normal 65 3 2" xfId="5268" xr:uid="{00000000-0005-0000-0000-0000FF630000}"/>
    <cellStyle name="Normal 65 3 2 2" xfId="5269" xr:uid="{00000000-0005-0000-0000-000000640000}"/>
    <cellStyle name="Normal 65 3 2 2 2" xfId="5270" xr:uid="{00000000-0005-0000-0000-000001640000}"/>
    <cellStyle name="Normal 65 3 2 2 2 2" xfId="9205" xr:uid="{00000000-0005-0000-0000-000002640000}"/>
    <cellStyle name="Normal 65 3 2 2 2 2 2" xfId="18561" xr:uid="{00000000-0005-0000-0000-000003640000}"/>
    <cellStyle name="Normal 65 3 2 2 2 2 2 2" xfId="35135" xr:uid="{00000000-0005-0000-0000-000004640000}"/>
    <cellStyle name="Normal 65 3 2 2 2 2 3" xfId="27088" xr:uid="{00000000-0005-0000-0000-000005640000}"/>
    <cellStyle name="Normal 65 3 2 2 2 3" xfId="14772" xr:uid="{00000000-0005-0000-0000-000006640000}"/>
    <cellStyle name="Normal 65 3 2 2 2 3 2" xfId="31320" xr:uid="{00000000-0005-0000-0000-000007640000}"/>
    <cellStyle name="Normal 65 3 2 2 2 4" xfId="23277" xr:uid="{00000000-0005-0000-0000-000008640000}"/>
    <cellStyle name="Normal 65 3 2 2 3" xfId="9206" xr:uid="{00000000-0005-0000-0000-000009640000}"/>
    <cellStyle name="Normal 65 3 2 2 3 2" xfId="18562" xr:uid="{00000000-0005-0000-0000-00000A640000}"/>
    <cellStyle name="Normal 65 3 2 2 3 2 2" xfId="35136" xr:uid="{00000000-0005-0000-0000-00000B640000}"/>
    <cellStyle name="Normal 65 3 2 2 3 3" xfId="27089" xr:uid="{00000000-0005-0000-0000-00000C640000}"/>
    <cellStyle name="Normal 65 3 2 2 4" xfId="14771" xr:uid="{00000000-0005-0000-0000-00000D640000}"/>
    <cellStyle name="Normal 65 3 2 2 4 2" xfId="31319" xr:uid="{00000000-0005-0000-0000-00000E640000}"/>
    <cellStyle name="Normal 65 3 2 2 5" xfId="23276" xr:uid="{00000000-0005-0000-0000-00000F640000}"/>
    <cellStyle name="Normal 65 3 2 3" xfId="5271" xr:uid="{00000000-0005-0000-0000-000010640000}"/>
    <cellStyle name="Normal 65 3 2 3 2" xfId="9207" xr:uid="{00000000-0005-0000-0000-000011640000}"/>
    <cellStyle name="Normal 65 3 2 3 2 2" xfId="18563" xr:uid="{00000000-0005-0000-0000-000012640000}"/>
    <cellStyle name="Normal 65 3 2 3 2 2 2" xfId="35137" xr:uid="{00000000-0005-0000-0000-000013640000}"/>
    <cellStyle name="Normal 65 3 2 3 2 3" xfId="27090" xr:uid="{00000000-0005-0000-0000-000014640000}"/>
    <cellStyle name="Normal 65 3 2 3 3" xfId="14773" xr:uid="{00000000-0005-0000-0000-000015640000}"/>
    <cellStyle name="Normal 65 3 2 3 3 2" xfId="31321" xr:uid="{00000000-0005-0000-0000-000016640000}"/>
    <cellStyle name="Normal 65 3 2 3 4" xfId="23278" xr:uid="{00000000-0005-0000-0000-000017640000}"/>
    <cellStyle name="Normal 65 3 2 4" xfId="9208" xr:uid="{00000000-0005-0000-0000-000018640000}"/>
    <cellStyle name="Normal 65 3 2 4 2" xfId="18564" xr:uid="{00000000-0005-0000-0000-000019640000}"/>
    <cellStyle name="Normal 65 3 2 4 2 2" xfId="35138" xr:uid="{00000000-0005-0000-0000-00001A640000}"/>
    <cellStyle name="Normal 65 3 2 4 3" xfId="27091" xr:uid="{00000000-0005-0000-0000-00001B640000}"/>
    <cellStyle name="Normal 65 3 2 5" xfId="14770" xr:uid="{00000000-0005-0000-0000-00001C640000}"/>
    <cellStyle name="Normal 65 3 2 5 2" xfId="31318" xr:uid="{00000000-0005-0000-0000-00001D640000}"/>
    <cellStyle name="Normal 65 3 2 6" xfId="23275" xr:uid="{00000000-0005-0000-0000-00001E640000}"/>
    <cellStyle name="Normal 65 3 3" xfId="5272" xr:uid="{00000000-0005-0000-0000-00001F640000}"/>
    <cellStyle name="Normal 65 3 3 2" xfId="5273" xr:uid="{00000000-0005-0000-0000-000020640000}"/>
    <cellStyle name="Normal 65 3 3 2 2" xfId="9209" xr:uid="{00000000-0005-0000-0000-000021640000}"/>
    <cellStyle name="Normal 65 3 3 2 2 2" xfId="18565" xr:uid="{00000000-0005-0000-0000-000022640000}"/>
    <cellStyle name="Normal 65 3 3 2 2 2 2" xfId="35139" xr:uid="{00000000-0005-0000-0000-000023640000}"/>
    <cellStyle name="Normal 65 3 3 2 2 3" xfId="27092" xr:uid="{00000000-0005-0000-0000-000024640000}"/>
    <cellStyle name="Normal 65 3 3 2 3" xfId="14775" xr:uid="{00000000-0005-0000-0000-000025640000}"/>
    <cellStyle name="Normal 65 3 3 2 3 2" xfId="31323" xr:uid="{00000000-0005-0000-0000-000026640000}"/>
    <cellStyle name="Normal 65 3 3 2 4" xfId="23280" xr:uid="{00000000-0005-0000-0000-000027640000}"/>
    <cellStyle name="Normal 65 3 3 3" xfId="9210" xr:uid="{00000000-0005-0000-0000-000028640000}"/>
    <cellStyle name="Normal 65 3 3 3 2" xfId="18566" xr:uid="{00000000-0005-0000-0000-000029640000}"/>
    <cellStyle name="Normal 65 3 3 3 2 2" xfId="35140" xr:uid="{00000000-0005-0000-0000-00002A640000}"/>
    <cellStyle name="Normal 65 3 3 3 3" xfId="27093" xr:uid="{00000000-0005-0000-0000-00002B640000}"/>
    <cellStyle name="Normal 65 3 3 4" xfId="14774" xr:uid="{00000000-0005-0000-0000-00002C640000}"/>
    <cellStyle name="Normal 65 3 3 4 2" xfId="31322" xr:uid="{00000000-0005-0000-0000-00002D640000}"/>
    <cellStyle name="Normal 65 3 3 5" xfId="23279" xr:uid="{00000000-0005-0000-0000-00002E640000}"/>
    <cellStyle name="Normal 65 3 4" xfId="5274" xr:uid="{00000000-0005-0000-0000-00002F640000}"/>
    <cellStyle name="Normal 65 3 4 2" xfId="9211" xr:uid="{00000000-0005-0000-0000-000030640000}"/>
    <cellStyle name="Normal 65 3 4 2 2" xfId="18567" xr:uid="{00000000-0005-0000-0000-000031640000}"/>
    <cellStyle name="Normal 65 3 4 2 2 2" xfId="35141" xr:uid="{00000000-0005-0000-0000-000032640000}"/>
    <cellStyle name="Normal 65 3 4 2 3" xfId="27094" xr:uid="{00000000-0005-0000-0000-000033640000}"/>
    <cellStyle name="Normal 65 3 4 3" xfId="14776" xr:uid="{00000000-0005-0000-0000-000034640000}"/>
    <cellStyle name="Normal 65 3 4 3 2" xfId="31324" xr:uid="{00000000-0005-0000-0000-000035640000}"/>
    <cellStyle name="Normal 65 3 4 4" xfId="23281" xr:uid="{00000000-0005-0000-0000-000036640000}"/>
    <cellStyle name="Normal 65 3 5" xfId="5275" xr:uid="{00000000-0005-0000-0000-000037640000}"/>
    <cellStyle name="Normal 65 3 5 2" xfId="14777" xr:uid="{00000000-0005-0000-0000-000038640000}"/>
    <cellStyle name="Normal 65 3 5 2 2" xfId="31325" xr:uid="{00000000-0005-0000-0000-000039640000}"/>
    <cellStyle name="Normal 65 3 5 3" xfId="23282" xr:uid="{00000000-0005-0000-0000-00003A640000}"/>
    <cellStyle name="Normal 65 4" xfId="5276" xr:uid="{00000000-0005-0000-0000-00003B640000}"/>
    <cellStyle name="Normal 65 4 2" xfId="5277" xr:uid="{00000000-0005-0000-0000-00003C640000}"/>
    <cellStyle name="Normal 65 4 2 2" xfId="5278" xr:uid="{00000000-0005-0000-0000-00003D640000}"/>
    <cellStyle name="Normal 65 4 2 2 2" xfId="5279" xr:uid="{00000000-0005-0000-0000-00003E640000}"/>
    <cellStyle name="Normal 65 4 2 2 2 2" xfId="9212" xr:uid="{00000000-0005-0000-0000-00003F640000}"/>
    <cellStyle name="Normal 65 4 2 2 2 2 2" xfId="18568" xr:uid="{00000000-0005-0000-0000-000040640000}"/>
    <cellStyle name="Normal 65 4 2 2 2 2 2 2" xfId="35142" xr:uid="{00000000-0005-0000-0000-000041640000}"/>
    <cellStyle name="Normal 65 4 2 2 2 2 3" xfId="27095" xr:uid="{00000000-0005-0000-0000-000042640000}"/>
    <cellStyle name="Normal 65 4 2 2 2 3" xfId="14781" xr:uid="{00000000-0005-0000-0000-000043640000}"/>
    <cellStyle name="Normal 65 4 2 2 2 3 2" xfId="31329" xr:uid="{00000000-0005-0000-0000-000044640000}"/>
    <cellStyle name="Normal 65 4 2 2 2 4" xfId="23286" xr:uid="{00000000-0005-0000-0000-000045640000}"/>
    <cellStyle name="Normal 65 4 2 2 3" xfId="9213" xr:uid="{00000000-0005-0000-0000-000046640000}"/>
    <cellStyle name="Normal 65 4 2 2 3 2" xfId="18569" xr:uid="{00000000-0005-0000-0000-000047640000}"/>
    <cellStyle name="Normal 65 4 2 2 3 2 2" xfId="35143" xr:uid="{00000000-0005-0000-0000-000048640000}"/>
    <cellStyle name="Normal 65 4 2 2 3 3" xfId="27096" xr:uid="{00000000-0005-0000-0000-000049640000}"/>
    <cellStyle name="Normal 65 4 2 2 4" xfId="14780" xr:uid="{00000000-0005-0000-0000-00004A640000}"/>
    <cellStyle name="Normal 65 4 2 2 4 2" xfId="31328" xr:uid="{00000000-0005-0000-0000-00004B640000}"/>
    <cellStyle name="Normal 65 4 2 2 5" xfId="23285" xr:uid="{00000000-0005-0000-0000-00004C640000}"/>
    <cellStyle name="Normal 65 4 2 3" xfId="5280" xr:uid="{00000000-0005-0000-0000-00004D640000}"/>
    <cellStyle name="Normal 65 4 2 3 2" xfId="9214" xr:uid="{00000000-0005-0000-0000-00004E640000}"/>
    <cellStyle name="Normal 65 4 2 3 2 2" xfId="18570" xr:uid="{00000000-0005-0000-0000-00004F640000}"/>
    <cellStyle name="Normal 65 4 2 3 2 2 2" xfId="35144" xr:uid="{00000000-0005-0000-0000-000050640000}"/>
    <cellStyle name="Normal 65 4 2 3 2 3" xfId="27097" xr:uid="{00000000-0005-0000-0000-000051640000}"/>
    <cellStyle name="Normal 65 4 2 3 3" xfId="14782" xr:uid="{00000000-0005-0000-0000-000052640000}"/>
    <cellStyle name="Normal 65 4 2 3 3 2" xfId="31330" xr:uid="{00000000-0005-0000-0000-000053640000}"/>
    <cellStyle name="Normal 65 4 2 3 4" xfId="23287" xr:uid="{00000000-0005-0000-0000-000054640000}"/>
    <cellStyle name="Normal 65 4 2 4" xfId="9215" xr:uid="{00000000-0005-0000-0000-000055640000}"/>
    <cellStyle name="Normal 65 4 2 4 2" xfId="18571" xr:uid="{00000000-0005-0000-0000-000056640000}"/>
    <cellStyle name="Normal 65 4 2 4 2 2" xfId="35145" xr:uid="{00000000-0005-0000-0000-000057640000}"/>
    <cellStyle name="Normal 65 4 2 4 3" xfId="27098" xr:uid="{00000000-0005-0000-0000-000058640000}"/>
    <cellStyle name="Normal 65 4 2 5" xfId="14779" xr:uid="{00000000-0005-0000-0000-000059640000}"/>
    <cellStyle name="Normal 65 4 2 5 2" xfId="31327" xr:uid="{00000000-0005-0000-0000-00005A640000}"/>
    <cellStyle name="Normal 65 4 2 6" xfId="23284" xr:uid="{00000000-0005-0000-0000-00005B640000}"/>
    <cellStyle name="Normal 65 4 3" xfId="5281" xr:uid="{00000000-0005-0000-0000-00005C640000}"/>
    <cellStyle name="Normal 65 4 3 2" xfId="5282" xr:uid="{00000000-0005-0000-0000-00005D640000}"/>
    <cellStyle name="Normal 65 4 3 2 2" xfId="9216" xr:uid="{00000000-0005-0000-0000-00005E640000}"/>
    <cellStyle name="Normal 65 4 3 2 2 2" xfId="18572" xr:uid="{00000000-0005-0000-0000-00005F640000}"/>
    <cellStyle name="Normal 65 4 3 2 2 2 2" xfId="35146" xr:uid="{00000000-0005-0000-0000-000060640000}"/>
    <cellStyle name="Normal 65 4 3 2 2 3" xfId="27099" xr:uid="{00000000-0005-0000-0000-000061640000}"/>
    <cellStyle name="Normal 65 4 3 2 3" xfId="14784" xr:uid="{00000000-0005-0000-0000-000062640000}"/>
    <cellStyle name="Normal 65 4 3 2 3 2" xfId="31332" xr:uid="{00000000-0005-0000-0000-000063640000}"/>
    <cellStyle name="Normal 65 4 3 2 4" xfId="23289" xr:uid="{00000000-0005-0000-0000-000064640000}"/>
    <cellStyle name="Normal 65 4 3 3" xfId="9217" xr:uid="{00000000-0005-0000-0000-000065640000}"/>
    <cellStyle name="Normal 65 4 3 3 2" xfId="18573" xr:uid="{00000000-0005-0000-0000-000066640000}"/>
    <cellStyle name="Normal 65 4 3 3 2 2" xfId="35147" xr:uid="{00000000-0005-0000-0000-000067640000}"/>
    <cellStyle name="Normal 65 4 3 3 3" xfId="27100" xr:uid="{00000000-0005-0000-0000-000068640000}"/>
    <cellStyle name="Normal 65 4 3 4" xfId="14783" xr:uid="{00000000-0005-0000-0000-000069640000}"/>
    <cellStyle name="Normal 65 4 3 4 2" xfId="31331" xr:uid="{00000000-0005-0000-0000-00006A640000}"/>
    <cellStyle name="Normal 65 4 3 5" xfId="23288" xr:uid="{00000000-0005-0000-0000-00006B640000}"/>
    <cellStyle name="Normal 65 4 4" xfId="5283" xr:uid="{00000000-0005-0000-0000-00006C640000}"/>
    <cellStyle name="Normal 65 4 4 2" xfId="9218" xr:uid="{00000000-0005-0000-0000-00006D640000}"/>
    <cellStyle name="Normal 65 4 4 2 2" xfId="18574" xr:uid="{00000000-0005-0000-0000-00006E640000}"/>
    <cellStyle name="Normal 65 4 4 2 2 2" xfId="35148" xr:uid="{00000000-0005-0000-0000-00006F640000}"/>
    <cellStyle name="Normal 65 4 4 2 3" xfId="27101" xr:uid="{00000000-0005-0000-0000-000070640000}"/>
    <cellStyle name="Normal 65 4 4 3" xfId="14785" xr:uid="{00000000-0005-0000-0000-000071640000}"/>
    <cellStyle name="Normal 65 4 4 3 2" xfId="31333" xr:uid="{00000000-0005-0000-0000-000072640000}"/>
    <cellStyle name="Normal 65 4 4 4" xfId="23290" xr:uid="{00000000-0005-0000-0000-000073640000}"/>
    <cellStyle name="Normal 65 4 5" xfId="9219" xr:uid="{00000000-0005-0000-0000-000074640000}"/>
    <cellStyle name="Normal 65 4 5 2" xfId="18575" xr:uid="{00000000-0005-0000-0000-000075640000}"/>
    <cellStyle name="Normal 65 4 5 2 2" xfId="35149" xr:uid="{00000000-0005-0000-0000-000076640000}"/>
    <cellStyle name="Normal 65 4 5 3" xfId="27102" xr:uid="{00000000-0005-0000-0000-000077640000}"/>
    <cellStyle name="Normal 65 4 6" xfId="14778" xr:uid="{00000000-0005-0000-0000-000078640000}"/>
    <cellStyle name="Normal 65 4 6 2" xfId="31326" xr:uid="{00000000-0005-0000-0000-000079640000}"/>
    <cellStyle name="Normal 65 4 7" xfId="23283" xr:uid="{00000000-0005-0000-0000-00007A640000}"/>
    <cellStyle name="Normal 65 5" xfId="5284" xr:uid="{00000000-0005-0000-0000-00007B640000}"/>
    <cellStyle name="Normal 65 5 2" xfId="5285" xr:uid="{00000000-0005-0000-0000-00007C640000}"/>
    <cellStyle name="Normal 65 5 2 2" xfId="5286" xr:uid="{00000000-0005-0000-0000-00007D640000}"/>
    <cellStyle name="Normal 65 5 2 2 2" xfId="5287" xr:uid="{00000000-0005-0000-0000-00007E640000}"/>
    <cellStyle name="Normal 65 5 2 2 2 2" xfId="9220" xr:uid="{00000000-0005-0000-0000-00007F640000}"/>
    <cellStyle name="Normal 65 5 2 2 2 2 2" xfId="18576" xr:uid="{00000000-0005-0000-0000-000080640000}"/>
    <cellStyle name="Normal 65 5 2 2 2 2 2 2" xfId="35150" xr:uid="{00000000-0005-0000-0000-000081640000}"/>
    <cellStyle name="Normal 65 5 2 2 2 2 3" xfId="27103" xr:uid="{00000000-0005-0000-0000-000082640000}"/>
    <cellStyle name="Normal 65 5 2 2 2 3" xfId="14789" xr:uid="{00000000-0005-0000-0000-000083640000}"/>
    <cellStyle name="Normal 65 5 2 2 2 3 2" xfId="31337" xr:uid="{00000000-0005-0000-0000-000084640000}"/>
    <cellStyle name="Normal 65 5 2 2 2 4" xfId="23294" xr:uid="{00000000-0005-0000-0000-000085640000}"/>
    <cellStyle name="Normal 65 5 2 2 3" xfId="9221" xr:uid="{00000000-0005-0000-0000-000086640000}"/>
    <cellStyle name="Normal 65 5 2 2 3 2" xfId="18577" xr:uid="{00000000-0005-0000-0000-000087640000}"/>
    <cellStyle name="Normal 65 5 2 2 3 2 2" xfId="35151" xr:uid="{00000000-0005-0000-0000-000088640000}"/>
    <cellStyle name="Normal 65 5 2 2 3 3" xfId="27104" xr:uid="{00000000-0005-0000-0000-000089640000}"/>
    <cellStyle name="Normal 65 5 2 2 4" xfId="14788" xr:uid="{00000000-0005-0000-0000-00008A640000}"/>
    <cellStyle name="Normal 65 5 2 2 4 2" xfId="31336" xr:uid="{00000000-0005-0000-0000-00008B640000}"/>
    <cellStyle name="Normal 65 5 2 2 5" xfId="23293" xr:uid="{00000000-0005-0000-0000-00008C640000}"/>
    <cellStyle name="Normal 65 5 2 3" xfId="5288" xr:uid="{00000000-0005-0000-0000-00008D640000}"/>
    <cellStyle name="Normal 65 5 2 3 2" xfId="9222" xr:uid="{00000000-0005-0000-0000-00008E640000}"/>
    <cellStyle name="Normal 65 5 2 3 2 2" xfId="18578" xr:uid="{00000000-0005-0000-0000-00008F640000}"/>
    <cellStyle name="Normal 65 5 2 3 2 2 2" xfId="35152" xr:uid="{00000000-0005-0000-0000-000090640000}"/>
    <cellStyle name="Normal 65 5 2 3 2 3" xfId="27105" xr:uid="{00000000-0005-0000-0000-000091640000}"/>
    <cellStyle name="Normal 65 5 2 3 3" xfId="14790" xr:uid="{00000000-0005-0000-0000-000092640000}"/>
    <cellStyle name="Normal 65 5 2 3 3 2" xfId="31338" xr:uid="{00000000-0005-0000-0000-000093640000}"/>
    <cellStyle name="Normal 65 5 2 3 4" xfId="23295" xr:uid="{00000000-0005-0000-0000-000094640000}"/>
    <cellStyle name="Normal 65 5 2 4" xfId="9223" xr:uid="{00000000-0005-0000-0000-000095640000}"/>
    <cellStyle name="Normal 65 5 2 4 2" xfId="18579" xr:uid="{00000000-0005-0000-0000-000096640000}"/>
    <cellStyle name="Normal 65 5 2 4 2 2" xfId="35153" xr:uid="{00000000-0005-0000-0000-000097640000}"/>
    <cellStyle name="Normal 65 5 2 4 3" xfId="27106" xr:uid="{00000000-0005-0000-0000-000098640000}"/>
    <cellStyle name="Normal 65 5 2 5" xfId="14787" xr:uid="{00000000-0005-0000-0000-000099640000}"/>
    <cellStyle name="Normal 65 5 2 5 2" xfId="31335" xr:uid="{00000000-0005-0000-0000-00009A640000}"/>
    <cellStyle name="Normal 65 5 2 6" xfId="23292" xr:uid="{00000000-0005-0000-0000-00009B640000}"/>
    <cellStyle name="Normal 65 5 3" xfId="5289" xr:uid="{00000000-0005-0000-0000-00009C640000}"/>
    <cellStyle name="Normal 65 5 3 2" xfId="5290" xr:uid="{00000000-0005-0000-0000-00009D640000}"/>
    <cellStyle name="Normal 65 5 3 2 2" xfId="9224" xr:uid="{00000000-0005-0000-0000-00009E640000}"/>
    <cellStyle name="Normal 65 5 3 2 2 2" xfId="18580" xr:uid="{00000000-0005-0000-0000-00009F640000}"/>
    <cellStyle name="Normal 65 5 3 2 2 2 2" xfId="35154" xr:uid="{00000000-0005-0000-0000-0000A0640000}"/>
    <cellStyle name="Normal 65 5 3 2 2 3" xfId="27107" xr:uid="{00000000-0005-0000-0000-0000A1640000}"/>
    <cellStyle name="Normal 65 5 3 2 3" xfId="14792" xr:uid="{00000000-0005-0000-0000-0000A2640000}"/>
    <cellStyle name="Normal 65 5 3 2 3 2" xfId="31340" xr:uid="{00000000-0005-0000-0000-0000A3640000}"/>
    <cellStyle name="Normal 65 5 3 2 4" xfId="23297" xr:uid="{00000000-0005-0000-0000-0000A4640000}"/>
    <cellStyle name="Normal 65 5 3 3" xfId="9225" xr:uid="{00000000-0005-0000-0000-0000A5640000}"/>
    <cellStyle name="Normal 65 5 3 3 2" xfId="18581" xr:uid="{00000000-0005-0000-0000-0000A6640000}"/>
    <cellStyle name="Normal 65 5 3 3 2 2" xfId="35155" xr:uid="{00000000-0005-0000-0000-0000A7640000}"/>
    <cellStyle name="Normal 65 5 3 3 3" xfId="27108" xr:uid="{00000000-0005-0000-0000-0000A8640000}"/>
    <cellStyle name="Normal 65 5 3 4" xfId="14791" xr:uid="{00000000-0005-0000-0000-0000A9640000}"/>
    <cellStyle name="Normal 65 5 3 4 2" xfId="31339" xr:uid="{00000000-0005-0000-0000-0000AA640000}"/>
    <cellStyle name="Normal 65 5 3 5" xfId="23296" xr:uid="{00000000-0005-0000-0000-0000AB640000}"/>
    <cellStyle name="Normal 65 5 4" xfId="5291" xr:uid="{00000000-0005-0000-0000-0000AC640000}"/>
    <cellStyle name="Normal 65 5 4 2" xfId="9226" xr:uid="{00000000-0005-0000-0000-0000AD640000}"/>
    <cellStyle name="Normal 65 5 4 2 2" xfId="18582" xr:uid="{00000000-0005-0000-0000-0000AE640000}"/>
    <cellStyle name="Normal 65 5 4 2 2 2" xfId="35156" xr:uid="{00000000-0005-0000-0000-0000AF640000}"/>
    <cellStyle name="Normal 65 5 4 2 3" xfId="27109" xr:uid="{00000000-0005-0000-0000-0000B0640000}"/>
    <cellStyle name="Normal 65 5 4 3" xfId="14793" xr:uid="{00000000-0005-0000-0000-0000B1640000}"/>
    <cellStyle name="Normal 65 5 4 3 2" xfId="31341" xr:uid="{00000000-0005-0000-0000-0000B2640000}"/>
    <cellStyle name="Normal 65 5 4 4" xfId="23298" xr:uid="{00000000-0005-0000-0000-0000B3640000}"/>
    <cellStyle name="Normal 65 5 5" xfId="9227" xr:uid="{00000000-0005-0000-0000-0000B4640000}"/>
    <cellStyle name="Normal 65 5 5 2" xfId="18583" xr:uid="{00000000-0005-0000-0000-0000B5640000}"/>
    <cellStyle name="Normal 65 5 5 2 2" xfId="35157" xr:uid="{00000000-0005-0000-0000-0000B6640000}"/>
    <cellStyle name="Normal 65 5 5 3" xfId="27110" xr:uid="{00000000-0005-0000-0000-0000B7640000}"/>
    <cellStyle name="Normal 65 5 6" xfId="14786" xr:uid="{00000000-0005-0000-0000-0000B8640000}"/>
    <cellStyle name="Normal 65 5 6 2" xfId="31334" xr:uid="{00000000-0005-0000-0000-0000B9640000}"/>
    <cellStyle name="Normal 65 5 7" xfId="23291" xr:uid="{00000000-0005-0000-0000-0000BA640000}"/>
    <cellStyle name="Normal 65 6" xfId="5292" xr:uid="{00000000-0005-0000-0000-0000BB640000}"/>
    <cellStyle name="Normal 65 6 2" xfId="5293" xr:uid="{00000000-0005-0000-0000-0000BC640000}"/>
    <cellStyle name="Normal 65 6 2 2" xfId="5294" xr:uid="{00000000-0005-0000-0000-0000BD640000}"/>
    <cellStyle name="Normal 65 6 2 2 2" xfId="9228" xr:uid="{00000000-0005-0000-0000-0000BE640000}"/>
    <cellStyle name="Normal 65 6 2 2 2 2" xfId="18584" xr:uid="{00000000-0005-0000-0000-0000BF640000}"/>
    <cellStyle name="Normal 65 6 2 2 2 2 2" xfId="35158" xr:uid="{00000000-0005-0000-0000-0000C0640000}"/>
    <cellStyle name="Normal 65 6 2 2 2 3" xfId="27111" xr:uid="{00000000-0005-0000-0000-0000C1640000}"/>
    <cellStyle name="Normal 65 6 2 2 3" xfId="14796" xr:uid="{00000000-0005-0000-0000-0000C2640000}"/>
    <cellStyle name="Normal 65 6 2 2 3 2" xfId="31344" xr:uid="{00000000-0005-0000-0000-0000C3640000}"/>
    <cellStyle name="Normal 65 6 2 2 4" xfId="23301" xr:uid="{00000000-0005-0000-0000-0000C4640000}"/>
    <cellStyle name="Normal 65 6 2 3" xfId="9229" xr:uid="{00000000-0005-0000-0000-0000C5640000}"/>
    <cellStyle name="Normal 65 6 2 3 2" xfId="18585" xr:uid="{00000000-0005-0000-0000-0000C6640000}"/>
    <cellStyle name="Normal 65 6 2 3 2 2" xfId="35159" xr:uid="{00000000-0005-0000-0000-0000C7640000}"/>
    <cellStyle name="Normal 65 6 2 3 3" xfId="27112" xr:uid="{00000000-0005-0000-0000-0000C8640000}"/>
    <cellStyle name="Normal 65 6 2 4" xfId="14795" xr:uid="{00000000-0005-0000-0000-0000C9640000}"/>
    <cellStyle name="Normal 65 6 2 4 2" xfId="31343" xr:uid="{00000000-0005-0000-0000-0000CA640000}"/>
    <cellStyle name="Normal 65 6 2 5" xfId="23300" xr:uid="{00000000-0005-0000-0000-0000CB640000}"/>
    <cellStyle name="Normal 65 6 3" xfId="5295" xr:uid="{00000000-0005-0000-0000-0000CC640000}"/>
    <cellStyle name="Normal 65 6 3 2" xfId="9230" xr:uid="{00000000-0005-0000-0000-0000CD640000}"/>
    <cellStyle name="Normal 65 6 3 2 2" xfId="18586" xr:uid="{00000000-0005-0000-0000-0000CE640000}"/>
    <cellStyle name="Normal 65 6 3 2 2 2" xfId="35160" xr:uid="{00000000-0005-0000-0000-0000CF640000}"/>
    <cellStyle name="Normal 65 6 3 2 3" xfId="27113" xr:uid="{00000000-0005-0000-0000-0000D0640000}"/>
    <cellStyle name="Normal 65 6 3 3" xfId="14797" xr:uid="{00000000-0005-0000-0000-0000D1640000}"/>
    <cellStyle name="Normal 65 6 3 3 2" xfId="31345" xr:uid="{00000000-0005-0000-0000-0000D2640000}"/>
    <cellStyle name="Normal 65 6 3 4" xfId="23302" xr:uid="{00000000-0005-0000-0000-0000D3640000}"/>
    <cellStyle name="Normal 65 6 4" xfId="9231" xr:uid="{00000000-0005-0000-0000-0000D4640000}"/>
    <cellStyle name="Normal 65 6 4 2" xfId="18587" xr:uid="{00000000-0005-0000-0000-0000D5640000}"/>
    <cellStyle name="Normal 65 6 4 2 2" xfId="35161" xr:uid="{00000000-0005-0000-0000-0000D6640000}"/>
    <cellStyle name="Normal 65 6 4 3" xfId="27114" xr:uid="{00000000-0005-0000-0000-0000D7640000}"/>
    <cellStyle name="Normal 65 6 5" xfId="14794" xr:uid="{00000000-0005-0000-0000-0000D8640000}"/>
    <cellStyle name="Normal 65 6 5 2" xfId="31342" xr:uid="{00000000-0005-0000-0000-0000D9640000}"/>
    <cellStyle name="Normal 65 6 6" xfId="23299" xr:uid="{00000000-0005-0000-0000-0000DA640000}"/>
    <cellStyle name="Normal 65 7" xfId="5296" xr:uid="{00000000-0005-0000-0000-0000DB640000}"/>
    <cellStyle name="Normal 65 7 2" xfId="5297" xr:uid="{00000000-0005-0000-0000-0000DC640000}"/>
    <cellStyle name="Normal 65 7 2 2" xfId="9232" xr:uid="{00000000-0005-0000-0000-0000DD640000}"/>
    <cellStyle name="Normal 65 7 2 2 2" xfId="18588" xr:uid="{00000000-0005-0000-0000-0000DE640000}"/>
    <cellStyle name="Normal 65 7 2 2 2 2" xfId="35162" xr:uid="{00000000-0005-0000-0000-0000DF640000}"/>
    <cellStyle name="Normal 65 7 2 2 3" xfId="27115" xr:uid="{00000000-0005-0000-0000-0000E0640000}"/>
    <cellStyle name="Normal 65 7 2 3" xfId="14799" xr:uid="{00000000-0005-0000-0000-0000E1640000}"/>
    <cellStyle name="Normal 65 7 2 3 2" xfId="31347" xr:uid="{00000000-0005-0000-0000-0000E2640000}"/>
    <cellStyle name="Normal 65 7 2 4" xfId="23304" xr:uid="{00000000-0005-0000-0000-0000E3640000}"/>
    <cellStyle name="Normal 65 7 3" xfId="9233" xr:uid="{00000000-0005-0000-0000-0000E4640000}"/>
    <cellStyle name="Normal 65 7 3 2" xfId="18589" xr:uid="{00000000-0005-0000-0000-0000E5640000}"/>
    <cellStyle name="Normal 65 7 3 2 2" xfId="35163" xr:uid="{00000000-0005-0000-0000-0000E6640000}"/>
    <cellStyle name="Normal 65 7 3 3" xfId="27116" xr:uid="{00000000-0005-0000-0000-0000E7640000}"/>
    <cellStyle name="Normal 65 7 4" xfId="14798" xr:uid="{00000000-0005-0000-0000-0000E8640000}"/>
    <cellStyle name="Normal 65 7 4 2" xfId="31346" xr:uid="{00000000-0005-0000-0000-0000E9640000}"/>
    <cellStyle name="Normal 65 7 5" xfId="23303" xr:uid="{00000000-0005-0000-0000-0000EA640000}"/>
    <cellStyle name="Normal 65 8" xfId="5298" xr:uid="{00000000-0005-0000-0000-0000EB640000}"/>
    <cellStyle name="Normal 65 8 2" xfId="9234" xr:uid="{00000000-0005-0000-0000-0000EC640000}"/>
    <cellStyle name="Normal 65 8 2 2" xfId="18590" xr:uid="{00000000-0005-0000-0000-0000ED640000}"/>
    <cellStyle name="Normal 65 8 2 2 2" xfId="35164" xr:uid="{00000000-0005-0000-0000-0000EE640000}"/>
    <cellStyle name="Normal 65 8 2 3" xfId="27117" xr:uid="{00000000-0005-0000-0000-0000EF640000}"/>
    <cellStyle name="Normal 65 8 3" xfId="14800" xr:uid="{00000000-0005-0000-0000-0000F0640000}"/>
    <cellStyle name="Normal 65 8 3 2" xfId="31348" xr:uid="{00000000-0005-0000-0000-0000F1640000}"/>
    <cellStyle name="Normal 65 8 4" xfId="23305" xr:uid="{00000000-0005-0000-0000-0000F2640000}"/>
    <cellStyle name="Normal 65 9" xfId="9235" xr:uid="{00000000-0005-0000-0000-0000F3640000}"/>
    <cellStyle name="Normal 65 9 2" xfId="18591" xr:uid="{00000000-0005-0000-0000-0000F4640000}"/>
    <cellStyle name="Normal 65 9 2 2" xfId="35165" xr:uid="{00000000-0005-0000-0000-0000F5640000}"/>
    <cellStyle name="Normal 65 9 3" xfId="27118" xr:uid="{00000000-0005-0000-0000-0000F6640000}"/>
    <cellStyle name="Normal 66" xfId="5299" xr:uid="{00000000-0005-0000-0000-0000F7640000}"/>
    <cellStyle name="Normal 66 10" xfId="14801" xr:uid="{00000000-0005-0000-0000-0000F8640000}"/>
    <cellStyle name="Normal 66 10 2" xfId="31349" xr:uid="{00000000-0005-0000-0000-0000F9640000}"/>
    <cellStyle name="Normal 66 11" xfId="23306" xr:uid="{00000000-0005-0000-0000-0000FA640000}"/>
    <cellStyle name="Normal 66 2" xfId="5300" xr:uid="{00000000-0005-0000-0000-0000FB640000}"/>
    <cellStyle name="Normal 66 2 2" xfId="5301" xr:uid="{00000000-0005-0000-0000-0000FC640000}"/>
    <cellStyle name="Normal 66 2 3" xfId="14802" xr:uid="{00000000-0005-0000-0000-0000FD640000}"/>
    <cellStyle name="Normal 66 2 3 2" xfId="31350" xr:uid="{00000000-0005-0000-0000-0000FE640000}"/>
    <cellStyle name="Normal 66 2 4" xfId="23307" xr:uid="{00000000-0005-0000-0000-0000FF640000}"/>
    <cellStyle name="Normal 66 3" xfId="5302" xr:uid="{00000000-0005-0000-0000-000000650000}"/>
    <cellStyle name="Normal 66 3 2" xfId="5303" xr:uid="{00000000-0005-0000-0000-000001650000}"/>
    <cellStyle name="Normal 66 3 2 2" xfId="5304" xr:uid="{00000000-0005-0000-0000-000002650000}"/>
    <cellStyle name="Normal 66 3 2 2 2" xfId="5305" xr:uid="{00000000-0005-0000-0000-000003650000}"/>
    <cellStyle name="Normal 66 3 2 2 2 2" xfId="9236" xr:uid="{00000000-0005-0000-0000-000004650000}"/>
    <cellStyle name="Normal 66 3 2 2 2 2 2" xfId="18592" xr:uid="{00000000-0005-0000-0000-000005650000}"/>
    <cellStyle name="Normal 66 3 2 2 2 2 2 2" xfId="35166" xr:uid="{00000000-0005-0000-0000-000006650000}"/>
    <cellStyle name="Normal 66 3 2 2 2 2 3" xfId="27119" xr:uid="{00000000-0005-0000-0000-000007650000}"/>
    <cellStyle name="Normal 66 3 2 2 2 3" xfId="14805" xr:uid="{00000000-0005-0000-0000-000008650000}"/>
    <cellStyle name="Normal 66 3 2 2 2 3 2" xfId="31353" xr:uid="{00000000-0005-0000-0000-000009650000}"/>
    <cellStyle name="Normal 66 3 2 2 2 4" xfId="23310" xr:uid="{00000000-0005-0000-0000-00000A650000}"/>
    <cellStyle name="Normal 66 3 2 2 3" xfId="9237" xr:uid="{00000000-0005-0000-0000-00000B650000}"/>
    <cellStyle name="Normal 66 3 2 2 3 2" xfId="18593" xr:uid="{00000000-0005-0000-0000-00000C650000}"/>
    <cellStyle name="Normal 66 3 2 2 3 2 2" xfId="35167" xr:uid="{00000000-0005-0000-0000-00000D650000}"/>
    <cellStyle name="Normal 66 3 2 2 3 3" xfId="27120" xr:uid="{00000000-0005-0000-0000-00000E650000}"/>
    <cellStyle name="Normal 66 3 2 2 4" xfId="14804" xr:uid="{00000000-0005-0000-0000-00000F650000}"/>
    <cellStyle name="Normal 66 3 2 2 4 2" xfId="31352" xr:uid="{00000000-0005-0000-0000-000010650000}"/>
    <cellStyle name="Normal 66 3 2 2 5" xfId="23309" xr:uid="{00000000-0005-0000-0000-000011650000}"/>
    <cellStyle name="Normal 66 3 2 3" xfId="5306" xr:uid="{00000000-0005-0000-0000-000012650000}"/>
    <cellStyle name="Normal 66 3 2 3 2" xfId="9238" xr:uid="{00000000-0005-0000-0000-000013650000}"/>
    <cellStyle name="Normal 66 3 2 3 2 2" xfId="18594" xr:uid="{00000000-0005-0000-0000-000014650000}"/>
    <cellStyle name="Normal 66 3 2 3 2 2 2" xfId="35168" xr:uid="{00000000-0005-0000-0000-000015650000}"/>
    <cellStyle name="Normal 66 3 2 3 2 3" xfId="27121" xr:uid="{00000000-0005-0000-0000-000016650000}"/>
    <cellStyle name="Normal 66 3 2 3 3" xfId="14806" xr:uid="{00000000-0005-0000-0000-000017650000}"/>
    <cellStyle name="Normal 66 3 2 3 3 2" xfId="31354" xr:uid="{00000000-0005-0000-0000-000018650000}"/>
    <cellStyle name="Normal 66 3 2 3 4" xfId="23311" xr:uid="{00000000-0005-0000-0000-000019650000}"/>
    <cellStyle name="Normal 66 3 2 4" xfId="9239" xr:uid="{00000000-0005-0000-0000-00001A650000}"/>
    <cellStyle name="Normal 66 3 2 4 2" xfId="18595" xr:uid="{00000000-0005-0000-0000-00001B650000}"/>
    <cellStyle name="Normal 66 3 2 4 2 2" xfId="35169" xr:uid="{00000000-0005-0000-0000-00001C650000}"/>
    <cellStyle name="Normal 66 3 2 4 3" xfId="27122" xr:uid="{00000000-0005-0000-0000-00001D650000}"/>
    <cellStyle name="Normal 66 3 2 5" xfId="14803" xr:uid="{00000000-0005-0000-0000-00001E650000}"/>
    <cellStyle name="Normal 66 3 2 5 2" xfId="31351" xr:uid="{00000000-0005-0000-0000-00001F650000}"/>
    <cellStyle name="Normal 66 3 2 6" xfId="23308" xr:uid="{00000000-0005-0000-0000-000020650000}"/>
    <cellStyle name="Normal 66 3 3" xfId="5307" xr:uid="{00000000-0005-0000-0000-000021650000}"/>
    <cellStyle name="Normal 66 3 3 2" xfId="5308" xr:uid="{00000000-0005-0000-0000-000022650000}"/>
    <cellStyle name="Normal 66 3 3 2 2" xfId="9240" xr:uid="{00000000-0005-0000-0000-000023650000}"/>
    <cellStyle name="Normal 66 3 3 2 2 2" xfId="18596" xr:uid="{00000000-0005-0000-0000-000024650000}"/>
    <cellStyle name="Normal 66 3 3 2 2 2 2" xfId="35170" xr:uid="{00000000-0005-0000-0000-000025650000}"/>
    <cellStyle name="Normal 66 3 3 2 2 3" xfId="27123" xr:uid="{00000000-0005-0000-0000-000026650000}"/>
    <cellStyle name="Normal 66 3 3 2 3" xfId="14808" xr:uid="{00000000-0005-0000-0000-000027650000}"/>
    <cellStyle name="Normal 66 3 3 2 3 2" xfId="31356" xr:uid="{00000000-0005-0000-0000-000028650000}"/>
    <cellStyle name="Normal 66 3 3 2 4" xfId="23313" xr:uid="{00000000-0005-0000-0000-000029650000}"/>
    <cellStyle name="Normal 66 3 3 3" xfId="9241" xr:uid="{00000000-0005-0000-0000-00002A650000}"/>
    <cellStyle name="Normal 66 3 3 3 2" xfId="18597" xr:uid="{00000000-0005-0000-0000-00002B650000}"/>
    <cellStyle name="Normal 66 3 3 3 2 2" xfId="35171" xr:uid="{00000000-0005-0000-0000-00002C650000}"/>
    <cellStyle name="Normal 66 3 3 3 3" xfId="27124" xr:uid="{00000000-0005-0000-0000-00002D650000}"/>
    <cellStyle name="Normal 66 3 3 4" xfId="14807" xr:uid="{00000000-0005-0000-0000-00002E650000}"/>
    <cellStyle name="Normal 66 3 3 4 2" xfId="31355" xr:uid="{00000000-0005-0000-0000-00002F650000}"/>
    <cellStyle name="Normal 66 3 3 5" xfId="23312" xr:uid="{00000000-0005-0000-0000-000030650000}"/>
    <cellStyle name="Normal 66 3 4" xfId="5309" xr:uid="{00000000-0005-0000-0000-000031650000}"/>
    <cellStyle name="Normal 66 3 4 2" xfId="9242" xr:uid="{00000000-0005-0000-0000-000032650000}"/>
    <cellStyle name="Normal 66 3 4 2 2" xfId="18598" xr:uid="{00000000-0005-0000-0000-000033650000}"/>
    <cellStyle name="Normal 66 3 4 2 2 2" xfId="35172" xr:uid="{00000000-0005-0000-0000-000034650000}"/>
    <cellStyle name="Normal 66 3 4 2 3" xfId="27125" xr:uid="{00000000-0005-0000-0000-000035650000}"/>
    <cellStyle name="Normal 66 3 4 3" xfId="14809" xr:uid="{00000000-0005-0000-0000-000036650000}"/>
    <cellStyle name="Normal 66 3 4 3 2" xfId="31357" xr:uid="{00000000-0005-0000-0000-000037650000}"/>
    <cellStyle name="Normal 66 3 4 4" xfId="23314" xr:uid="{00000000-0005-0000-0000-000038650000}"/>
    <cellStyle name="Normal 66 3 5" xfId="5310" xr:uid="{00000000-0005-0000-0000-000039650000}"/>
    <cellStyle name="Normal 66 3 5 2" xfId="14810" xr:uid="{00000000-0005-0000-0000-00003A650000}"/>
    <cellStyle name="Normal 66 3 5 2 2" xfId="31358" xr:uid="{00000000-0005-0000-0000-00003B650000}"/>
    <cellStyle name="Normal 66 3 5 3" xfId="23315" xr:uid="{00000000-0005-0000-0000-00003C650000}"/>
    <cellStyle name="Normal 66 4" xfId="5311" xr:uid="{00000000-0005-0000-0000-00003D650000}"/>
    <cellStyle name="Normal 66 4 2" xfId="5312" xr:uid="{00000000-0005-0000-0000-00003E650000}"/>
    <cellStyle name="Normal 66 4 2 2" xfId="5313" xr:uid="{00000000-0005-0000-0000-00003F650000}"/>
    <cellStyle name="Normal 66 4 2 2 2" xfId="5314" xr:uid="{00000000-0005-0000-0000-000040650000}"/>
    <cellStyle name="Normal 66 4 2 2 2 2" xfId="9243" xr:uid="{00000000-0005-0000-0000-000041650000}"/>
    <cellStyle name="Normal 66 4 2 2 2 2 2" xfId="18599" xr:uid="{00000000-0005-0000-0000-000042650000}"/>
    <cellStyle name="Normal 66 4 2 2 2 2 2 2" xfId="35173" xr:uid="{00000000-0005-0000-0000-000043650000}"/>
    <cellStyle name="Normal 66 4 2 2 2 2 3" xfId="27126" xr:uid="{00000000-0005-0000-0000-000044650000}"/>
    <cellStyle name="Normal 66 4 2 2 2 3" xfId="14814" xr:uid="{00000000-0005-0000-0000-000045650000}"/>
    <cellStyle name="Normal 66 4 2 2 2 3 2" xfId="31362" xr:uid="{00000000-0005-0000-0000-000046650000}"/>
    <cellStyle name="Normal 66 4 2 2 2 4" xfId="23319" xr:uid="{00000000-0005-0000-0000-000047650000}"/>
    <cellStyle name="Normal 66 4 2 2 3" xfId="9244" xr:uid="{00000000-0005-0000-0000-000048650000}"/>
    <cellStyle name="Normal 66 4 2 2 3 2" xfId="18600" xr:uid="{00000000-0005-0000-0000-000049650000}"/>
    <cellStyle name="Normal 66 4 2 2 3 2 2" xfId="35174" xr:uid="{00000000-0005-0000-0000-00004A650000}"/>
    <cellStyle name="Normal 66 4 2 2 3 3" xfId="27127" xr:uid="{00000000-0005-0000-0000-00004B650000}"/>
    <cellStyle name="Normal 66 4 2 2 4" xfId="14813" xr:uid="{00000000-0005-0000-0000-00004C650000}"/>
    <cellStyle name="Normal 66 4 2 2 4 2" xfId="31361" xr:uid="{00000000-0005-0000-0000-00004D650000}"/>
    <cellStyle name="Normal 66 4 2 2 5" xfId="23318" xr:uid="{00000000-0005-0000-0000-00004E650000}"/>
    <cellStyle name="Normal 66 4 2 3" xfId="5315" xr:uid="{00000000-0005-0000-0000-00004F650000}"/>
    <cellStyle name="Normal 66 4 2 3 2" xfId="9245" xr:uid="{00000000-0005-0000-0000-000050650000}"/>
    <cellStyle name="Normal 66 4 2 3 2 2" xfId="18601" xr:uid="{00000000-0005-0000-0000-000051650000}"/>
    <cellStyle name="Normal 66 4 2 3 2 2 2" xfId="35175" xr:uid="{00000000-0005-0000-0000-000052650000}"/>
    <cellStyle name="Normal 66 4 2 3 2 3" xfId="27128" xr:uid="{00000000-0005-0000-0000-000053650000}"/>
    <cellStyle name="Normal 66 4 2 3 3" xfId="14815" xr:uid="{00000000-0005-0000-0000-000054650000}"/>
    <cellStyle name="Normal 66 4 2 3 3 2" xfId="31363" xr:uid="{00000000-0005-0000-0000-000055650000}"/>
    <cellStyle name="Normal 66 4 2 3 4" xfId="23320" xr:uid="{00000000-0005-0000-0000-000056650000}"/>
    <cellStyle name="Normal 66 4 2 4" xfId="9246" xr:uid="{00000000-0005-0000-0000-000057650000}"/>
    <cellStyle name="Normal 66 4 2 4 2" xfId="18602" xr:uid="{00000000-0005-0000-0000-000058650000}"/>
    <cellStyle name="Normal 66 4 2 4 2 2" xfId="35176" xr:uid="{00000000-0005-0000-0000-000059650000}"/>
    <cellStyle name="Normal 66 4 2 4 3" xfId="27129" xr:uid="{00000000-0005-0000-0000-00005A650000}"/>
    <cellStyle name="Normal 66 4 2 5" xfId="14812" xr:uid="{00000000-0005-0000-0000-00005B650000}"/>
    <cellStyle name="Normal 66 4 2 5 2" xfId="31360" xr:uid="{00000000-0005-0000-0000-00005C650000}"/>
    <cellStyle name="Normal 66 4 2 6" xfId="23317" xr:uid="{00000000-0005-0000-0000-00005D650000}"/>
    <cellStyle name="Normal 66 4 3" xfId="5316" xr:uid="{00000000-0005-0000-0000-00005E650000}"/>
    <cellStyle name="Normal 66 4 3 2" xfId="5317" xr:uid="{00000000-0005-0000-0000-00005F650000}"/>
    <cellStyle name="Normal 66 4 3 2 2" xfId="9247" xr:uid="{00000000-0005-0000-0000-000060650000}"/>
    <cellStyle name="Normal 66 4 3 2 2 2" xfId="18603" xr:uid="{00000000-0005-0000-0000-000061650000}"/>
    <cellStyle name="Normal 66 4 3 2 2 2 2" xfId="35177" xr:uid="{00000000-0005-0000-0000-000062650000}"/>
    <cellStyle name="Normal 66 4 3 2 2 3" xfId="27130" xr:uid="{00000000-0005-0000-0000-000063650000}"/>
    <cellStyle name="Normal 66 4 3 2 3" xfId="14817" xr:uid="{00000000-0005-0000-0000-000064650000}"/>
    <cellStyle name="Normal 66 4 3 2 3 2" xfId="31365" xr:uid="{00000000-0005-0000-0000-000065650000}"/>
    <cellStyle name="Normal 66 4 3 2 4" xfId="23322" xr:uid="{00000000-0005-0000-0000-000066650000}"/>
    <cellStyle name="Normal 66 4 3 3" xfId="9248" xr:uid="{00000000-0005-0000-0000-000067650000}"/>
    <cellStyle name="Normal 66 4 3 3 2" xfId="18604" xr:uid="{00000000-0005-0000-0000-000068650000}"/>
    <cellStyle name="Normal 66 4 3 3 2 2" xfId="35178" xr:uid="{00000000-0005-0000-0000-000069650000}"/>
    <cellStyle name="Normal 66 4 3 3 3" xfId="27131" xr:uid="{00000000-0005-0000-0000-00006A650000}"/>
    <cellStyle name="Normal 66 4 3 4" xfId="14816" xr:uid="{00000000-0005-0000-0000-00006B650000}"/>
    <cellStyle name="Normal 66 4 3 4 2" xfId="31364" xr:uid="{00000000-0005-0000-0000-00006C650000}"/>
    <cellStyle name="Normal 66 4 3 5" xfId="23321" xr:uid="{00000000-0005-0000-0000-00006D650000}"/>
    <cellStyle name="Normal 66 4 4" xfId="5318" xr:uid="{00000000-0005-0000-0000-00006E650000}"/>
    <cellStyle name="Normal 66 4 4 2" xfId="9249" xr:uid="{00000000-0005-0000-0000-00006F650000}"/>
    <cellStyle name="Normal 66 4 4 2 2" xfId="18605" xr:uid="{00000000-0005-0000-0000-000070650000}"/>
    <cellStyle name="Normal 66 4 4 2 2 2" xfId="35179" xr:uid="{00000000-0005-0000-0000-000071650000}"/>
    <cellStyle name="Normal 66 4 4 2 3" xfId="27132" xr:uid="{00000000-0005-0000-0000-000072650000}"/>
    <cellStyle name="Normal 66 4 4 3" xfId="14818" xr:uid="{00000000-0005-0000-0000-000073650000}"/>
    <cellStyle name="Normal 66 4 4 3 2" xfId="31366" xr:uid="{00000000-0005-0000-0000-000074650000}"/>
    <cellStyle name="Normal 66 4 4 4" xfId="23323" xr:uid="{00000000-0005-0000-0000-000075650000}"/>
    <cellStyle name="Normal 66 4 5" xfId="9250" xr:uid="{00000000-0005-0000-0000-000076650000}"/>
    <cellStyle name="Normal 66 4 5 2" xfId="18606" xr:uid="{00000000-0005-0000-0000-000077650000}"/>
    <cellStyle name="Normal 66 4 5 2 2" xfId="35180" xr:uid="{00000000-0005-0000-0000-000078650000}"/>
    <cellStyle name="Normal 66 4 5 3" xfId="27133" xr:uid="{00000000-0005-0000-0000-000079650000}"/>
    <cellStyle name="Normal 66 4 6" xfId="14811" xr:uid="{00000000-0005-0000-0000-00007A650000}"/>
    <cellStyle name="Normal 66 4 6 2" xfId="31359" xr:uid="{00000000-0005-0000-0000-00007B650000}"/>
    <cellStyle name="Normal 66 4 7" xfId="23316" xr:uid="{00000000-0005-0000-0000-00007C650000}"/>
    <cellStyle name="Normal 66 5" xfId="5319" xr:uid="{00000000-0005-0000-0000-00007D650000}"/>
    <cellStyle name="Normal 66 5 2" xfId="5320" xr:uid="{00000000-0005-0000-0000-00007E650000}"/>
    <cellStyle name="Normal 66 5 2 2" xfId="5321" xr:uid="{00000000-0005-0000-0000-00007F650000}"/>
    <cellStyle name="Normal 66 5 2 2 2" xfId="5322" xr:uid="{00000000-0005-0000-0000-000080650000}"/>
    <cellStyle name="Normal 66 5 2 2 2 2" xfId="9251" xr:uid="{00000000-0005-0000-0000-000081650000}"/>
    <cellStyle name="Normal 66 5 2 2 2 2 2" xfId="18607" xr:uid="{00000000-0005-0000-0000-000082650000}"/>
    <cellStyle name="Normal 66 5 2 2 2 2 2 2" xfId="35181" xr:uid="{00000000-0005-0000-0000-000083650000}"/>
    <cellStyle name="Normal 66 5 2 2 2 2 3" xfId="27134" xr:uid="{00000000-0005-0000-0000-000084650000}"/>
    <cellStyle name="Normal 66 5 2 2 2 3" xfId="14822" xr:uid="{00000000-0005-0000-0000-000085650000}"/>
    <cellStyle name="Normal 66 5 2 2 2 3 2" xfId="31370" xr:uid="{00000000-0005-0000-0000-000086650000}"/>
    <cellStyle name="Normal 66 5 2 2 2 4" xfId="23327" xr:uid="{00000000-0005-0000-0000-000087650000}"/>
    <cellStyle name="Normal 66 5 2 2 3" xfId="9252" xr:uid="{00000000-0005-0000-0000-000088650000}"/>
    <cellStyle name="Normal 66 5 2 2 3 2" xfId="18608" xr:uid="{00000000-0005-0000-0000-000089650000}"/>
    <cellStyle name="Normal 66 5 2 2 3 2 2" xfId="35182" xr:uid="{00000000-0005-0000-0000-00008A650000}"/>
    <cellStyle name="Normal 66 5 2 2 3 3" xfId="27135" xr:uid="{00000000-0005-0000-0000-00008B650000}"/>
    <cellStyle name="Normal 66 5 2 2 4" xfId="14821" xr:uid="{00000000-0005-0000-0000-00008C650000}"/>
    <cellStyle name="Normal 66 5 2 2 4 2" xfId="31369" xr:uid="{00000000-0005-0000-0000-00008D650000}"/>
    <cellStyle name="Normal 66 5 2 2 5" xfId="23326" xr:uid="{00000000-0005-0000-0000-00008E650000}"/>
    <cellStyle name="Normal 66 5 2 3" xfId="5323" xr:uid="{00000000-0005-0000-0000-00008F650000}"/>
    <cellStyle name="Normal 66 5 2 3 2" xfId="9253" xr:uid="{00000000-0005-0000-0000-000090650000}"/>
    <cellStyle name="Normal 66 5 2 3 2 2" xfId="18609" xr:uid="{00000000-0005-0000-0000-000091650000}"/>
    <cellStyle name="Normal 66 5 2 3 2 2 2" xfId="35183" xr:uid="{00000000-0005-0000-0000-000092650000}"/>
    <cellStyle name="Normal 66 5 2 3 2 3" xfId="27136" xr:uid="{00000000-0005-0000-0000-000093650000}"/>
    <cellStyle name="Normal 66 5 2 3 3" xfId="14823" xr:uid="{00000000-0005-0000-0000-000094650000}"/>
    <cellStyle name="Normal 66 5 2 3 3 2" xfId="31371" xr:uid="{00000000-0005-0000-0000-000095650000}"/>
    <cellStyle name="Normal 66 5 2 3 4" xfId="23328" xr:uid="{00000000-0005-0000-0000-000096650000}"/>
    <cellStyle name="Normal 66 5 2 4" xfId="9254" xr:uid="{00000000-0005-0000-0000-000097650000}"/>
    <cellStyle name="Normal 66 5 2 4 2" xfId="18610" xr:uid="{00000000-0005-0000-0000-000098650000}"/>
    <cellStyle name="Normal 66 5 2 4 2 2" xfId="35184" xr:uid="{00000000-0005-0000-0000-000099650000}"/>
    <cellStyle name="Normal 66 5 2 4 3" xfId="27137" xr:uid="{00000000-0005-0000-0000-00009A650000}"/>
    <cellStyle name="Normal 66 5 2 5" xfId="14820" xr:uid="{00000000-0005-0000-0000-00009B650000}"/>
    <cellStyle name="Normal 66 5 2 5 2" xfId="31368" xr:uid="{00000000-0005-0000-0000-00009C650000}"/>
    <cellStyle name="Normal 66 5 2 6" xfId="23325" xr:uid="{00000000-0005-0000-0000-00009D650000}"/>
    <cellStyle name="Normal 66 5 3" xfId="5324" xr:uid="{00000000-0005-0000-0000-00009E650000}"/>
    <cellStyle name="Normal 66 5 3 2" xfId="5325" xr:uid="{00000000-0005-0000-0000-00009F650000}"/>
    <cellStyle name="Normal 66 5 3 2 2" xfId="9255" xr:uid="{00000000-0005-0000-0000-0000A0650000}"/>
    <cellStyle name="Normal 66 5 3 2 2 2" xfId="18611" xr:uid="{00000000-0005-0000-0000-0000A1650000}"/>
    <cellStyle name="Normal 66 5 3 2 2 2 2" xfId="35185" xr:uid="{00000000-0005-0000-0000-0000A2650000}"/>
    <cellStyle name="Normal 66 5 3 2 2 3" xfId="27138" xr:uid="{00000000-0005-0000-0000-0000A3650000}"/>
    <cellStyle name="Normal 66 5 3 2 3" xfId="14825" xr:uid="{00000000-0005-0000-0000-0000A4650000}"/>
    <cellStyle name="Normal 66 5 3 2 3 2" xfId="31373" xr:uid="{00000000-0005-0000-0000-0000A5650000}"/>
    <cellStyle name="Normal 66 5 3 2 4" xfId="23330" xr:uid="{00000000-0005-0000-0000-0000A6650000}"/>
    <cellStyle name="Normal 66 5 3 3" xfId="9256" xr:uid="{00000000-0005-0000-0000-0000A7650000}"/>
    <cellStyle name="Normal 66 5 3 3 2" xfId="18612" xr:uid="{00000000-0005-0000-0000-0000A8650000}"/>
    <cellStyle name="Normal 66 5 3 3 2 2" xfId="35186" xr:uid="{00000000-0005-0000-0000-0000A9650000}"/>
    <cellStyle name="Normal 66 5 3 3 3" xfId="27139" xr:uid="{00000000-0005-0000-0000-0000AA650000}"/>
    <cellStyle name="Normal 66 5 3 4" xfId="14824" xr:uid="{00000000-0005-0000-0000-0000AB650000}"/>
    <cellStyle name="Normal 66 5 3 4 2" xfId="31372" xr:uid="{00000000-0005-0000-0000-0000AC650000}"/>
    <cellStyle name="Normal 66 5 3 5" xfId="23329" xr:uid="{00000000-0005-0000-0000-0000AD650000}"/>
    <cellStyle name="Normal 66 5 4" xfId="5326" xr:uid="{00000000-0005-0000-0000-0000AE650000}"/>
    <cellStyle name="Normal 66 5 4 2" xfId="9257" xr:uid="{00000000-0005-0000-0000-0000AF650000}"/>
    <cellStyle name="Normal 66 5 4 2 2" xfId="18613" xr:uid="{00000000-0005-0000-0000-0000B0650000}"/>
    <cellStyle name="Normal 66 5 4 2 2 2" xfId="35187" xr:uid="{00000000-0005-0000-0000-0000B1650000}"/>
    <cellStyle name="Normal 66 5 4 2 3" xfId="27140" xr:uid="{00000000-0005-0000-0000-0000B2650000}"/>
    <cellStyle name="Normal 66 5 4 3" xfId="14826" xr:uid="{00000000-0005-0000-0000-0000B3650000}"/>
    <cellStyle name="Normal 66 5 4 3 2" xfId="31374" xr:uid="{00000000-0005-0000-0000-0000B4650000}"/>
    <cellStyle name="Normal 66 5 4 4" xfId="23331" xr:uid="{00000000-0005-0000-0000-0000B5650000}"/>
    <cellStyle name="Normal 66 5 5" xfId="9258" xr:uid="{00000000-0005-0000-0000-0000B6650000}"/>
    <cellStyle name="Normal 66 5 5 2" xfId="18614" xr:uid="{00000000-0005-0000-0000-0000B7650000}"/>
    <cellStyle name="Normal 66 5 5 2 2" xfId="35188" xr:uid="{00000000-0005-0000-0000-0000B8650000}"/>
    <cellStyle name="Normal 66 5 5 3" xfId="27141" xr:uid="{00000000-0005-0000-0000-0000B9650000}"/>
    <cellStyle name="Normal 66 5 6" xfId="14819" xr:uid="{00000000-0005-0000-0000-0000BA650000}"/>
    <cellStyle name="Normal 66 5 6 2" xfId="31367" xr:uid="{00000000-0005-0000-0000-0000BB650000}"/>
    <cellStyle name="Normal 66 5 7" xfId="23324" xr:uid="{00000000-0005-0000-0000-0000BC650000}"/>
    <cellStyle name="Normal 66 6" xfId="5327" xr:uid="{00000000-0005-0000-0000-0000BD650000}"/>
    <cellStyle name="Normal 66 6 2" xfId="5328" xr:uid="{00000000-0005-0000-0000-0000BE650000}"/>
    <cellStyle name="Normal 66 6 2 2" xfId="5329" xr:uid="{00000000-0005-0000-0000-0000BF650000}"/>
    <cellStyle name="Normal 66 6 2 2 2" xfId="9259" xr:uid="{00000000-0005-0000-0000-0000C0650000}"/>
    <cellStyle name="Normal 66 6 2 2 2 2" xfId="18615" xr:uid="{00000000-0005-0000-0000-0000C1650000}"/>
    <cellStyle name="Normal 66 6 2 2 2 2 2" xfId="35189" xr:uid="{00000000-0005-0000-0000-0000C2650000}"/>
    <cellStyle name="Normal 66 6 2 2 2 3" xfId="27142" xr:uid="{00000000-0005-0000-0000-0000C3650000}"/>
    <cellStyle name="Normal 66 6 2 2 3" xfId="14829" xr:uid="{00000000-0005-0000-0000-0000C4650000}"/>
    <cellStyle name="Normal 66 6 2 2 3 2" xfId="31377" xr:uid="{00000000-0005-0000-0000-0000C5650000}"/>
    <cellStyle name="Normal 66 6 2 2 4" xfId="23334" xr:uid="{00000000-0005-0000-0000-0000C6650000}"/>
    <cellStyle name="Normal 66 6 2 3" xfId="9260" xr:uid="{00000000-0005-0000-0000-0000C7650000}"/>
    <cellStyle name="Normal 66 6 2 3 2" xfId="18616" xr:uid="{00000000-0005-0000-0000-0000C8650000}"/>
    <cellStyle name="Normal 66 6 2 3 2 2" xfId="35190" xr:uid="{00000000-0005-0000-0000-0000C9650000}"/>
    <cellStyle name="Normal 66 6 2 3 3" xfId="27143" xr:uid="{00000000-0005-0000-0000-0000CA650000}"/>
    <cellStyle name="Normal 66 6 2 4" xfId="14828" xr:uid="{00000000-0005-0000-0000-0000CB650000}"/>
    <cellStyle name="Normal 66 6 2 4 2" xfId="31376" xr:uid="{00000000-0005-0000-0000-0000CC650000}"/>
    <cellStyle name="Normal 66 6 2 5" xfId="23333" xr:uid="{00000000-0005-0000-0000-0000CD650000}"/>
    <cellStyle name="Normal 66 6 3" xfId="5330" xr:uid="{00000000-0005-0000-0000-0000CE650000}"/>
    <cellStyle name="Normal 66 6 3 2" xfId="9261" xr:uid="{00000000-0005-0000-0000-0000CF650000}"/>
    <cellStyle name="Normal 66 6 3 2 2" xfId="18617" xr:uid="{00000000-0005-0000-0000-0000D0650000}"/>
    <cellStyle name="Normal 66 6 3 2 2 2" xfId="35191" xr:uid="{00000000-0005-0000-0000-0000D1650000}"/>
    <cellStyle name="Normal 66 6 3 2 3" xfId="27144" xr:uid="{00000000-0005-0000-0000-0000D2650000}"/>
    <cellStyle name="Normal 66 6 3 3" xfId="14830" xr:uid="{00000000-0005-0000-0000-0000D3650000}"/>
    <cellStyle name="Normal 66 6 3 3 2" xfId="31378" xr:uid="{00000000-0005-0000-0000-0000D4650000}"/>
    <cellStyle name="Normal 66 6 3 4" xfId="23335" xr:uid="{00000000-0005-0000-0000-0000D5650000}"/>
    <cellStyle name="Normal 66 6 4" xfId="9262" xr:uid="{00000000-0005-0000-0000-0000D6650000}"/>
    <cellStyle name="Normal 66 6 4 2" xfId="18618" xr:uid="{00000000-0005-0000-0000-0000D7650000}"/>
    <cellStyle name="Normal 66 6 4 2 2" xfId="35192" xr:uid="{00000000-0005-0000-0000-0000D8650000}"/>
    <cellStyle name="Normal 66 6 4 3" xfId="27145" xr:uid="{00000000-0005-0000-0000-0000D9650000}"/>
    <cellStyle name="Normal 66 6 5" xfId="14827" xr:uid="{00000000-0005-0000-0000-0000DA650000}"/>
    <cellStyle name="Normal 66 6 5 2" xfId="31375" xr:uid="{00000000-0005-0000-0000-0000DB650000}"/>
    <cellStyle name="Normal 66 6 6" xfId="23332" xr:uid="{00000000-0005-0000-0000-0000DC650000}"/>
    <cellStyle name="Normal 66 7" xfId="5331" xr:uid="{00000000-0005-0000-0000-0000DD650000}"/>
    <cellStyle name="Normal 66 7 2" xfId="5332" xr:uid="{00000000-0005-0000-0000-0000DE650000}"/>
    <cellStyle name="Normal 66 7 2 2" xfId="9263" xr:uid="{00000000-0005-0000-0000-0000DF650000}"/>
    <cellStyle name="Normal 66 7 2 2 2" xfId="18619" xr:uid="{00000000-0005-0000-0000-0000E0650000}"/>
    <cellStyle name="Normal 66 7 2 2 2 2" xfId="35193" xr:uid="{00000000-0005-0000-0000-0000E1650000}"/>
    <cellStyle name="Normal 66 7 2 2 3" xfId="27146" xr:uid="{00000000-0005-0000-0000-0000E2650000}"/>
    <cellStyle name="Normal 66 7 2 3" xfId="14832" xr:uid="{00000000-0005-0000-0000-0000E3650000}"/>
    <cellStyle name="Normal 66 7 2 3 2" xfId="31380" xr:uid="{00000000-0005-0000-0000-0000E4650000}"/>
    <cellStyle name="Normal 66 7 2 4" xfId="23337" xr:uid="{00000000-0005-0000-0000-0000E5650000}"/>
    <cellStyle name="Normal 66 7 3" xfId="9264" xr:uid="{00000000-0005-0000-0000-0000E6650000}"/>
    <cellStyle name="Normal 66 7 3 2" xfId="18620" xr:uid="{00000000-0005-0000-0000-0000E7650000}"/>
    <cellStyle name="Normal 66 7 3 2 2" xfId="35194" xr:uid="{00000000-0005-0000-0000-0000E8650000}"/>
    <cellStyle name="Normal 66 7 3 3" xfId="27147" xr:uid="{00000000-0005-0000-0000-0000E9650000}"/>
    <cellStyle name="Normal 66 7 4" xfId="14831" xr:uid="{00000000-0005-0000-0000-0000EA650000}"/>
    <cellStyle name="Normal 66 7 4 2" xfId="31379" xr:uid="{00000000-0005-0000-0000-0000EB650000}"/>
    <cellStyle name="Normal 66 7 5" xfId="23336" xr:uid="{00000000-0005-0000-0000-0000EC650000}"/>
    <cellStyle name="Normal 66 8" xfId="5333" xr:uid="{00000000-0005-0000-0000-0000ED650000}"/>
    <cellStyle name="Normal 66 8 2" xfId="9265" xr:uid="{00000000-0005-0000-0000-0000EE650000}"/>
    <cellStyle name="Normal 66 8 2 2" xfId="18621" xr:uid="{00000000-0005-0000-0000-0000EF650000}"/>
    <cellStyle name="Normal 66 8 2 2 2" xfId="35195" xr:uid="{00000000-0005-0000-0000-0000F0650000}"/>
    <cellStyle name="Normal 66 8 2 3" xfId="27148" xr:uid="{00000000-0005-0000-0000-0000F1650000}"/>
    <cellStyle name="Normal 66 8 3" xfId="14833" xr:uid="{00000000-0005-0000-0000-0000F2650000}"/>
    <cellStyle name="Normal 66 8 3 2" xfId="31381" xr:uid="{00000000-0005-0000-0000-0000F3650000}"/>
    <cellStyle name="Normal 66 8 4" xfId="23338" xr:uid="{00000000-0005-0000-0000-0000F4650000}"/>
    <cellStyle name="Normal 66 9" xfId="9266" xr:uid="{00000000-0005-0000-0000-0000F5650000}"/>
    <cellStyle name="Normal 66 9 2" xfId="18622" xr:uid="{00000000-0005-0000-0000-0000F6650000}"/>
    <cellStyle name="Normal 66 9 2 2" xfId="35196" xr:uid="{00000000-0005-0000-0000-0000F7650000}"/>
    <cellStyle name="Normal 66 9 3" xfId="27149" xr:uid="{00000000-0005-0000-0000-0000F8650000}"/>
    <cellStyle name="Normal 67" xfId="5334" xr:uid="{00000000-0005-0000-0000-0000F9650000}"/>
    <cellStyle name="Normal 67 10" xfId="14834" xr:uid="{00000000-0005-0000-0000-0000FA650000}"/>
    <cellStyle name="Normal 67 10 2" xfId="31382" xr:uid="{00000000-0005-0000-0000-0000FB650000}"/>
    <cellStyle name="Normal 67 11" xfId="23339" xr:uid="{00000000-0005-0000-0000-0000FC650000}"/>
    <cellStyle name="Normal 67 2" xfId="5335" xr:uid="{00000000-0005-0000-0000-0000FD650000}"/>
    <cellStyle name="Normal 67 2 2" xfId="5336" xr:uid="{00000000-0005-0000-0000-0000FE650000}"/>
    <cellStyle name="Normal 67 2 3" xfId="14835" xr:uid="{00000000-0005-0000-0000-0000FF650000}"/>
    <cellStyle name="Normal 67 2 3 2" xfId="31383" xr:uid="{00000000-0005-0000-0000-000000660000}"/>
    <cellStyle name="Normal 67 2 4" xfId="23340" xr:uid="{00000000-0005-0000-0000-000001660000}"/>
    <cellStyle name="Normal 67 3" xfId="5337" xr:uid="{00000000-0005-0000-0000-000002660000}"/>
    <cellStyle name="Normal 67 3 2" xfId="5338" xr:uid="{00000000-0005-0000-0000-000003660000}"/>
    <cellStyle name="Normal 67 3 2 2" xfId="5339" xr:uid="{00000000-0005-0000-0000-000004660000}"/>
    <cellStyle name="Normal 67 3 2 2 2" xfId="5340" xr:uid="{00000000-0005-0000-0000-000005660000}"/>
    <cellStyle name="Normal 67 3 2 2 2 2" xfId="9267" xr:uid="{00000000-0005-0000-0000-000006660000}"/>
    <cellStyle name="Normal 67 3 2 2 2 2 2" xfId="18623" xr:uid="{00000000-0005-0000-0000-000007660000}"/>
    <cellStyle name="Normal 67 3 2 2 2 2 2 2" xfId="35197" xr:uid="{00000000-0005-0000-0000-000008660000}"/>
    <cellStyle name="Normal 67 3 2 2 2 2 3" xfId="27150" xr:uid="{00000000-0005-0000-0000-000009660000}"/>
    <cellStyle name="Normal 67 3 2 2 2 3" xfId="14838" xr:uid="{00000000-0005-0000-0000-00000A660000}"/>
    <cellStyle name="Normal 67 3 2 2 2 3 2" xfId="31386" xr:uid="{00000000-0005-0000-0000-00000B660000}"/>
    <cellStyle name="Normal 67 3 2 2 2 4" xfId="23343" xr:uid="{00000000-0005-0000-0000-00000C660000}"/>
    <cellStyle name="Normal 67 3 2 2 3" xfId="9268" xr:uid="{00000000-0005-0000-0000-00000D660000}"/>
    <cellStyle name="Normal 67 3 2 2 3 2" xfId="18624" xr:uid="{00000000-0005-0000-0000-00000E660000}"/>
    <cellStyle name="Normal 67 3 2 2 3 2 2" xfId="35198" xr:uid="{00000000-0005-0000-0000-00000F660000}"/>
    <cellStyle name="Normal 67 3 2 2 3 3" xfId="27151" xr:uid="{00000000-0005-0000-0000-000010660000}"/>
    <cellStyle name="Normal 67 3 2 2 4" xfId="14837" xr:uid="{00000000-0005-0000-0000-000011660000}"/>
    <cellStyle name="Normal 67 3 2 2 4 2" xfId="31385" xr:uid="{00000000-0005-0000-0000-000012660000}"/>
    <cellStyle name="Normal 67 3 2 2 5" xfId="23342" xr:uid="{00000000-0005-0000-0000-000013660000}"/>
    <cellStyle name="Normal 67 3 2 3" xfId="5341" xr:uid="{00000000-0005-0000-0000-000014660000}"/>
    <cellStyle name="Normal 67 3 2 3 2" xfId="9269" xr:uid="{00000000-0005-0000-0000-000015660000}"/>
    <cellStyle name="Normal 67 3 2 3 2 2" xfId="18625" xr:uid="{00000000-0005-0000-0000-000016660000}"/>
    <cellStyle name="Normal 67 3 2 3 2 2 2" xfId="35199" xr:uid="{00000000-0005-0000-0000-000017660000}"/>
    <cellStyle name="Normal 67 3 2 3 2 3" xfId="27152" xr:uid="{00000000-0005-0000-0000-000018660000}"/>
    <cellStyle name="Normal 67 3 2 3 3" xfId="14839" xr:uid="{00000000-0005-0000-0000-000019660000}"/>
    <cellStyle name="Normal 67 3 2 3 3 2" xfId="31387" xr:uid="{00000000-0005-0000-0000-00001A660000}"/>
    <cellStyle name="Normal 67 3 2 3 4" xfId="23344" xr:uid="{00000000-0005-0000-0000-00001B660000}"/>
    <cellStyle name="Normal 67 3 2 4" xfId="9270" xr:uid="{00000000-0005-0000-0000-00001C660000}"/>
    <cellStyle name="Normal 67 3 2 4 2" xfId="18626" xr:uid="{00000000-0005-0000-0000-00001D660000}"/>
    <cellStyle name="Normal 67 3 2 4 2 2" xfId="35200" xr:uid="{00000000-0005-0000-0000-00001E660000}"/>
    <cellStyle name="Normal 67 3 2 4 3" xfId="27153" xr:uid="{00000000-0005-0000-0000-00001F660000}"/>
    <cellStyle name="Normal 67 3 2 5" xfId="14836" xr:uid="{00000000-0005-0000-0000-000020660000}"/>
    <cellStyle name="Normal 67 3 2 5 2" xfId="31384" xr:uid="{00000000-0005-0000-0000-000021660000}"/>
    <cellStyle name="Normal 67 3 2 6" xfId="23341" xr:uid="{00000000-0005-0000-0000-000022660000}"/>
    <cellStyle name="Normal 67 3 3" xfId="5342" xr:uid="{00000000-0005-0000-0000-000023660000}"/>
    <cellStyle name="Normal 67 3 3 2" xfId="5343" xr:uid="{00000000-0005-0000-0000-000024660000}"/>
    <cellStyle name="Normal 67 3 3 2 2" xfId="9271" xr:uid="{00000000-0005-0000-0000-000025660000}"/>
    <cellStyle name="Normal 67 3 3 2 2 2" xfId="18627" xr:uid="{00000000-0005-0000-0000-000026660000}"/>
    <cellStyle name="Normal 67 3 3 2 2 2 2" xfId="35201" xr:uid="{00000000-0005-0000-0000-000027660000}"/>
    <cellStyle name="Normal 67 3 3 2 2 3" xfId="27154" xr:uid="{00000000-0005-0000-0000-000028660000}"/>
    <cellStyle name="Normal 67 3 3 2 3" xfId="14841" xr:uid="{00000000-0005-0000-0000-000029660000}"/>
    <cellStyle name="Normal 67 3 3 2 3 2" xfId="31389" xr:uid="{00000000-0005-0000-0000-00002A660000}"/>
    <cellStyle name="Normal 67 3 3 2 4" xfId="23346" xr:uid="{00000000-0005-0000-0000-00002B660000}"/>
    <cellStyle name="Normal 67 3 3 3" xfId="9272" xr:uid="{00000000-0005-0000-0000-00002C660000}"/>
    <cellStyle name="Normal 67 3 3 3 2" xfId="18628" xr:uid="{00000000-0005-0000-0000-00002D660000}"/>
    <cellStyle name="Normal 67 3 3 3 2 2" xfId="35202" xr:uid="{00000000-0005-0000-0000-00002E660000}"/>
    <cellStyle name="Normal 67 3 3 3 3" xfId="27155" xr:uid="{00000000-0005-0000-0000-00002F660000}"/>
    <cellStyle name="Normal 67 3 3 4" xfId="14840" xr:uid="{00000000-0005-0000-0000-000030660000}"/>
    <cellStyle name="Normal 67 3 3 4 2" xfId="31388" xr:uid="{00000000-0005-0000-0000-000031660000}"/>
    <cellStyle name="Normal 67 3 3 5" xfId="23345" xr:uid="{00000000-0005-0000-0000-000032660000}"/>
    <cellStyle name="Normal 67 3 4" xfId="5344" xr:uid="{00000000-0005-0000-0000-000033660000}"/>
    <cellStyle name="Normal 67 3 4 2" xfId="9273" xr:uid="{00000000-0005-0000-0000-000034660000}"/>
    <cellStyle name="Normal 67 3 4 2 2" xfId="18629" xr:uid="{00000000-0005-0000-0000-000035660000}"/>
    <cellStyle name="Normal 67 3 4 2 2 2" xfId="35203" xr:uid="{00000000-0005-0000-0000-000036660000}"/>
    <cellStyle name="Normal 67 3 4 2 3" xfId="27156" xr:uid="{00000000-0005-0000-0000-000037660000}"/>
    <cellStyle name="Normal 67 3 4 3" xfId="14842" xr:uid="{00000000-0005-0000-0000-000038660000}"/>
    <cellStyle name="Normal 67 3 4 3 2" xfId="31390" xr:uid="{00000000-0005-0000-0000-000039660000}"/>
    <cellStyle name="Normal 67 3 4 4" xfId="23347" xr:uid="{00000000-0005-0000-0000-00003A660000}"/>
    <cellStyle name="Normal 67 3 5" xfId="5345" xr:uid="{00000000-0005-0000-0000-00003B660000}"/>
    <cellStyle name="Normal 67 3 5 2" xfId="14843" xr:uid="{00000000-0005-0000-0000-00003C660000}"/>
    <cellStyle name="Normal 67 3 5 2 2" xfId="31391" xr:uid="{00000000-0005-0000-0000-00003D660000}"/>
    <cellStyle name="Normal 67 3 5 3" xfId="23348" xr:uid="{00000000-0005-0000-0000-00003E660000}"/>
    <cellStyle name="Normal 67 4" xfId="5346" xr:uid="{00000000-0005-0000-0000-00003F660000}"/>
    <cellStyle name="Normal 67 4 2" xfId="5347" xr:uid="{00000000-0005-0000-0000-000040660000}"/>
    <cellStyle name="Normal 67 4 2 2" xfId="5348" xr:uid="{00000000-0005-0000-0000-000041660000}"/>
    <cellStyle name="Normal 67 4 2 2 2" xfId="5349" xr:uid="{00000000-0005-0000-0000-000042660000}"/>
    <cellStyle name="Normal 67 4 2 2 2 2" xfId="9274" xr:uid="{00000000-0005-0000-0000-000043660000}"/>
    <cellStyle name="Normal 67 4 2 2 2 2 2" xfId="18630" xr:uid="{00000000-0005-0000-0000-000044660000}"/>
    <cellStyle name="Normal 67 4 2 2 2 2 2 2" xfId="35204" xr:uid="{00000000-0005-0000-0000-000045660000}"/>
    <cellStyle name="Normal 67 4 2 2 2 2 3" xfId="27157" xr:uid="{00000000-0005-0000-0000-000046660000}"/>
    <cellStyle name="Normal 67 4 2 2 2 3" xfId="14847" xr:uid="{00000000-0005-0000-0000-000047660000}"/>
    <cellStyle name="Normal 67 4 2 2 2 3 2" xfId="31395" xr:uid="{00000000-0005-0000-0000-000048660000}"/>
    <cellStyle name="Normal 67 4 2 2 2 4" xfId="23352" xr:uid="{00000000-0005-0000-0000-000049660000}"/>
    <cellStyle name="Normal 67 4 2 2 3" xfId="9275" xr:uid="{00000000-0005-0000-0000-00004A660000}"/>
    <cellStyle name="Normal 67 4 2 2 3 2" xfId="18631" xr:uid="{00000000-0005-0000-0000-00004B660000}"/>
    <cellStyle name="Normal 67 4 2 2 3 2 2" xfId="35205" xr:uid="{00000000-0005-0000-0000-00004C660000}"/>
    <cellStyle name="Normal 67 4 2 2 3 3" xfId="27158" xr:uid="{00000000-0005-0000-0000-00004D660000}"/>
    <cellStyle name="Normal 67 4 2 2 4" xfId="14846" xr:uid="{00000000-0005-0000-0000-00004E660000}"/>
    <cellStyle name="Normal 67 4 2 2 4 2" xfId="31394" xr:uid="{00000000-0005-0000-0000-00004F660000}"/>
    <cellStyle name="Normal 67 4 2 2 5" xfId="23351" xr:uid="{00000000-0005-0000-0000-000050660000}"/>
    <cellStyle name="Normal 67 4 2 3" xfId="5350" xr:uid="{00000000-0005-0000-0000-000051660000}"/>
    <cellStyle name="Normal 67 4 2 3 2" xfId="9276" xr:uid="{00000000-0005-0000-0000-000052660000}"/>
    <cellStyle name="Normal 67 4 2 3 2 2" xfId="18632" xr:uid="{00000000-0005-0000-0000-000053660000}"/>
    <cellStyle name="Normal 67 4 2 3 2 2 2" xfId="35206" xr:uid="{00000000-0005-0000-0000-000054660000}"/>
    <cellStyle name="Normal 67 4 2 3 2 3" xfId="27159" xr:uid="{00000000-0005-0000-0000-000055660000}"/>
    <cellStyle name="Normal 67 4 2 3 3" xfId="14848" xr:uid="{00000000-0005-0000-0000-000056660000}"/>
    <cellStyle name="Normal 67 4 2 3 3 2" xfId="31396" xr:uid="{00000000-0005-0000-0000-000057660000}"/>
    <cellStyle name="Normal 67 4 2 3 4" xfId="23353" xr:uid="{00000000-0005-0000-0000-000058660000}"/>
    <cellStyle name="Normal 67 4 2 4" xfId="9277" xr:uid="{00000000-0005-0000-0000-000059660000}"/>
    <cellStyle name="Normal 67 4 2 4 2" xfId="18633" xr:uid="{00000000-0005-0000-0000-00005A660000}"/>
    <cellStyle name="Normal 67 4 2 4 2 2" xfId="35207" xr:uid="{00000000-0005-0000-0000-00005B660000}"/>
    <cellStyle name="Normal 67 4 2 4 3" xfId="27160" xr:uid="{00000000-0005-0000-0000-00005C660000}"/>
    <cellStyle name="Normal 67 4 2 5" xfId="14845" xr:uid="{00000000-0005-0000-0000-00005D660000}"/>
    <cellStyle name="Normal 67 4 2 5 2" xfId="31393" xr:uid="{00000000-0005-0000-0000-00005E660000}"/>
    <cellStyle name="Normal 67 4 2 6" xfId="23350" xr:uid="{00000000-0005-0000-0000-00005F660000}"/>
    <cellStyle name="Normal 67 4 3" xfId="5351" xr:uid="{00000000-0005-0000-0000-000060660000}"/>
    <cellStyle name="Normal 67 4 3 2" xfId="5352" xr:uid="{00000000-0005-0000-0000-000061660000}"/>
    <cellStyle name="Normal 67 4 3 2 2" xfId="9278" xr:uid="{00000000-0005-0000-0000-000062660000}"/>
    <cellStyle name="Normal 67 4 3 2 2 2" xfId="18634" xr:uid="{00000000-0005-0000-0000-000063660000}"/>
    <cellStyle name="Normal 67 4 3 2 2 2 2" xfId="35208" xr:uid="{00000000-0005-0000-0000-000064660000}"/>
    <cellStyle name="Normal 67 4 3 2 2 3" xfId="27161" xr:uid="{00000000-0005-0000-0000-000065660000}"/>
    <cellStyle name="Normal 67 4 3 2 3" xfId="14850" xr:uid="{00000000-0005-0000-0000-000066660000}"/>
    <cellStyle name="Normal 67 4 3 2 3 2" xfId="31398" xr:uid="{00000000-0005-0000-0000-000067660000}"/>
    <cellStyle name="Normal 67 4 3 2 4" xfId="23355" xr:uid="{00000000-0005-0000-0000-000068660000}"/>
    <cellStyle name="Normal 67 4 3 3" xfId="9279" xr:uid="{00000000-0005-0000-0000-000069660000}"/>
    <cellStyle name="Normal 67 4 3 3 2" xfId="18635" xr:uid="{00000000-0005-0000-0000-00006A660000}"/>
    <cellStyle name="Normal 67 4 3 3 2 2" xfId="35209" xr:uid="{00000000-0005-0000-0000-00006B660000}"/>
    <cellStyle name="Normal 67 4 3 3 3" xfId="27162" xr:uid="{00000000-0005-0000-0000-00006C660000}"/>
    <cellStyle name="Normal 67 4 3 4" xfId="14849" xr:uid="{00000000-0005-0000-0000-00006D660000}"/>
    <cellStyle name="Normal 67 4 3 4 2" xfId="31397" xr:uid="{00000000-0005-0000-0000-00006E660000}"/>
    <cellStyle name="Normal 67 4 3 5" xfId="23354" xr:uid="{00000000-0005-0000-0000-00006F660000}"/>
    <cellStyle name="Normal 67 4 4" xfId="5353" xr:uid="{00000000-0005-0000-0000-000070660000}"/>
    <cellStyle name="Normal 67 4 4 2" xfId="9280" xr:uid="{00000000-0005-0000-0000-000071660000}"/>
    <cellStyle name="Normal 67 4 4 2 2" xfId="18636" xr:uid="{00000000-0005-0000-0000-000072660000}"/>
    <cellStyle name="Normal 67 4 4 2 2 2" xfId="35210" xr:uid="{00000000-0005-0000-0000-000073660000}"/>
    <cellStyle name="Normal 67 4 4 2 3" xfId="27163" xr:uid="{00000000-0005-0000-0000-000074660000}"/>
    <cellStyle name="Normal 67 4 4 3" xfId="14851" xr:uid="{00000000-0005-0000-0000-000075660000}"/>
    <cellStyle name="Normal 67 4 4 3 2" xfId="31399" xr:uid="{00000000-0005-0000-0000-000076660000}"/>
    <cellStyle name="Normal 67 4 4 4" xfId="23356" xr:uid="{00000000-0005-0000-0000-000077660000}"/>
    <cellStyle name="Normal 67 4 5" xfId="9281" xr:uid="{00000000-0005-0000-0000-000078660000}"/>
    <cellStyle name="Normal 67 4 5 2" xfId="18637" xr:uid="{00000000-0005-0000-0000-000079660000}"/>
    <cellStyle name="Normal 67 4 5 2 2" xfId="35211" xr:uid="{00000000-0005-0000-0000-00007A660000}"/>
    <cellStyle name="Normal 67 4 5 3" xfId="27164" xr:uid="{00000000-0005-0000-0000-00007B660000}"/>
    <cellStyle name="Normal 67 4 6" xfId="14844" xr:uid="{00000000-0005-0000-0000-00007C660000}"/>
    <cellStyle name="Normal 67 4 6 2" xfId="31392" xr:uid="{00000000-0005-0000-0000-00007D660000}"/>
    <cellStyle name="Normal 67 4 7" xfId="23349" xr:uid="{00000000-0005-0000-0000-00007E660000}"/>
    <cellStyle name="Normal 67 5" xfId="5354" xr:uid="{00000000-0005-0000-0000-00007F660000}"/>
    <cellStyle name="Normal 67 5 2" xfId="5355" xr:uid="{00000000-0005-0000-0000-000080660000}"/>
    <cellStyle name="Normal 67 5 2 2" xfId="5356" xr:uid="{00000000-0005-0000-0000-000081660000}"/>
    <cellStyle name="Normal 67 5 2 2 2" xfId="5357" xr:uid="{00000000-0005-0000-0000-000082660000}"/>
    <cellStyle name="Normal 67 5 2 2 2 2" xfId="9282" xr:uid="{00000000-0005-0000-0000-000083660000}"/>
    <cellStyle name="Normal 67 5 2 2 2 2 2" xfId="18638" xr:uid="{00000000-0005-0000-0000-000084660000}"/>
    <cellStyle name="Normal 67 5 2 2 2 2 2 2" xfId="35212" xr:uid="{00000000-0005-0000-0000-000085660000}"/>
    <cellStyle name="Normal 67 5 2 2 2 2 3" xfId="27165" xr:uid="{00000000-0005-0000-0000-000086660000}"/>
    <cellStyle name="Normal 67 5 2 2 2 3" xfId="14855" xr:uid="{00000000-0005-0000-0000-000087660000}"/>
    <cellStyle name="Normal 67 5 2 2 2 3 2" xfId="31403" xr:uid="{00000000-0005-0000-0000-000088660000}"/>
    <cellStyle name="Normal 67 5 2 2 2 4" xfId="23360" xr:uid="{00000000-0005-0000-0000-000089660000}"/>
    <cellStyle name="Normal 67 5 2 2 3" xfId="9283" xr:uid="{00000000-0005-0000-0000-00008A660000}"/>
    <cellStyle name="Normal 67 5 2 2 3 2" xfId="18639" xr:uid="{00000000-0005-0000-0000-00008B660000}"/>
    <cellStyle name="Normal 67 5 2 2 3 2 2" xfId="35213" xr:uid="{00000000-0005-0000-0000-00008C660000}"/>
    <cellStyle name="Normal 67 5 2 2 3 3" xfId="27166" xr:uid="{00000000-0005-0000-0000-00008D660000}"/>
    <cellStyle name="Normal 67 5 2 2 4" xfId="14854" xr:uid="{00000000-0005-0000-0000-00008E660000}"/>
    <cellStyle name="Normal 67 5 2 2 4 2" xfId="31402" xr:uid="{00000000-0005-0000-0000-00008F660000}"/>
    <cellStyle name="Normal 67 5 2 2 5" xfId="23359" xr:uid="{00000000-0005-0000-0000-000090660000}"/>
    <cellStyle name="Normal 67 5 2 3" xfId="5358" xr:uid="{00000000-0005-0000-0000-000091660000}"/>
    <cellStyle name="Normal 67 5 2 3 2" xfId="9284" xr:uid="{00000000-0005-0000-0000-000092660000}"/>
    <cellStyle name="Normal 67 5 2 3 2 2" xfId="18640" xr:uid="{00000000-0005-0000-0000-000093660000}"/>
    <cellStyle name="Normal 67 5 2 3 2 2 2" xfId="35214" xr:uid="{00000000-0005-0000-0000-000094660000}"/>
    <cellStyle name="Normal 67 5 2 3 2 3" xfId="27167" xr:uid="{00000000-0005-0000-0000-000095660000}"/>
    <cellStyle name="Normal 67 5 2 3 3" xfId="14856" xr:uid="{00000000-0005-0000-0000-000096660000}"/>
    <cellStyle name="Normal 67 5 2 3 3 2" xfId="31404" xr:uid="{00000000-0005-0000-0000-000097660000}"/>
    <cellStyle name="Normal 67 5 2 3 4" xfId="23361" xr:uid="{00000000-0005-0000-0000-000098660000}"/>
    <cellStyle name="Normal 67 5 2 4" xfId="9285" xr:uid="{00000000-0005-0000-0000-000099660000}"/>
    <cellStyle name="Normal 67 5 2 4 2" xfId="18641" xr:uid="{00000000-0005-0000-0000-00009A660000}"/>
    <cellStyle name="Normal 67 5 2 4 2 2" xfId="35215" xr:uid="{00000000-0005-0000-0000-00009B660000}"/>
    <cellStyle name="Normal 67 5 2 4 3" xfId="27168" xr:uid="{00000000-0005-0000-0000-00009C660000}"/>
    <cellStyle name="Normal 67 5 2 5" xfId="14853" xr:uid="{00000000-0005-0000-0000-00009D660000}"/>
    <cellStyle name="Normal 67 5 2 5 2" xfId="31401" xr:uid="{00000000-0005-0000-0000-00009E660000}"/>
    <cellStyle name="Normal 67 5 2 6" xfId="23358" xr:uid="{00000000-0005-0000-0000-00009F660000}"/>
    <cellStyle name="Normal 67 5 3" xfId="5359" xr:uid="{00000000-0005-0000-0000-0000A0660000}"/>
    <cellStyle name="Normal 67 5 3 2" xfId="5360" xr:uid="{00000000-0005-0000-0000-0000A1660000}"/>
    <cellStyle name="Normal 67 5 3 2 2" xfId="9286" xr:uid="{00000000-0005-0000-0000-0000A2660000}"/>
    <cellStyle name="Normal 67 5 3 2 2 2" xfId="18642" xr:uid="{00000000-0005-0000-0000-0000A3660000}"/>
    <cellStyle name="Normal 67 5 3 2 2 2 2" xfId="35216" xr:uid="{00000000-0005-0000-0000-0000A4660000}"/>
    <cellStyle name="Normal 67 5 3 2 2 3" xfId="27169" xr:uid="{00000000-0005-0000-0000-0000A5660000}"/>
    <cellStyle name="Normal 67 5 3 2 3" xfId="14858" xr:uid="{00000000-0005-0000-0000-0000A6660000}"/>
    <cellStyle name="Normal 67 5 3 2 3 2" xfId="31406" xr:uid="{00000000-0005-0000-0000-0000A7660000}"/>
    <cellStyle name="Normal 67 5 3 2 4" xfId="23363" xr:uid="{00000000-0005-0000-0000-0000A8660000}"/>
    <cellStyle name="Normal 67 5 3 3" xfId="9287" xr:uid="{00000000-0005-0000-0000-0000A9660000}"/>
    <cellStyle name="Normal 67 5 3 3 2" xfId="18643" xr:uid="{00000000-0005-0000-0000-0000AA660000}"/>
    <cellStyle name="Normal 67 5 3 3 2 2" xfId="35217" xr:uid="{00000000-0005-0000-0000-0000AB660000}"/>
    <cellStyle name="Normal 67 5 3 3 3" xfId="27170" xr:uid="{00000000-0005-0000-0000-0000AC660000}"/>
    <cellStyle name="Normal 67 5 3 4" xfId="14857" xr:uid="{00000000-0005-0000-0000-0000AD660000}"/>
    <cellStyle name="Normal 67 5 3 4 2" xfId="31405" xr:uid="{00000000-0005-0000-0000-0000AE660000}"/>
    <cellStyle name="Normal 67 5 3 5" xfId="23362" xr:uid="{00000000-0005-0000-0000-0000AF660000}"/>
    <cellStyle name="Normal 67 5 4" xfId="5361" xr:uid="{00000000-0005-0000-0000-0000B0660000}"/>
    <cellStyle name="Normal 67 5 4 2" xfId="9288" xr:uid="{00000000-0005-0000-0000-0000B1660000}"/>
    <cellStyle name="Normal 67 5 4 2 2" xfId="18644" xr:uid="{00000000-0005-0000-0000-0000B2660000}"/>
    <cellStyle name="Normal 67 5 4 2 2 2" xfId="35218" xr:uid="{00000000-0005-0000-0000-0000B3660000}"/>
    <cellStyle name="Normal 67 5 4 2 3" xfId="27171" xr:uid="{00000000-0005-0000-0000-0000B4660000}"/>
    <cellStyle name="Normal 67 5 4 3" xfId="14859" xr:uid="{00000000-0005-0000-0000-0000B5660000}"/>
    <cellStyle name="Normal 67 5 4 3 2" xfId="31407" xr:uid="{00000000-0005-0000-0000-0000B6660000}"/>
    <cellStyle name="Normal 67 5 4 4" xfId="23364" xr:uid="{00000000-0005-0000-0000-0000B7660000}"/>
    <cellStyle name="Normal 67 5 5" xfId="9289" xr:uid="{00000000-0005-0000-0000-0000B8660000}"/>
    <cellStyle name="Normal 67 5 5 2" xfId="18645" xr:uid="{00000000-0005-0000-0000-0000B9660000}"/>
    <cellStyle name="Normal 67 5 5 2 2" xfId="35219" xr:uid="{00000000-0005-0000-0000-0000BA660000}"/>
    <cellStyle name="Normal 67 5 5 3" xfId="27172" xr:uid="{00000000-0005-0000-0000-0000BB660000}"/>
    <cellStyle name="Normal 67 5 6" xfId="14852" xr:uid="{00000000-0005-0000-0000-0000BC660000}"/>
    <cellStyle name="Normal 67 5 6 2" xfId="31400" xr:uid="{00000000-0005-0000-0000-0000BD660000}"/>
    <cellStyle name="Normal 67 5 7" xfId="23357" xr:uid="{00000000-0005-0000-0000-0000BE660000}"/>
    <cellStyle name="Normal 67 6" xfId="5362" xr:uid="{00000000-0005-0000-0000-0000BF660000}"/>
    <cellStyle name="Normal 67 6 2" xfId="5363" xr:uid="{00000000-0005-0000-0000-0000C0660000}"/>
    <cellStyle name="Normal 67 6 2 2" xfId="5364" xr:uid="{00000000-0005-0000-0000-0000C1660000}"/>
    <cellStyle name="Normal 67 6 2 2 2" xfId="9290" xr:uid="{00000000-0005-0000-0000-0000C2660000}"/>
    <cellStyle name="Normal 67 6 2 2 2 2" xfId="18646" xr:uid="{00000000-0005-0000-0000-0000C3660000}"/>
    <cellStyle name="Normal 67 6 2 2 2 2 2" xfId="35220" xr:uid="{00000000-0005-0000-0000-0000C4660000}"/>
    <cellStyle name="Normal 67 6 2 2 2 3" xfId="27173" xr:uid="{00000000-0005-0000-0000-0000C5660000}"/>
    <cellStyle name="Normal 67 6 2 2 3" xfId="14862" xr:uid="{00000000-0005-0000-0000-0000C6660000}"/>
    <cellStyle name="Normal 67 6 2 2 3 2" xfId="31410" xr:uid="{00000000-0005-0000-0000-0000C7660000}"/>
    <cellStyle name="Normal 67 6 2 2 4" xfId="23367" xr:uid="{00000000-0005-0000-0000-0000C8660000}"/>
    <cellStyle name="Normal 67 6 2 3" xfId="9291" xr:uid="{00000000-0005-0000-0000-0000C9660000}"/>
    <cellStyle name="Normal 67 6 2 3 2" xfId="18647" xr:uid="{00000000-0005-0000-0000-0000CA660000}"/>
    <cellStyle name="Normal 67 6 2 3 2 2" xfId="35221" xr:uid="{00000000-0005-0000-0000-0000CB660000}"/>
    <cellStyle name="Normal 67 6 2 3 3" xfId="27174" xr:uid="{00000000-0005-0000-0000-0000CC660000}"/>
    <cellStyle name="Normal 67 6 2 4" xfId="14861" xr:uid="{00000000-0005-0000-0000-0000CD660000}"/>
    <cellStyle name="Normal 67 6 2 4 2" xfId="31409" xr:uid="{00000000-0005-0000-0000-0000CE660000}"/>
    <cellStyle name="Normal 67 6 2 5" xfId="23366" xr:uid="{00000000-0005-0000-0000-0000CF660000}"/>
    <cellStyle name="Normal 67 6 3" xfId="5365" xr:uid="{00000000-0005-0000-0000-0000D0660000}"/>
    <cellStyle name="Normal 67 6 3 2" xfId="9292" xr:uid="{00000000-0005-0000-0000-0000D1660000}"/>
    <cellStyle name="Normal 67 6 3 2 2" xfId="18648" xr:uid="{00000000-0005-0000-0000-0000D2660000}"/>
    <cellStyle name="Normal 67 6 3 2 2 2" xfId="35222" xr:uid="{00000000-0005-0000-0000-0000D3660000}"/>
    <cellStyle name="Normal 67 6 3 2 3" xfId="27175" xr:uid="{00000000-0005-0000-0000-0000D4660000}"/>
    <cellStyle name="Normal 67 6 3 3" xfId="14863" xr:uid="{00000000-0005-0000-0000-0000D5660000}"/>
    <cellStyle name="Normal 67 6 3 3 2" xfId="31411" xr:uid="{00000000-0005-0000-0000-0000D6660000}"/>
    <cellStyle name="Normal 67 6 3 4" xfId="23368" xr:uid="{00000000-0005-0000-0000-0000D7660000}"/>
    <cellStyle name="Normal 67 6 4" xfId="9293" xr:uid="{00000000-0005-0000-0000-0000D8660000}"/>
    <cellStyle name="Normal 67 6 4 2" xfId="18649" xr:uid="{00000000-0005-0000-0000-0000D9660000}"/>
    <cellStyle name="Normal 67 6 4 2 2" xfId="35223" xr:uid="{00000000-0005-0000-0000-0000DA660000}"/>
    <cellStyle name="Normal 67 6 4 3" xfId="27176" xr:uid="{00000000-0005-0000-0000-0000DB660000}"/>
    <cellStyle name="Normal 67 6 5" xfId="14860" xr:uid="{00000000-0005-0000-0000-0000DC660000}"/>
    <cellStyle name="Normal 67 6 5 2" xfId="31408" xr:uid="{00000000-0005-0000-0000-0000DD660000}"/>
    <cellStyle name="Normal 67 6 6" xfId="23365" xr:uid="{00000000-0005-0000-0000-0000DE660000}"/>
    <cellStyle name="Normal 67 7" xfId="5366" xr:uid="{00000000-0005-0000-0000-0000DF660000}"/>
    <cellStyle name="Normal 67 7 2" xfId="5367" xr:uid="{00000000-0005-0000-0000-0000E0660000}"/>
    <cellStyle name="Normal 67 7 2 2" xfId="9294" xr:uid="{00000000-0005-0000-0000-0000E1660000}"/>
    <cellStyle name="Normal 67 7 2 2 2" xfId="18650" xr:uid="{00000000-0005-0000-0000-0000E2660000}"/>
    <cellStyle name="Normal 67 7 2 2 2 2" xfId="35224" xr:uid="{00000000-0005-0000-0000-0000E3660000}"/>
    <cellStyle name="Normal 67 7 2 2 3" xfId="27177" xr:uid="{00000000-0005-0000-0000-0000E4660000}"/>
    <cellStyle name="Normal 67 7 2 3" xfId="14865" xr:uid="{00000000-0005-0000-0000-0000E5660000}"/>
    <cellStyle name="Normal 67 7 2 3 2" xfId="31413" xr:uid="{00000000-0005-0000-0000-0000E6660000}"/>
    <cellStyle name="Normal 67 7 2 4" xfId="23370" xr:uid="{00000000-0005-0000-0000-0000E7660000}"/>
    <cellStyle name="Normal 67 7 3" xfId="9295" xr:uid="{00000000-0005-0000-0000-0000E8660000}"/>
    <cellStyle name="Normal 67 7 3 2" xfId="18651" xr:uid="{00000000-0005-0000-0000-0000E9660000}"/>
    <cellStyle name="Normal 67 7 3 2 2" xfId="35225" xr:uid="{00000000-0005-0000-0000-0000EA660000}"/>
    <cellStyle name="Normal 67 7 3 3" xfId="27178" xr:uid="{00000000-0005-0000-0000-0000EB660000}"/>
    <cellStyle name="Normal 67 7 4" xfId="14864" xr:uid="{00000000-0005-0000-0000-0000EC660000}"/>
    <cellStyle name="Normal 67 7 4 2" xfId="31412" xr:uid="{00000000-0005-0000-0000-0000ED660000}"/>
    <cellStyle name="Normal 67 7 5" xfId="23369" xr:uid="{00000000-0005-0000-0000-0000EE660000}"/>
    <cellStyle name="Normal 67 8" xfId="5368" xr:uid="{00000000-0005-0000-0000-0000EF660000}"/>
    <cellStyle name="Normal 67 8 2" xfId="9296" xr:uid="{00000000-0005-0000-0000-0000F0660000}"/>
    <cellStyle name="Normal 67 8 2 2" xfId="18652" xr:uid="{00000000-0005-0000-0000-0000F1660000}"/>
    <cellStyle name="Normal 67 8 2 2 2" xfId="35226" xr:uid="{00000000-0005-0000-0000-0000F2660000}"/>
    <cellStyle name="Normal 67 8 2 3" xfId="27179" xr:uid="{00000000-0005-0000-0000-0000F3660000}"/>
    <cellStyle name="Normal 67 8 3" xfId="14866" xr:uid="{00000000-0005-0000-0000-0000F4660000}"/>
    <cellStyle name="Normal 67 8 3 2" xfId="31414" xr:uid="{00000000-0005-0000-0000-0000F5660000}"/>
    <cellStyle name="Normal 67 8 4" xfId="23371" xr:uid="{00000000-0005-0000-0000-0000F6660000}"/>
    <cellStyle name="Normal 67 9" xfId="9297" xr:uid="{00000000-0005-0000-0000-0000F7660000}"/>
    <cellStyle name="Normal 67 9 2" xfId="18653" xr:uid="{00000000-0005-0000-0000-0000F8660000}"/>
    <cellStyle name="Normal 67 9 2 2" xfId="35227" xr:uid="{00000000-0005-0000-0000-0000F9660000}"/>
    <cellStyle name="Normal 67 9 3" xfId="27180" xr:uid="{00000000-0005-0000-0000-0000FA660000}"/>
    <cellStyle name="Normal 68" xfId="5369" xr:uid="{00000000-0005-0000-0000-0000FB660000}"/>
    <cellStyle name="Normal 68 10" xfId="14867" xr:uid="{00000000-0005-0000-0000-0000FC660000}"/>
    <cellStyle name="Normal 68 10 2" xfId="31415" xr:uid="{00000000-0005-0000-0000-0000FD660000}"/>
    <cellStyle name="Normal 68 11" xfId="23372" xr:uid="{00000000-0005-0000-0000-0000FE660000}"/>
    <cellStyle name="Normal 68 2" xfId="5370" xr:uid="{00000000-0005-0000-0000-0000FF660000}"/>
    <cellStyle name="Normal 68 2 2" xfId="5371" xr:uid="{00000000-0005-0000-0000-000000670000}"/>
    <cellStyle name="Normal 68 2 3" xfId="14868" xr:uid="{00000000-0005-0000-0000-000001670000}"/>
    <cellStyle name="Normal 68 2 3 2" xfId="31416" xr:uid="{00000000-0005-0000-0000-000002670000}"/>
    <cellStyle name="Normal 68 2 4" xfId="23373" xr:uid="{00000000-0005-0000-0000-000003670000}"/>
    <cellStyle name="Normal 68 3" xfId="5372" xr:uid="{00000000-0005-0000-0000-000004670000}"/>
    <cellStyle name="Normal 68 3 2" xfId="5373" xr:uid="{00000000-0005-0000-0000-000005670000}"/>
    <cellStyle name="Normal 68 3 2 2" xfId="5374" xr:uid="{00000000-0005-0000-0000-000006670000}"/>
    <cellStyle name="Normal 68 3 2 2 2" xfId="5375" xr:uid="{00000000-0005-0000-0000-000007670000}"/>
    <cellStyle name="Normal 68 3 2 2 2 2" xfId="9298" xr:uid="{00000000-0005-0000-0000-000008670000}"/>
    <cellStyle name="Normal 68 3 2 2 2 2 2" xfId="18654" xr:uid="{00000000-0005-0000-0000-000009670000}"/>
    <cellStyle name="Normal 68 3 2 2 2 2 2 2" xfId="35228" xr:uid="{00000000-0005-0000-0000-00000A670000}"/>
    <cellStyle name="Normal 68 3 2 2 2 2 3" xfId="27181" xr:uid="{00000000-0005-0000-0000-00000B670000}"/>
    <cellStyle name="Normal 68 3 2 2 2 3" xfId="14871" xr:uid="{00000000-0005-0000-0000-00000C670000}"/>
    <cellStyle name="Normal 68 3 2 2 2 3 2" xfId="31419" xr:uid="{00000000-0005-0000-0000-00000D670000}"/>
    <cellStyle name="Normal 68 3 2 2 2 4" xfId="23376" xr:uid="{00000000-0005-0000-0000-00000E670000}"/>
    <cellStyle name="Normal 68 3 2 2 3" xfId="9299" xr:uid="{00000000-0005-0000-0000-00000F670000}"/>
    <cellStyle name="Normal 68 3 2 2 3 2" xfId="18655" xr:uid="{00000000-0005-0000-0000-000010670000}"/>
    <cellStyle name="Normal 68 3 2 2 3 2 2" xfId="35229" xr:uid="{00000000-0005-0000-0000-000011670000}"/>
    <cellStyle name="Normal 68 3 2 2 3 3" xfId="27182" xr:uid="{00000000-0005-0000-0000-000012670000}"/>
    <cellStyle name="Normal 68 3 2 2 4" xfId="14870" xr:uid="{00000000-0005-0000-0000-000013670000}"/>
    <cellStyle name="Normal 68 3 2 2 4 2" xfId="31418" xr:uid="{00000000-0005-0000-0000-000014670000}"/>
    <cellStyle name="Normal 68 3 2 2 5" xfId="23375" xr:uid="{00000000-0005-0000-0000-000015670000}"/>
    <cellStyle name="Normal 68 3 2 3" xfId="5376" xr:uid="{00000000-0005-0000-0000-000016670000}"/>
    <cellStyle name="Normal 68 3 2 3 2" xfId="9300" xr:uid="{00000000-0005-0000-0000-000017670000}"/>
    <cellStyle name="Normal 68 3 2 3 2 2" xfId="18656" xr:uid="{00000000-0005-0000-0000-000018670000}"/>
    <cellStyle name="Normal 68 3 2 3 2 2 2" xfId="35230" xr:uid="{00000000-0005-0000-0000-000019670000}"/>
    <cellStyle name="Normal 68 3 2 3 2 3" xfId="27183" xr:uid="{00000000-0005-0000-0000-00001A670000}"/>
    <cellStyle name="Normal 68 3 2 3 3" xfId="14872" xr:uid="{00000000-0005-0000-0000-00001B670000}"/>
    <cellStyle name="Normal 68 3 2 3 3 2" xfId="31420" xr:uid="{00000000-0005-0000-0000-00001C670000}"/>
    <cellStyle name="Normal 68 3 2 3 4" xfId="23377" xr:uid="{00000000-0005-0000-0000-00001D670000}"/>
    <cellStyle name="Normal 68 3 2 4" xfId="9301" xr:uid="{00000000-0005-0000-0000-00001E670000}"/>
    <cellStyle name="Normal 68 3 2 4 2" xfId="18657" xr:uid="{00000000-0005-0000-0000-00001F670000}"/>
    <cellStyle name="Normal 68 3 2 4 2 2" xfId="35231" xr:uid="{00000000-0005-0000-0000-000020670000}"/>
    <cellStyle name="Normal 68 3 2 4 3" xfId="27184" xr:uid="{00000000-0005-0000-0000-000021670000}"/>
    <cellStyle name="Normal 68 3 2 5" xfId="14869" xr:uid="{00000000-0005-0000-0000-000022670000}"/>
    <cellStyle name="Normal 68 3 2 5 2" xfId="31417" xr:uid="{00000000-0005-0000-0000-000023670000}"/>
    <cellStyle name="Normal 68 3 2 6" xfId="23374" xr:uid="{00000000-0005-0000-0000-000024670000}"/>
    <cellStyle name="Normal 68 3 3" xfId="5377" xr:uid="{00000000-0005-0000-0000-000025670000}"/>
    <cellStyle name="Normal 68 3 3 2" xfId="5378" xr:uid="{00000000-0005-0000-0000-000026670000}"/>
    <cellStyle name="Normal 68 3 3 2 2" xfId="9302" xr:uid="{00000000-0005-0000-0000-000027670000}"/>
    <cellStyle name="Normal 68 3 3 2 2 2" xfId="18658" xr:uid="{00000000-0005-0000-0000-000028670000}"/>
    <cellStyle name="Normal 68 3 3 2 2 2 2" xfId="35232" xr:uid="{00000000-0005-0000-0000-000029670000}"/>
    <cellStyle name="Normal 68 3 3 2 2 3" xfId="27185" xr:uid="{00000000-0005-0000-0000-00002A670000}"/>
    <cellStyle name="Normal 68 3 3 2 3" xfId="14874" xr:uid="{00000000-0005-0000-0000-00002B670000}"/>
    <cellStyle name="Normal 68 3 3 2 3 2" xfId="31422" xr:uid="{00000000-0005-0000-0000-00002C670000}"/>
    <cellStyle name="Normal 68 3 3 2 4" xfId="23379" xr:uid="{00000000-0005-0000-0000-00002D670000}"/>
    <cellStyle name="Normal 68 3 3 3" xfId="9303" xr:uid="{00000000-0005-0000-0000-00002E670000}"/>
    <cellStyle name="Normal 68 3 3 3 2" xfId="18659" xr:uid="{00000000-0005-0000-0000-00002F670000}"/>
    <cellStyle name="Normal 68 3 3 3 2 2" xfId="35233" xr:uid="{00000000-0005-0000-0000-000030670000}"/>
    <cellStyle name="Normal 68 3 3 3 3" xfId="27186" xr:uid="{00000000-0005-0000-0000-000031670000}"/>
    <cellStyle name="Normal 68 3 3 4" xfId="14873" xr:uid="{00000000-0005-0000-0000-000032670000}"/>
    <cellStyle name="Normal 68 3 3 4 2" xfId="31421" xr:uid="{00000000-0005-0000-0000-000033670000}"/>
    <cellStyle name="Normal 68 3 3 5" xfId="23378" xr:uid="{00000000-0005-0000-0000-000034670000}"/>
    <cellStyle name="Normal 68 3 4" xfId="5379" xr:uid="{00000000-0005-0000-0000-000035670000}"/>
    <cellStyle name="Normal 68 3 4 2" xfId="9304" xr:uid="{00000000-0005-0000-0000-000036670000}"/>
    <cellStyle name="Normal 68 3 4 2 2" xfId="18660" xr:uid="{00000000-0005-0000-0000-000037670000}"/>
    <cellStyle name="Normal 68 3 4 2 2 2" xfId="35234" xr:uid="{00000000-0005-0000-0000-000038670000}"/>
    <cellStyle name="Normal 68 3 4 2 3" xfId="27187" xr:uid="{00000000-0005-0000-0000-000039670000}"/>
    <cellStyle name="Normal 68 3 4 3" xfId="14875" xr:uid="{00000000-0005-0000-0000-00003A670000}"/>
    <cellStyle name="Normal 68 3 4 3 2" xfId="31423" xr:uid="{00000000-0005-0000-0000-00003B670000}"/>
    <cellStyle name="Normal 68 3 4 4" xfId="23380" xr:uid="{00000000-0005-0000-0000-00003C670000}"/>
    <cellStyle name="Normal 68 3 5" xfId="5380" xr:uid="{00000000-0005-0000-0000-00003D670000}"/>
    <cellStyle name="Normal 68 3 5 2" xfId="14876" xr:uid="{00000000-0005-0000-0000-00003E670000}"/>
    <cellStyle name="Normal 68 3 5 2 2" xfId="31424" xr:uid="{00000000-0005-0000-0000-00003F670000}"/>
    <cellStyle name="Normal 68 3 5 3" xfId="23381" xr:uid="{00000000-0005-0000-0000-000040670000}"/>
    <cellStyle name="Normal 68 4" xfId="5381" xr:uid="{00000000-0005-0000-0000-000041670000}"/>
    <cellStyle name="Normal 68 4 2" xfId="5382" xr:uid="{00000000-0005-0000-0000-000042670000}"/>
    <cellStyle name="Normal 68 4 2 2" xfId="5383" xr:uid="{00000000-0005-0000-0000-000043670000}"/>
    <cellStyle name="Normal 68 4 2 2 2" xfId="5384" xr:uid="{00000000-0005-0000-0000-000044670000}"/>
    <cellStyle name="Normal 68 4 2 2 2 2" xfId="9305" xr:uid="{00000000-0005-0000-0000-000045670000}"/>
    <cellStyle name="Normal 68 4 2 2 2 2 2" xfId="18661" xr:uid="{00000000-0005-0000-0000-000046670000}"/>
    <cellStyle name="Normal 68 4 2 2 2 2 2 2" xfId="35235" xr:uid="{00000000-0005-0000-0000-000047670000}"/>
    <cellStyle name="Normal 68 4 2 2 2 2 3" xfId="27188" xr:uid="{00000000-0005-0000-0000-000048670000}"/>
    <cellStyle name="Normal 68 4 2 2 2 3" xfId="14880" xr:uid="{00000000-0005-0000-0000-000049670000}"/>
    <cellStyle name="Normal 68 4 2 2 2 3 2" xfId="31428" xr:uid="{00000000-0005-0000-0000-00004A670000}"/>
    <cellStyle name="Normal 68 4 2 2 2 4" xfId="23385" xr:uid="{00000000-0005-0000-0000-00004B670000}"/>
    <cellStyle name="Normal 68 4 2 2 3" xfId="9306" xr:uid="{00000000-0005-0000-0000-00004C670000}"/>
    <cellStyle name="Normal 68 4 2 2 3 2" xfId="18662" xr:uid="{00000000-0005-0000-0000-00004D670000}"/>
    <cellStyle name="Normal 68 4 2 2 3 2 2" xfId="35236" xr:uid="{00000000-0005-0000-0000-00004E670000}"/>
    <cellStyle name="Normal 68 4 2 2 3 3" xfId="27189" xr:uid="{00000000-0005-0000-0000-00004F670000}"/>
    <cellStyle name="Normal 68 4 2 2 4" xfId="14879" xr:uid="{00000000-0005-0000-0000-000050670000}"/>
    <cellStyle name="Normal 68 4 2 2 4 2" xfId="31427" xr:uid="{00000000-0005-0000-0000-000051670000}"/>
    <cellStyle name="Normal 68 4 2 2 5" xfId="23384" xr:uid="{00000000-0005-0000-0000-000052670000}"/>
    <cellStyle name="Normal 68 4 2 3" xfId="5385" xr:uid="{00000000-0005-0000-0000-000053670000}"/>
    <cellStyle name="Normal 68 4 2 3 2" xfId="9307" xr:uid="{00000000-0005-0000-0000-000054670000}"/>
    <cellStyle name="Normal 68 4 2 3 2 2" xfId="18663" xr:uid="{00000000-0005-0000-0000-000055670000}"/>
    <cellStyle name="Normal 68 4 2 3 2 2 2" xfId="35237" xr:uid="{00000000-0005-0000-0000-000056670000}"/>
    <cellStyle name="Normal 68 4 2 3 2 3" xfId="27190" xr:uid="{00000000-0005-0000-0000-000057670000}"/>
    <cellStyle name="Normal 68 4 2 3 3" xfId="14881" xr:uid="{00000000-0005-0000-0000-000058670000}"/>
    <cellStyle name="Normal 68 4 2 3 3 2" xfId="31429" xr:uid="{00000000-0005-0000-0000-000059670000}"/>
    <cellStyle name="Normal 68 4 2 3 4" xfId="23386" xr:uid="{00000000-0005-0000-0000-00005A670000}"/>
    <cellStyle name="Normal 68 4 2 4" xfId="9308" xr:uid="{00000000-0005-0000-0000-00005B670000}"/>
    <cellStyle name="Normal 68 4 2 4 2" xfId="18664" xr:uid="{00000000-0005-0000-0000-00005C670000}"/>
    <cellStyle name="Normal 68 4 2 4 2 2" xfId="35238" xr:uid="{00000000-0005-0000-0000-00005D670000}"/>
    <cellStyle name="Normal 68 4 2 4 3" xfId="27191" xr:uid="{00000000-0005-0000-0000-00005E670000}"/>
    <cellStyle name="Normal 68 4 2 5" xfId="14878" xr:uid="{00000000-0005-0000-0000-00005F670000}"/>
    <cellStyle name="Normal 68 4 2 5 2" xfId="31426" xr:uid="{00000000-0005-0000-0000-000060670000}"/>
    <cellStyle name="Normal 68 4 2 6" xfId="23383" xr:uid="{00000000-0005-0000-0000-000061670000}"/>
    <cellStyle name="Normal 68 4 3" xfId="5386" xr:uid="{00000000-0005-0000-0000-000062670000}"/>
    <cellStyle name="Normal 68 4 3 2" xfId="5387" xr:uid="{00000000-0005-0000-0000-000063670000}"/>
    <cellStyle name="Normal 68 4 3 2 2" xfId="9309" xr:uid="{00000000-0005-0000-0000-000064670000}"/>
    <cellStyle name="Normal 68 4 3 2 2 2" xfId="18665" xr:uid="{00000000-0005-0000-0000-000065670000}"/>
    <cellStyle name="Normal 68 4 3 2 2 2 2" xfId="35239" xr:uid="{00000000-0005-0000-0000-000066670000}"/>
    <cellStyle name="Normal 68 4 3 2 2 3" xfId="27192" xr:uid="{00000000-0005-0000-0000-000067670000}"/>
    <cellStyle name="Normal 68 4 3 2 3" xfId="14883" xr:uid="{00000000-0005-0000-0000-000068670000}"/>
    <cellStyle name="Normal 68 4 3 2 3 2" xfId="31431" xr:uid="{00000000-0005-0000-0000-000069670000}"/>
    <cellStyle name="Normal 68 4 3 2 4" xfId="23388" xr:uid="{00000000-0005-0000-0000-00006A670000}"/>
    <cellStyle name="Normal 68 4 3 3" xfId="9310" xr:uid="{00000000-0005-0000-0000-00006B670000}"/>
    <cellStyle name="Normal 68 4 3 3 2" xfId="18666" xr:uid="{00000000-0005-0000-0000-00006C670000}"/>
    <cellStyle name="Normal 68 4 3 3 2 2" xfId="35240" xr:uid="{00000000-0005-0000-0000-00006D670000}"/>
    <cellStyle name="Normal 68 4 3 3 3" xfId="27193" xr:uid="{00000000-0005-0000-0000-00006E670000}"/>
    <cellStyle name="Normal 68 4 3 4" xfId="14882" xr:uid="{00000000-0005-0000-0000-00006F670000}"/>
    <cellStyle name="Normal 68 4 3 4 2" xfId="31430" xr:uid="{00000000-0005-0000-0000-000070670000}"/>
    <cellStyle name="Normal 68 4 3 5" xfId="23387" xr:uid="{00000000-0005-0000-0000-000071670000}"/>
    <cellStyle name="Normal 68 4 4" xfId="5388" xr:uid="{00000000-0005-0000-0000-000072670000}"/>
    <cellStyle name="Normal 68 4 4 2" xfId="9311" xr:uid="{00000000-0005-0000-0000-000073670000}"/>
    <cellStyle name="Normal 68 4 4 2 2" xfId="18667" xr:uid="{00000000-0005-0000-0000-000074670000}"/>
    <cellStyle name="Normal 68 4 4 2 2 2" xfId="35241" xr:uid="{00000000-0005-0000-0000-000075670000}"/>
    <cellStyle name="Normal 68 4 4 2 3" xfId="27194" xr:uid="{00000000-0005-0000-0000-000076670000}"/>
    <cellStyle name="Normal 68 4 4 3" xfId="14884" xr:uid="{00000000-0005-0000-0000-000077670000}"/>
    <cellStyle name="Normal 68 4 4 3 2" xfId="31432" xr:uid="{00000000-0005-0000-0000-000078670000}"/>
    <cellStyle name="Normal 68 4 4 4" xfId="23389" xr:uid="{00000000-0005-0000-0000-000079670000}"/>
    <cellStyle name="Normal 68 4 5" xfId="9312" xr:uid="{00000000-0005-0000-0000-00007A670000}"/>
    <cellStyle name="Normal 68 4 5 2" xfId="18668" xr:uid="{00000000-0005-0000-0000-00007B670000}"/>
    <cellStyle name="Normal 68 4 5 2 2" xfId="35242" xr:uid="{00000000-0005-0000-0000-00007C670000}"/>
    <cellStyle name="Normal 68 4 5 3" xfId="27195" xr:uid="{00000000-0005-0000-0000-00007D670000}"/>
    <cellStyle name="Normal 68 4 6" xfId="14877" xr:uid="{00000000-0005-0000-0000-00007E670000}"/>
    <cellStyle name="Normal 68 4 6 2" xfId="31425" xr:uid="{00000000-0005-0000-0000-00007F670000}"/>
    <cellStyle name="Normal 68 4 7" xfId="23382" xr:uid="{00000000-0005-0000-0000-000080670000}"/>
    <cellStyle name="Normal 68 5" xfId="5389" xr:uid="{00000000-0005-0000-0000-000081670000}"/>
    <cellStyle name="Normal 68 5 2" xfId="5390" xr:uid="{00000000-0005-0000-0000-000082670000}"/>
    <cellStyle name="Normal 68 5 2 2" xfId="5391" xr:uid="{00000000-0005-0000-0000-000083670000}"/>
    <cellStyle name="Normal 68 5 2 2 2" xfId="5392" xr:uid="{00000000-0005-0000-0000-000084670000}"/>
    <cellStyle name="Normal 68 5 2 2 2 2" xfId="9313" xr:uid="{00000000-0005-0000-0000-000085670000}"/>
    <cellStyle name="Normal 68 5 2 2 2 2 2" xfId="18669" xr:uid="{00000000-0005-0000-0000-000086670000}"/>
    <cellStyle name="Normal 68 5 2 2 2 2 2 2" xfId="35243" xr:uid="{00000000-0005-0000-0000-000087670000}"/>
    <cellStyle name="Normal 68 5 2 2 2 2 3" xfId="27196" xr:uid="{00000000-0005-0000-0000-000088670000}"/>
    <cellStyle name="Normal 68 5 2 2 2 3" xfId="14888" xr:uid="{00000000-0005-0000-0000-000089670000}"/>
    <cellStyle name="Normal 68 5 2 2 2 3 2" xfId="31436" xr:uid="{00000000-0005-0000-0000-00008A670000}"/>
    <cellStyle name="Normal 68 5 2 2 2 4" xfId="23393" xr:uid="{00000000-0005-0000-0000-00008B670000}"/>
    <cellStyle name="Normal 68 5 2 2 3" xfId="9314" xr:uid="{00000000-0005-0000-0000-00008C670000}"/>
    <cellStyle name="Normal 68 5 2 2 3 2" xfId="18670" xr:uid="{00000000-0005-0000-0000-00008D670000}"/>
    <cellStyle name="Normal 68 5 2 2 3 2 2" xfId="35244" xr:uid="{00000000-0005-0000-0000-00008E670000}"/>
    <cellStyle name="Normal 68 5 2 2 3 3" xfId="27197" xr:uid="{00000000-0005-0000-0000-00008F670000}"/>
    <cellStyle name="Normal 68 5 2 2 4" xfId="14887" xr:uid="{00000000-0005-0000-0000-000090670000}"/>
    <cellStyle name="Normal 68 5 2 2 4 2" xfId="31435" xr:uid="{00000000-0005-0000-0000-000091670000}"/>
    <cellStyle name="Normal 68 5 2 2 5" xfId="23392" xr:uid="{00000000-0005-0000-0000-000092670000}"/>
    <cellStyle name="Normal 68 5 2 3" xfId="5393" xr:uid="{00000000-0005-0000-0000-000093670000}"/>
    <cellStyle name="Normal 68 5 2 3 2" xfId="9315" xr:uid="{00000000-0005-0000-0000-000094670000}"/>
    <cellStyle name="Normal 68 5 2 3 2 2" xfId="18671" xr:uid="{00000000-0005-0000-0000-000095670000}"/>
    <cellStyle name="Normal 68 5 2 3 2 2 2" xfId="35245" xr:uid="{00000000-0005-0000-0000-000096670000}"/>
    <cellStyle name="Normal 68 5 2 3 2 3" xfId="27198" xr:uid="{00000000-0005-0000-0000-000097670000}"/>
    <cellStyle name="Normal 68 5 2 3 3" xfId="14889" xr:uid="{00000000-0005-0000-0000-000098670000}"/>
    <cellStyle name="Normal 68 5 2 3 3 2" xfId="31437" xr:uid="{00000000-0005-0000-0000-000099670000}"/>
    <cellStyle name="Normal 68 5 2 3 4" xfId="23394" xr:uid="{00000000-0005-0000-0000-00009A670000}"/>
    <cellStyle name="Normal 68 5 2 4" xfId="9316" xr:uid="{00000000-0005-0000-0000-00009B670000}"/>
    <cellStyle name="Normal 68 5 2 4 2" xfId="18672" xr:uid="{00000000-0005-0000-0000-00009C670000}"/>
    <cellStyle name="Normal 68 5 2 4 2 2" xfId="35246" xr:uid="{00000000-0005-0000-0000-00009D670000}"/>
    <cellStyle name="Normal 68 5 2 4 3" xfId="27199" xr:uid="{00000000-0005-0000-0000-00009E670000}"/>
    <cellStyle name="Normal 68 5 2 5" xfId="14886" xr:uid="{00000000-0005-0000-0000-00009F670000}"/>
    <cellStyle name="Normal 68 5 2 5 2" xfId="31434" xr:uid="{00000000-0005-0000-0000-0000A0670000}"/>
    <cellStyle name="Normal 68 5 2 6" xfId="23391" xr:uid="{00000000-0005-0000-0000-0000A1670000}"/>
    <cellStyle name="Normal 68 5 3" xfId="5394" xr:uid="{00000000-0005-0000-0000-0000A2670000}"/>
    <cellStyle name="Normal 68 5 3 2" xfId="5395" xr:uid="{00000000-0005-0000-0000-0000A3670000}"/>
    <cellStyle name="Normal 68 5 3 2 2" xfId="9317" xr:uid="{00000000-0005-0000-0000-0000A4670000}"/>
    <cellStyle name="Normal 68 5 3 2 2 2" xfId="18673" xr:uid="{00000000-0005-0000-0000-0000A5670000}"/>
    <cellStyle name="Normal 68 5 3 2 2 2 2" xfId="35247" xr:uid="{00000000-0005-0000-0000-0000A6670000}"/>
    <cellStyle name="Normal 68 5 3 2 2 3" xfId="27200" xr:uid="{00000000-0005-0000-0000-0000A7670000}"/>
    <cellStyle name="Normal 68 5 3 2 3" xfId="14891" xr:uid="{00000000-0005-0000-0000-0000A8670000}"/>
    <cellStyle name="Normal 68 5 3 2 3 2" xfId="31439" xr:uid="{00000000-0005-0000-0000-0000A9670000}"/>
    <cellStyle name="Normal 68 5 3 2 4" xfId="23396" xr:uid="{00000000-0005-0000-0000-0000AA670000}"/>
    <cellStyle name="Normal 68 5 3 3" xfId="9318" xr:uid="{00000000-0005-0000-0000-0000AB670000}"/>
    <cellStyle name="Normal 68 5 3 3 2" xfId="18674" xr:uid="{00000000-0005-0000-0000-0000AC670000}"/>
    <cellStyle name="Normal 68 5 3 3 2 2" xfId="35248" xr:uid="{00000000-0005-0000-0000-0000AD670000}"/>
    <cellStyle name="Normal 68 5 3 3 3" xfId="27201" xr:uid="{00000000-0005-0000-0000-0000AE670000}"/>
    <cellStyle name="Normal 68 5 3 4" xfId="14890" xr:uid="{00000000-0005-0000-0000-0000AF670000}"/>
    <cellStyle name="Normal 68 5 3 4 2" xfId="31438" xr:uid="{00000000-0005-0000-0000-0000B0670000}"/>
    <cellStyle name="Normal 68 5 3 5" xfId="23395" xr:uid="{00000000-0005-0000-0000-0000B1670000}"/>
    <cellStyle name="Normal 68 5 4" xfId="5396" xr:uid="{00000000-0005-0000-0000-0000B2670000}"/>
    <cellStyle name="Normal 68 5 4 2" xfId="9319" xr:uid="{00000000-0005-0000-0000-0000B3670000}"/>
    <cellStyle name="Normal 68 5 4 2 2" xfId="18675" xr:uid="{00000000-0005-0000-0000-0000B4670000}"/>
    <cellStyle name="Normal 68 5 4 2 2 2" xfId="35249" xr:uid="{00000000-0005-0000-0000-0000B5670000}"/>
    <cellStyle name="Normal 68 5 4 2 3" xfId="27202" xr:uid="{00000000-0005-0000-0000-0000B6670000}"/>
    <cellStyle name="Normal 68 5 4 3" xfId="14892" xr:uid="{00000000-0005-0000-0000-0000B7670000}"/>
    <cellStyle name="Normal 68 5 4 3 2" xfId="31440" xr:uid="{00000000-0005-0000-0000-0000B8670000}"/>
    <cellStyle name="Normal 68 5 4 4" xfId="23397" xr:uid="{00000000-0005-0000-0000-0000B9670000}"/>
    <cellStyle name="Normal 68 5 5" xfId="9320" xr:uid="{00000000-0005-0000-0000-0000BA670000}"/>
    <cellStyle name="Normal 68 5 5 2" xfId="18676" xr:uid="{00000000-0005-0000-0000-0000BB670000}"/>
    <cellStyle name="Normal 68 5 5 2 2" xfId="35250" xr:uid="{00000000-0005-0000-0000-0000BC670000}"/>
    <cellStyle name="Normal 68 5 5 3" xfId="27203" xr:uid="{00000000-0005-0000-0000-0000BD670000}"/>
    <cellStyle name="Normal 68 5 6" xfId="14885" xr:uid="{00000000-0005-0000-0000-0000BE670000}"/>
    <cellStyle name="Normal 68 5 6 2" xfId="31433" xr:uid="{00000000-0005-0000-0000-0000BF670000}"/>
    <cellStyle name="Normal 68 5 7" xfId="23390" xr:uid="{00000000-0005-0000-0000-0000C0670000}"/>
    <cellStyle name="Normal 68 6" xfId="5397" xr:uid="{00000000-0005-0000-0000-0000C1670000}"/>
    <cellStyle name="Normal 68 6 2" xfId="5398" xr:uid="{00000000-0005-0000-0000-0000C2670000}"/>
    <cellStyle name="Normal 68 6 2 2" xfId="5399" xr:uid="{00000000-0005-0000-0000-0000C3670000}"/>
    <cellStyle name="Normal 68 6 2 2 2" xfId="9321" xr:uid="{00000000-0005-0000-0000-0000C4670000}"/>
    <cellStyle name="Normal 68 6 2 2 2 2" xfId="18677" xr:uid="{00000000-0005-0000-0000-0000C5670000}"/>
    <cellStyle name="Normal 68 6 2 2 2 2 2" xfId="35251" xr:uid="{00000000-0005-0000-0000-0000C6670000}"/>
    <cellStyle name="Normal 68 6 2 2 2 3" xfId="27204" xr:uid="{00000000-0005-0000-0000-0000C7670000}"/>
    <cellStyle name="Normal 68 6 2 2 3" xfId="14895" xr:uid="{00000000-0005-0000-0000-0000C8670000}"/>
    <cellStyle name="Normal 68 6 2 2 3 2" xfId="31443" xr:uid="{00000000-0005-0000-0000-0000C9670000}"/>
    <cellStyle name="Normal 68 6 2 2 4" xfId="23400" xr:uid="{00000000-0005-0000-0000-0000CA670000}"/>
    <cellStyle name="Normal 68 6 2 3" xfId="9322" xr:uid="{00000000-0005-0000-0000-0000CB670000}"/>
    <cellStyle name="Normal 68 6 2 3 2" xfId="18678" xr:uid="{00000000-0005-0000-0000-0000CC670000}"/>
    <cellStyle name="Normal 68 6 2 3 2 2" xfId="35252" xr:uid="{00000000-0005-0000-0000-0000CD670000}"/>
    <cellStyle name="Normal 68 6 2 3 3" xfId="27205" xr:uid="{00000000-0005-0000-0000-0000CE670000}"/>
    <cellStyle name="Normal 68 6 2 4" xfId="14894" xr:uid="{00000000-0005-0000-0000-0000CF670000}"/>
    <cellStyle name="Normal 68 6 2 4 2" xfId="31442" xr:uid="{00000000-0005-0000-0000-0000D0670000}"/>
    <cellStyle name="Normal 68 6 2 5" xfId="23399" xr:uid="{00000000-0005-0000-0000-0000D1670000}"/>
    <cellStyle name="Normal 68 6 3" xfId="5400" xr:uid="{00000000-0005-0000-0000-0000D2670000}"/>
    <cellStyle name="Normal 68 6 3 2" xfId="9323" xr:uid="{00000000-0005-0000-0000-0000D3670000}"/>
    <cellStyle name="Normal 68 6 3 2 2" xfId="18679" xr:uid="{00000000-0005-0000-0000-0000D4670000}"/>
    <cellStyle name="Normal 68 6 3 2 2 2" xfId="35253" xr:uid="{00000000-0005-0000-0000-0000D5670000}"/>
    <cellStyle name="Normal 68 6 3 2 3" xfId="27206" xr:uid="{00000000-0005-0000-0000-0000D6670000}"/>
    <cellStyle name="Normal 68 6 3 3" xfId="14896" xr:uid="{00000000-0005-0000-0000-0000D7670000}"/>
    <cellStyle name="Normal 68 6 3 3 2" xfId="31444" xr:uid="{00000000-0005-0000-0000-0000D8670000}"/>
    <cellStyle name="Normal 68 6 3 4" xfId="23401" xr:uid="{00000000-0005-0000-0000-0000D9670000}"/>
    <cellStyle name="Normal 68 6 4" xfId="9324" xr:uid="{00000000-0005-0000-0000-0000DA670000}"/>
    <cellStyle name="Normal 68 6 4 2" xfId="18680" xr:uid="{00000000-0005-0000-0000-0000DB670000}"/>
    <cellStyle name="Normal 68 6 4 2 2" xfId="35254" xr:uid="{00000000-0005-0000-0000-0000DC670000}"/>
    <cellStyle name="Normal 68 6 4 3" xfId="27207" xr:uid="{00000000-0005-0000-0000-0000DD670000}"/>
    <cellStyle name="Normal 68 6 5" xfId="14893" xr:uid="{00000000-0005-0000-0000-0000DE670000}"/>
    <cellStyle name="Normal 68 6 5 2" xfId="31441" xr:uid="{00000000-0005-0000-0000-0000DF670000}"/>
    <cellStyle name="Normal 68 6 6" xfId="23398" xr:uid="{00000000-0005-0000-0000-0000E0670000}"/>
    <cellStyle name="Normal 68 7" xfId="5401" xr:uid="{00000000-0005-0000-0000-0000E1670000}"/>
    <cellStyle name="Normal 68 7 2" xfId="5402" xr:uid="{00000000-0005-0000-0000-0000E2670000}"/>
    <cellStyle name="Normal 68 7 2 2" xfId="9325" xr:uid="{00000000-0005-0000-0000-0000E3670000}"/>
    <cellStyle name="Normal 68 7 2 2 2" xfId="18681" xr:uid="{00000000-0005-0000-0000-0000E4670000}"/>
    <cellStyle name="Normal 68 7 2 2 2 2" xfId="35255" xr:uid="{00000000-0005-0000-0000-0000E5670000}"/>
    <cellStyle name="Normal 68 7 2 2 3" xfId="27208" xr:uid="{00000000-0005-0000-0000-0000E6670000}"/>
    <cellStyle name="Normal 68 7 2 3" xfId="14898" xr:uid="{00000000-0005-0000-0000-0000E7670000}"/>
    <cellStyle name="Normal 68 7 2 3 2" xfId="31446" xr:uid="{00000000-0005-0000-0000-0000E8670000}"/>
    <cellStyle name="Normal 68 7 2 4" xfId="23403" xr:uid="{00000000-0005-0000-0000-0000E9670000}"/>
    <cellStyle name="Normal 68 7 3" xfId="9326" xr:uid="{00000000-0005-0000-0000-0000EA670000}"/>
    <cellStyle name="Normal 68 7 3 2" xfId="18682" xr:uid="{00000000-0005-0000-0000-0000EB670000}"/>
    <cellStyle name="Normal 68 7 3 2 2" xfId="35256" xr:uid="{00000000-0005-0000-0000-0000EC670000}"/>
    <cellStyle name="Normal 68 7 3 3" xfId="27209" xr:uid="{00000000-0005-0000-0000-0000ED670000}"/>
    <cellStyle name="Normal 68 7 4" xfId="14897" xr:uid="{00000000-0005-0000-0000-0000EE670000}"/>
    <cellStyle name="Normal 68 7 4 2" xfId="31445" xr:uid="{00000000-0005-0000-0000-0000EF670000}"/>
    <cellStyle name="Normal 68 7 5" xfId="23402" xr:uid="{00000000-0005-0000-0000-0000F0670000}"/>
    <cellStyle name="Normal 68 8" xfId="5403" xr:uid="{00000000-0005-0000-0000-0000F1670000}"/>
    <cellStyle name="Normal 68 8 2" xfId="9327" xr:uid="{00000000-0005-0000-0000-0000F2670000}"/>
    <cellStyle name="Normal 68 8 2 2" xfId="18683" xr:uid="{00000000-0005-0000-0000-0000F3670000}"/>
    <cellStyle name="Normal 68 8 2 2 2" xfId="35257" xr:uid="{00000000-0005-0000-0000-0000F4670000}"/>
    <cellStyle name="Normal 68 8 2 3" xfId="27210" xr:uid="{00000000-0005-0000-0000-0000F5670000}"/>
    <cellStyle name="Normal 68 8 3" xfId="14899" xr:uid="{00000000-0005-0000-0000-0000F6670000}"/>
    <cellStyle name="Normal 68 8 3 2" xfId="31447" xr:uid="{00000000-0005-0000-0000-0000F7670000}"/>
    <cellStyle name="Normal 68 8 4" xfId="23404" xr:uid="{00000000-0005-0000-0000-0000F8670000}"/>
    <cellStyle name="Normal 68 9" xfId="9328" xr:uid="{00000000-0005-0000-0000-0000F9670000}"/>
    <cellStyle name="Normal 68 9 2" xfId="18684" xr:uid="{00000000-0005-0000-0000-0000FA670000}"/>
    <cellStyle name="Normal 68 9 2 2" xfId="35258" xr:uid="{00000000-0005-0000-0000-0000FB670000}"/>
    <cellStyle name="Normal 68 9 3" xfId="27211" xr:uid="{00000000-0005-0000-0000-0000FC670000}"/>
    <cellStyle name="Normal 69" xfId="5404" xr:uid="{00000000-0005-0000-0000-0000FD670000}"/>
    <cellStyle name="Normal 69 10" xfId="14900" xr:uid="{00000000-0005-0000-0000-0000FE670000}"/>
    <cellStyle name="Normal 69 10 2" xfId="31448" xr:uid="{00000000-0005-0000-0000-0000FF670000}"/>
    <cellStyle name="Normal 69 11" xfId="23405" xr:uid="{00000000-0005-0000-0000-000000680000}"/>
    <cellStyle name="Normal 69 2" xfId="5405" xr:uid="{00000000-0005-0000-0000-000001680000}"/>
    <cellStyle name="Normal 69 2 2" xfId="5406" xr:uid="{00000000-0005-0000-0000-000002680000}"/>
    <cellStyle name="Normal 69 2 3" xfId="14901" xr:uid="{00000000-0005-0000-0000-000003680000}"/>
    <cellStyle name="Normal 69 2 3 2" xfId="31449" xr:uid="{00000000-0005-0000-0000-000004680000}"/>
    <cellStyle name="Normal 69 2 4" xfId="23406" xr:uid="{00000000-0005-0000-0000-000005680000}"/>
    <cellStyle name="Normal 69 3" xfId="5407" xr:uid="{00000000-0005-0000-0000-000006680000}"/>
    <cellStyle name="Normal 69 3 2" xfId="5408" xr:uid="{00000000-0005-0000-0000-000007680000}"/>
    <cellStyle name="Normal 69 3 2 2" xfId="5409" xr:uid="{00000000-0005-0000-0000-000008680000}"/>
    <cellStyle name="Normal 69 3 2 2 2" xfId="5410" xr:uid="{00000000-0005-0000-0000-000009680000}"/>
    <cellStyle name="Normal 69 3 2 2 2 2" xfId="9329" xr:uid="{00000000-0005-0000-0000-00000A680000}"/>
    <cellStyle name="Normal 69 3 2 2 2 2 2" xfId="18685" xr:uid="{00000000-0005-0000-0000-00000B680000}"/>
    <cellStyle name="Normal 69 3 2 2 2 2 2 2" xfId="35259" xr:uid="{00000000-0005-0000-0000-00000C680000}"/>
    <cellStyle name="Normal 69 3 2 2 2 2 3" xfId="27212" xr:uid="{00000000-0005-0000-0000-00000D680000}"/>
    <cellStyle name="Normal 69 3 2 2 2 3" xfId="14904" xr:uid="{00000000-0005-0000-0000-00000E680000}"/>
    <cellStyle name="Normal 69 3 2 2 2 3 2" xfId="31452" xr:uid="{00000000-0005-0000-0000-00000F680000}"/>
    <cellStyle name="Normal 69 3 2 2 2 4" xfId="23409" xr:uid="{00000000-0005-0000-0000-000010680000}"/>
    <cellStyle name="Normal 69 3 2 2 3" xfId="9330" xr:uid="{00000000-0005-0000-0000-000011680000}"/>
    <cellStyle name="Normal 69 3 2 2 3 2" xfId="18686" xr:uid="{00000000-0005-0000-0000-000012680000}"/>
    <cellStyle name="Normal 69 3 2 2 3 2 2" xfId="35260" xr:uid="{00000000-0005-0000-0000-000013680000}"/>
    <cellStyle name="Normal 69 3 2 2 3 3" xfId="27213" xr:uid="{00000000-0005-0000-0000-000014680000}"/>
    <cellStyle name="Normal 69 3 2 2 4" xfId="14903" xr:uid="{00000000-0005-0000-0000-000015680000}"/>
    <cellStyle name="Normal 69 3 2 2 4 2" xfId="31451" xr:uid="{00000000-0005-0000-0000-000016680000}"/>
    <cellStyle name="Normal 69 3 2 2 5" xfId="23408" xr:uid="{00000000-0005-0000-0000-000017680000}"/>
    <cellStyle name="Normal 69 3 2 3" xfId="5411" xr:uid="{00000000-0005-0000-0000-000018680000}"/>
    <cellStyle name="Normal 69 3 2 3 2" xfId="9331" xr:uid="{00000000-0005-0000-0000-000019680000}"/>
    <cellStyle name="Normal 69 3 2 3 2 2" xfId="18687" xr:uid="{00000000-0005-0000-0000-00001A680000}"/>
    <cellStyle name="Normal 69 3 2 3 2 2 2" xfId="35261" xr:uid="{00000000-0005-0000-0000-00001B680000}"/>
    <cellStyle name="Normal 69 3 2 3 2 3" xfId="27214" xr:uid="{00000000-0005-0000-0000-00001C680000}"/>
    <cellStyle name="Normal 69 3 2 3 3" xfId="14905" xr:uid="{00000000-0005-0000-0000-00001D680000}"/>
    <cellStyle name="Normal 69 3 2 3 3 2" xfId="31453" xr:uid="{00000000-0005-0000-0000-00001E680000}"/>
    <cellStyle name="Normal 69 3 2 3 4" xfId="23410" xr:uid="{00000000-0005-0000-0000-00001F680000}"/>
    <cellStyle name="Normal 69 3 2 4" xfId="9332" xr:uid="{00000000-0005-0000-0000-000020680000}"/>
    <cellStyle name="Normal 69 3 2 4 2" xfId="18688" xr:uid="{00000000-0005-0000-0000-000021680000}"/>
    <cellStyle name="Normal 69 3 2 4 2 2" xfId="35262" xr:uid="{00000000-0005-0000-0000-000022680000}"/>
    <cellStyle name="Normal 69 3 2 4 3" xfId="27215" xr:uid="{00000000-0005-0000-0000-000023680000}"/>
    <cellStyle name="Normal 69 3 2 5" xfId="14902" xr:uid="{00000000-0005-0000-0000-000024680000}"/>
    <cellStyle name="Normal 69 3 2 5 2" xfId="31450" xr:uid="{00000000-0005-0000-0000-000025680000}"/>
    <cellStyle name="Normal 69 3 2 6" xfId="23407" xr:uid="{00000000-0005-0000-0000-000026680000}"/>
    <cellStyle name="Normal 69 3 3" xfId="5412" xr:uid="{00000000-0005-0000-0000-000027680000}"/>
    <cellStyle name="Normal 69 3 3 2" xfId="5413" xr:uid="{00000000-0005-0000-0000-000028680000}"/>
    <cellStyle name="Normal 69 3 3 2 2" xfId="9333" xr:uid="{00000000-0005-0000-0000-000029680000}"/>
    <cellStyle name="Normal 69 3 3 2 2 2" xfId="18689" xr:uid="{00000000-0005-0000-0000-00002A680000}"/>
    <cellStyle name="Normal 69 3 3 2 2 2 2" xfId="35263" xr:uid="{00000000-0005-0000-0000-00002B680000}"/>
    <cellStyle name="Normal 69 3 3 2 2 3" xfId="27216" xr:uid="{00000000-0005-0000-0000-00002C680000}"/>
    <cellStyle name="Normal 69 3 3 2 3" xfId="14907" xr:uid="{00000000-0005-0000-0000-00002D680000}"/>
    <cellStyle name="Normal 69 3 3 2 3 2" xfId="31455" xr:uid="{00000000-0005-0000-0000-00002E680000}"/>
    <cellStyle name="Normal 69 3 3 2 4" xfId="23412" xr:uid="{00000000-0005-0000-0000-00002F680000}"/>
    <cellStyle name="Normal 69 3 3 3" xfId="9334" xr:uid="{00000000-0005-0000-0000-000030680000}"/>
    <cellStyle name="Normal 69 3 3 3 2" xfId="18690" xr:uid="{00000000-0005-0000-0000-000031680000}"/>
    <cellStyle name="Normal 69 3 3 3 2 2" xfId="35264" xr:uid="{00000000-0005-0000-0000-000032680000}"/>
    <cellStyle name="Normal 69 3 3 3 3" xfId="27217" xr:uid="{00000000-0005-0000-0000-000033680000}"/>
    <cellStyle name="Normal 69 3 3 4" xfId="14906" xr:uid="{00000000-0005-0000-0000-000034680000}"/>
    <cellStyle name="Normal 69 3 3 4 2" xfId="31454" xr:uid="{00000000-0005-0000-0000-000035680000}"/>
    <cellStyle name="Normal 69 3 3 5" xfId="23411" xr:uid="{00000000-0005-0000-0000-000036680000}"/>
    <cellStyle name="Normal 69 3 4" xfId="5414" xr:uid="{00000000-0005-0000-0000-000037680000}"/>
    <cellStyle name="Normal 69 3 4 2" xfId="9335" xr:uid="{00000000-0005-0000-0000-000038680000}"/>
    <cellStyle name="Normal 69 3 4 2 2" xfId="18691" xr:uid="{00000000-0005-0000-0000-000039680000}"/>
    <cellStyle name="Normal 69 3 4 2 2 2" xfId="35265" xr:uid="{00000000-0005-0000-0000-00003A680000}"/>
    <cellStyle name="Normal 69 3 4 2 3" xfId="27218" xr:uid="{00000000-0005-0000-0000-00003B680000}"/>
    <cellStyle name="Normal 69 3 4 3" xfId="14908" xr:uid="{00000000-0005-0000-0000-00003C680000}"/>
    <cellStyle name="Normal 69 3 4 3 2" xfId="31456" xr:uid="{00000000-0005-0000-0000-00003D680000}"/>
    <cellStyle name="Normal 69 3 4 4" xfId="23413" xr:uid="{00000000-0005-0000-0000-00003E680000}"/>
    <cellStyle name="Normal 69 3 5" xfId="5415" xr:uid="{00000000-0005-0000-0000-00003F680000}"/>
    <cellStyle name="Normal 69 3 5 2" xfId="14909" xr:uid="{00000000-0005-0000-0000-000040680000}"/>
    <cellStyle name="Normal 69 3 5 2 2" xfId="31457" xr:uid="{00000000-0005-0000-0000-000041680000}"/>
    <cellStyle name="Normal 69 3 5 3" xfId="23414" xr:uid="{00000000-0005-0000-0000-000042680000}"/>
    <cellStyle name="Normal 69 4" xfId="5416" xr:uid="{00000000-0005-0000-0000-000043680000}"/>
    <cellStyle name="Normal 69 4 2" xfId="5417" xr:uid="{00000000-0005-0000-0000-000044680000}"/>
    <cellStyle name="Normal 69 4 2 2" xfId="5418" xr:uid="{00000000-0005-0000-0000-000045680000}"/>
    <cellStyle name="Normal 69 4 2 2 2" xfId="5419" xr:uid="{00000000-0005-0000-0000-000046680000}"/>
    <cellStyle name="Normal 69 4 2 2 2 2" xfId="9336" xr:uid="{00000000-0005-0000-0000-000047680000}"/>
    <cellStyle name="Normal 69 4 2 2 2 2 2" xfId="18692" xr:uid="{00000000-0005-0000-0000-000048680000}"/>
    <cellStyle name="Normal 69 4 2 2 2 2 2 2" xfId="35266" xr:uid="{00000000-0005-0000-0000-000049680000}"/>
    <cellStyle name="Normal 69 4 2 2 2 2 3" xfId="27219" xr:uid="{00000000-0005-0000-0000-00004A680000}"/>
    <cellStyle name="Normal 69 4 2 2 2 3" xfId="14913" xr:uid="{00000000-0005-0000-0000-00004B680000}"/>
    <cellStyle name="Normal 69 4 2 2 2 3 2" xfId="31461" xr:uid="{00000000-0005-0000-0000-00004C680000}"/>
    <cellStyle name="Normal 69 4 2 2 2 4" xfId="23418" xr:uid="{00000000-0005-0000-0000-00004D680000}"/>
    <cellStyle name="Normal 69 4 2 2 3" xfId="9337" xr:uid="{00000000-0005-0000-0000-00004E680000}"/>
    <cellStyle name="Normal 69 4 2 2 3 2" xfId="18693" xr:uid="{00000000-0005-0000-0000-00004F680000}"/>
    <cellStyle name="Normal 69 4 2 2 3 2 2" xfId="35267" xr:uid="{00000000-0005-0000-0000-000050680000}"/>
    <cellStyle name="Normal 69 4 2 2 3 3" xfId="27220" xr:uid="{00000000-0005-0000-0000-000051680000}"/>
    <cellStyle name="Normal 69 4 2 2 4" xfId="14912" xr:uid="{00000000-0005-0000-0000-000052680000}"/>
    <cellStyle name="Normal 69 4 2 2 4 2" xfId="31460" xr:uid="{00000000-0005-0000-0000-000053680000}"/>
    <cellStyle name="Normal 69 4 2 2 5" xfId="23417" xr:uid="{00000000-0005-0000-0000-000054680000}"/>
    <cellStyle name="Normal 69 4 2 3" xfId="5420" xr:uid="{00000000-0005-0000-0000-000055680000}"/>
    <cellStyle name="Normal 69 4 2 3 2" xfId="9338" xr:uid="{00000000-0005-0000-0000-000056680000}"/>
    <cellStyle name="Normal 69 4 2 3 2 2" xfId="18694" xr:uid="{00000000-0005-0000-0000-000057680000}"/>
    <cellStyle name="Normal 69 4 2 3 2 2 2" xfId="35268" xr:uid="{00000000-0005-0000-0000-000058680000}"/>
    <cellStyle name="Normal 69 4 2 3 2 3" xfId="27221" xr:uid="{00000000-0005-0000-0000-000059680000}"/>
    <cellStyle name="Normal 69 4 2 3 3" xfId="14914" xr:uid="{00000000-0005-0000-0000-00005A680000}"/>
    <cellStyle name="Normal 69 4 2 3 3 2" xfId="31462" xr:uid="{00000000-0005-0000-0000-00005B680000}"/>
    <cellStyle name="Normal 69 4 2 3 4" xfId="23419" xr:uid="{00000000-0005-0000-0000-00005C680000}"/>
    <cellStyle name="Normal 69 4 2 4" xfId="9339" xr:uid="{00000000-0005-0000-0000-00005D680000}"/>
    <cellStyle name="Normal 69 4 2 4 2" xfId="18695" xr:uid="{00000000-0005-0000-0000-00005E680000}"/>
    <cellStyle name="Normal 69 4 2 4 2 2" xfId="35269" xr:uid="{00000000-0005-0000-0000-00005F680000}"/>
    <cellStyle name="Normal 69 4 2 4 3" xfId="27222" xr:uid="{00000000-0005-0000-0000-000060680000}"/>
    <cellStyle name="Normal 69 4 2 5" xfId="14911" xr:uid="{00000000-0005-0000-0000-000061680000}"/>
    <cellStyle name="Normal 69 4 2 5 2" xfId="31459" xr:uid="{00000000-0005-0000-0000-000062680000}"/>
    <cellStyle name="Normal 69 4 2 6" xfId="23416" xr:uid="{00000000-0005-0000-0000-000063680000}"/>
    <cellStyle name="Normal 69 4 3" xfId="5421" xr:uid="{00000000-0005-0000-0000-000064680000}"/>
    <cellStyle name="Normal 69 4 3 2" xfId="5422" xr:uid="{00000000-0005-0000-0000-000065680000}"/>
    <cellStyle name="Normal 69 4 3 2 2" xfId="9340" xr:uid="{00000000-0005-0000-0000-000066680000}"/>
    <cellStyle name="Normal 69 4 3 2 2 2" xfId="18696" xr:uid="{00000000-0005-0000-0000-000067680000}"/>
    <cellStyle name="Normal 69 4 3 2 2 2 2" xfId="35270" xr:uid="{00000000-0005-0000-0000-000068680000}"/>
    <cellStyle name="Normal 69 4 3 2 2 3" xfId="27223" xr:uid="{00000000-0005-0000-0000-000069680000}"/>
    <cellStyle name="Normal 69 4 3 2 3" xfId="14916" xr:uid="{00000000-0005-0000-0000-00006A680000}"/>
    <cellStyle name="Normal 69 4 3 2 3 2" xfId="31464" xr:uid="{00000000-0005-0000-0000-00006B680000}"/>
    <cellStyle name="Normal 69 4 3 2 4" xfId="23421" xr:uid="{00000000-0005-0000-0000-00006C680000}"/>
    <cellStyle name="Normal 69 4 3 3" xfId="9341" xr:uid="{00000000-0005-0000-0000-00006D680000}"/>
    <cellStyle name="Normal 69 4 3 3 2" xfId="18697" xr:uid="{00000000-0005-0000-0000-00006E680000}"/>
    <cellStyle name="Normal 69 4 3 3 2 2" xfId="35271" xr:uid="{00000000-0005-0000-0000-00006F680000}"/>
    <cellStyle name="Normal 69 4 3 3 3" xfId="27224" xr:uid="{00000000-0005-0000-0000-000070680000}"/>
    <cellStyle name="Normal 69 4 3 4" xfId="14915" xr:uid="{00000000-0005-0000-0000-000071680000}"/>
    <cellStyle name="Normal 69 4 3 4 2" xfId="31463" xr:uid="{00000000-0005-0000-0000-000072680000}"/>
    <cellStyle name="Normal 69 4 3 5" xfId="23420" xr:uid="{00000000-0005-0000-0000-000073680000}"/>
    <cellStyle name="Normal 69 4 4" xfId="5423" xr:uid="{00000000-0005-0000-0000-000074680000}"/>
    <cellStyle name="Normal 69 4 4 2" xfId="9342" xr:uid="{00000000-0005-0000-0000-000075680000}"/>
    <cellStyle name="Normal 69 4 4 2 2" xfId="18698" xr:uid="{00000000-0005-0000-0000-000076680000}"/>
    <cellStyle name="Normal 69 4 4 2 2 2" xfId="35272" xr:uid="{00000000-0005-0000-0000-000077680000}"/>
    <cellStyle name="Normal 69 4 4 2 3" xfId="27225" xr:uid="{00000000-0005-0000-0000-000078680000}"/>
    <cellStyle name="Normal 69 4 4 3" xfId="14917" xr:uid="{00000000-0005-0000-0000-000079680000}"/>
    <cellStyle name="Normal 69 4 4 3 2" xfId="31465" xr:uid="{00000000-0005-0000-0000-00007A680000}"/>
    <cellStyle name="Normal 69 4 4 4" xfId="23422" xr:uid="{00000000-0005-0000-0000-00007B680000}"/>
    <cellStyle name="Normal 69 4 5" xfId="9343" xr:uid="{00000000-0005-0000-0000-00007C680000}"/>
    <cellStyle name="Normal 69 4 5 2" xfId="18699" xr:uid="{00000000-0005-0000-0000-00007D680000}"/>
    <cellStyle name="Normal 69 4 5 2 2" xfId="35273" xr:uid="{00000000-0005-0000-0000-00007E680000}"/>
    <cellStyle name="Normal 69 4 5 3" xfId="27226" xr:uid="{00000000-0005-0000-0000-00007F680000}"/>
    <cellStyle name="Normal 69 4 6" xfId="14910" xr:uid="{00000000-0005-0000-0000-000080680000}"/>
    <cellStyle name="Normal 69 4 6 2" xfId="31458" xr:uid="{00000000-0005-0000-0000-000081680000}"/>
    <cellStyle name="Normal 69 4 7" xfId="23415" xr:uid="{00000000-0005-0000-0000-000082680000}"/>
    <cellStyle name="Normal 69 5" xfId="5424" xr:uid="{00000000-0005-0000-0000-000083680000}"/>
    <cellStyle name="Normal 69 5 2" xfId="5425" xr:uid="{00000000-0005-0000-0000-000084680000}"/>
    <cellStyle name="Normal 69 5 2 2" xfId="5426" xr:uid="{00000000-0005-0000-0000-000085680000}"/>
    <cellStyle name="Normal 69 5 2 2 2" xfId="5427" xr:uid="{00000000-0005-0000-0000-000086680000}"/>
    <cellStyle name="Normal 69 5 2 2 2 2" xfId="9344" xr:uid="{00000000-0005-0000-0000-000087680000}"/>
    <cellStyle name="Normal 69 5 2 2 2 2 2" xfId="18700" xr:uid="{00000000-0005-0000-0000-000088680000}"/>
    <cellStyle name="Normal 69 5 2 2 2 2 2 2" xfId="35274" xr:uid="{00000000-0005-0000-0000-000089680000}"/>
    <cellStyle name="Normal 69 5 2 2 2 2 3" xfId="27227" xr:uid="{00000000-0005-0000-0000-00008A680000}"/>
    <cellStyle name="Normal 69 5 2 2 2 3" xfId="14921" xr:uid="{00000000-0005-0000-0000-00008B680000}"/>
    <cellStyle name="Normal 69 5 2 2 2 3 2" xfId="31469" xr:uid="{00000000-0005-0000-0000-00008C680000}"/>
    <cellStyle name="Normal 69 5 2 2 2 4" xfId="23426" xr:uid="{00000000-0005-0000-0000-00008D680000}"/>
    <cellStyle name="Normal 69 5 2 2 3" xfId="9345" xr:uid="{00000000-0005-0000-0000-00008E680000}"/>
    <cellStyle name="Normal 69 5 2 2 3 2" xfId="18701" xr:uid="{00000000-0005-0000-0000-00008F680000}"/>
    <cellStyle name="Normal 69 5 2 2 3 2 2" xfId="35275" xr:uid="{00000000-0005-0000-0000-000090680000}"/>
    <cellStyle name="Normal 69 5 2 2 3 3" xfId="27228" xr:uid="{00000000-0005-0000-0000-000091680000}"/>
    <cellStyle name="Normal 69 5 2 2 4" xfId="14920" xr:uid="{00000000-0005-0000-0000-000092680000}"/>
    <cellStyle name="Normal 69 5 2 2 4 2" xfId="31468" xr:uid="{00000000-0005-0000-0000-000093680000}"/>
    <cellStyle name="Normal 69 5 2 2 5" xfId="23425" xr:uid="{00000000-0005-0000-0000-000094680000}"/>
    <cellStyle name="Normal 69 5 2 3" xfId="5428" xr:uid="{00000000-0005-0000-0000-000095680000}"/>
    <cellStyle name="Normal 69 5 2 3 2" xfId="9346" xr:uid="{00000000-0005-0000-0000-000096680000}"/>
    <cellStyle name="Normal 69 5 2 3 2 2" xfId="18702" xr:uid="{00000000-0005-0000-0000-000097680000}"/>
    <cellStyle name="Normal 69 5 2 3 2 2 2" xfId="35276" xr:uid="{00000000-0005-0000-0000-000098680000}"/>
    <cellStyle name="Normal 69 5 2 3 2 3" xfId="27229" xr:uid="{00000000-0005-0000-0000-000099680000}"/>
    <cellStyle name="Normal 69 5 2 3 3" xfId="14922" xr:uid="{00000000-0005-0000-0000-00009A680000}"/>
    <cellStyle name="Normal 69 5 2 3 3 2" xfId="31470" xr:uid="{00000000-0005-0000-0000-00009B680000}"/>
    <cellStyle name="Normal 69 5 2 3 4" xfId="23427" xr:uid="{00000000-0005-0000-0000-00009C680000}"/>
    <cellStyle name="Normal 69 5 2 4" xfId="9347" xr:uid="{00000000-0005-0000-0000-00009D680000}"/>
    <cellStyle name="Normal 69 5 2 4 2" xfId="18703" xr:uid="{00000000-0005-0000-0000-00009E680000}"/>
    <cellStyle name="Normal 69 5 2 4 2 2" xfId="35277" xr:uid="{00000000-0005-0000-0000-00009F680000}"/>
    <cellStyle name="Normal 69 5 2 4 3" xfId="27230" xr:uid="{00000000-0005-0000-0000-0000A0680000}"/>
    <cellStyle name="Normal 69 5 2 5" xfId="14919" xr:uid="{00000000-0005-0000-0000-0000A1680000}"/>
    <cellStyle name="Normal 69 5 2 5 2" xfId="31467" xr:uid="{00000000-0005-0000-0000-0000A2680000}"/>
    <cellStyle name="Normal 69 5 2 6" xfId="23424" xr:uid="{00000000-0005-0000-0000-0000A3680000}"/>
    <cellStyle name="Normal 69 5 3" xfId="5429" xr:uid="{00000000-0005-0000-0000-0000A4680000}"/>
    <cellStyle name="Normal 69 5 3 2" xfId="5430" xr:uid="{00000000-0005-0000-0000-0000A5680000}"/>
    <cellStyle name="Normal 69 5 3 2 2" xfId="9348" xr:uid="{00000000-0005-0000-0000-0000A6680000}"/>
    <cellStyle name="Normal 69 5 3 2 2 2" xfId="18704" xr:uid="{00000000-0005-0000-0000-0000A7680000}"/>
    <cellStyle name="Normal 69 5 3 2 2 2 2" xfId="35278" xr:uid="{00000000-0005-0000-0000-0000A8680000}"/>
    <cellStyle name="Normal 69 5 3 2 2 3" xfId="27231" xr:uid="{00000000-0005-0000-0000-0000A9680000}"/>
    <cellStyle name="Normal 69 5 3 2 3" xfId="14924" xr:uid="{00000000-0005-0000-0000-0000AA680000}"/>
    <cellStyle name="Normal 69 5 3 2 3 2" xfId="31472" xr:uid="{00000000-0005-0000-0000-0000AB680000}"/>
    <cellStyle name="Normal 69 5 3 2 4" xfId="23429" xr:uid="{00000000-0005-0000-0000-0000AC680000}"/>
    <cellStyle name="Normal 69 5 3 3" xfId="9349" xr:uid="{00000000-0005-0000-0000-0000AD680000}"/>
    <cellStyle name="Normal 69 5 3 3 2" xfId="18705" xr:uid="{00000000-0005-0000-0000-0000AE680000}"/>
    <cellStyle name="Normal 69 5 3 3 2 2" xfId="35279" xr:uid="{00000000-0005-0000-0000-0000AF680000}"/>
    <cellStyle name="Normal 69 5 3 3 3" xfId="27232" xr:uid="{00000000-0005-0000-0000-0000B0680000}"/>
    <cellStyle name="Normal 69 5 3 4" xfId="14923" xr:uid="{00000000-0005-0000-0000-0000B1680000}"/>
    <cellStyle name="Normal 69 5 3 4 2" xfId="31471" xr:uid="{00000000-0005-0000-0000-0000B2680000}"/>
    <cellStyle name="Normal 69 5 3 5" xfId="23428" xr:uid="{00000000-0005-0000-0000-0000B3680000}"/>
    <cellStyle name="Normal 69 5 4" xfId="5431" xr:uid="{00000000-0005-0000-0000-0000B4680000}"/>
    <cellStyle name="Normal 69 5 4 2" xfId="9350" xr:uid="{00000000-0005-0000-0000-0000B5680000}"/>
    <cellStyle name="Normal 69 5 4 2 2" xfId="18706" xr:uid="{00000000-0005-0000-0000-0000B6680000}"/>
    <cellStyle name="Normal 69 5 4 2 2 2" xfId="35280" xr:uid="{00000000-0005-0000-0000-0000B7680000}"/>
    <cellStyle name="Normal 69 5 4 2 3" xfId="27233" xr:uid="{00000000-0005-0000-0000-0000B8680000}"/>
    <cellStyle name="Normal 69 5 4 3" xfId="14925" xr:uid="{00000000-0005-0000-0000-0000B9680000}"/>
    <cellStyle name="Normal 69 5 4 3 2" xfId="31473" xr:uid="{00000000-0005-0000-0000-0000BA680000}"/>
    <cellStyle name="Normal 69 5 4 4" xfId="23430" xr:uid="{00000000-0005-0000-0000-0000BB680000}"/>
    <cellStyle name="Normal 69 5 5" xfId="9351" xr:uid="{00000000-0005-0000-0000-0000BC680000}"/>
    <cellStyle name="Normal 69 5 5 2" xfId="18707" xr:uid="{00000000-0005-0000-0000-0000BD680000}"/>
    <cellStyle name="Normal 69 5 5 2 2" xfId="35281" xr:uid="{00000000-0005-0000-0000-0000BE680000}"/>
    <cellStyle name="Normal 69 5 5 3" xfId="27234" xr:uid="{00000000-0005-0000-0000-0000BF680000}"/>
    <cellStyle name="Normal 69 5 6" xfId="14918" xr:uid="{00000000-0005-0000-0000-0000C0680000}"/>
    <cellStyle name="Normal 69 5 6 2" xfId="31466" xr:uid="{00000000-0005-0000-0000-0000C1680000}"/>
    <cellStyle name="Normal 69 5 7" xfId="23423" xr:uid="{00000000-0005-0000-0000-0000C2680000}"/>
    <cellStyle name="Normal 69 6" xfId="5432" xr:uid="{00000000-0005-0000-0000-0000C3680000}"/>
    <cellStyle name="Normal 69 6 2" xfId="5433" xr:uid="{00000000-0005-0000-0000-0000C4680000}"/>
    <cellStyle name="Normal 69 6 2 2" xfId="5434" xr:uid="{00000000-0005-0000-0000-0000C5680000}"/>
    <cellStyle name="Normal 69 6 2 2 2" xfId="9352" xr:uid="{00000000-0005-0000-0000-0000C6680000}"/>
    <cellStyle name="Normal 69 6 2 2 2 2" xfId="18708" xr:uid="{00000000-0005-0000-0000-0000C7680000}"/>
    <cellStyle name="Normal 69 6 2 2 2 2 2" xfId="35282" xr:uid="{00000000-0005-0000-0000-0000C8680000}"/>
    <cellStyle name="Normal 69 6 2 2 2 3" xfId="27235" xr:uid="{00000000-0005-0000-0000-0000C9680000}"/>
    <cellStyle name="Normal 69 6 2 2 3" xfId="14928" xr:uid="{00000000-0005-0000-0000-0000CA680000}"/>
    <cellStyle name="Normal 69 6 2 2 3 2" xfId="31476" xr:uid="{00000000-0005-0000-0000-0000CB680000}"/>
    <cellStyle name="Normal 69 6 2 2 4" xfId="23433" xr:uid="{00000000-0005-0000-0000-0000CC680000}"/>
    <cellStyle name="Normal 69 6 2 3" xfId="9353" xr:uid="{00000000-0005-0000-0000-0000CD680000}"/>
    <cellStyle name="Normal 69 6 2 3 2" xfId="18709" xr:uid="{00000000-0005-0000-0000-0000CE680000}"/>
    <cellStyle name="Normal 69 6 2 3 2 2" xfId="35283" xr:uid="{00000000-0005-0000-0000-0000CF680000}"/>
    <cellStyle name="Normal 69 6 2 3 3" xfId="27236" xr:uid="{00000000-0005-0000-0000-0000D0680000}"/>
    <cellStyle name="Normal 69 6 2 4" xfId="14927" xr:uid="{00000000-0005-0000-0000-0000D1680000}"/>
    <cellStyle name="Normal 69 6 2 4 2" xfId="31475" xr:uid="{00000000-0005-0000-0000-0000D2680000}"/>
    <cellStyle name="Normal 69 6 2 5" xfId="23432" xr:uid="{00000000-0005-0000-0000-0000D3680000}"/>
    <cellStyle name="Normal 69 6 3" xfId="5435" xr:uid="{00000000-0005-0000-0000-0000D4680000}"/>
    <cellStyle name="Normal 69 6 3 2" xfId="9354" xr:uid="{00000000-0005-0000-0000-0000D5680000}"/>
    <cellStyle name="Normal 69 6 3 2 2" xfId="18710" xr:uid="{00000000-0005-0000-0000-0000D6680000}"/>
    <cellStyle name="Normal 69 6 3 2 2 2" xfId="35284" xr:uid="{00000000-0005-0000-0000-0000D7680000}"/>
    <cellStyle name="Normal 69 6 3 2 3" xfId="27237" xr:uid="{00000000-0005-0000-0000-0000D8680000}"/>
    <cellStyle name="Normal 69 6 3 3" xfId="14929" xr:uid="{00000000-0005-0000-0000-0000D9680000}"/>
    <cellStyle name="Normal 69 6 3 3 2" xfId="31477" xr:uid="{00000000-0005-0000-0000-0000DA680000}"/>
    <cellStyle name="Normal 69 6 3 4" xfId="23434" xr:uid="{00000000-0005-0000-0000-0000DB680000}"/>
    <cellStyle name="Normal 69 6 4" xfId="9355" xr:uid="{00000000-0005-0000-0000-0000DC680000}"/>
    <cellStyle name="Normal 69 6 4 2" xfId="18711" xr:uid="{00000000-0005-0000-0000-0000DD680000}"/>
    <cellStyle name="Normal 69 6 4 2 2" xfId="35285" xr:uid="{00000000-0005-0000-0000-0000DE680000}"/>
    <cellStyle name="Normal 69 6 4 3" xfId="27238" xr:uid="{00000000-0005-0000-0000-0000DF680000}"/>
    <cellStyle name="Normal 69 6 5" xfId="14926" xr:uid="{00000000-0005-0000-0000-0000E0680000}"/>
    <cellStyle name="Normal 69 6 5 2" xfId="31474" xr:uid="{00000000-0005-0000-0000-0000E1680000}"/>
    <cellStyle name="Normal 69 6 6" xfId="23431" xr:uid="{00000000-0005-0000-0000-0000E2680000}"/>
    <cellStyle name="Normal 69 7" xfId="5436" xr:uid="{00000000-0005-0000-0000-0000E3680000}"/>
    <cellStyle name="Normal 69 7 2" xfId="5437" xr:uid="{00000000-0005-0000-0000-0000E4680000}"/>
    <cellStyle name="Normal 69 7 2 2" xfId="9356" xr:uid="{00000000-0005-0000-0000-0000E5680000}"/>
    <cellStyle name="Normal 69 7 2 2 2" xfId="18712" xr:uid="{00000000-0005-0000-0000-0000E6680000}"/>
    <cellStyle name="Normal 69 7 2 2 2 2" xfId="35286" xr:uid="{00000000-0005-0000-0000-0000E7680000}"/>
    <cellStyle name="Normal 69 7 2 2 3" xfId="27239" xr:uid="{00000000-0005-0000-0000-0000E8680000}"/>
    <cellStyle name="Normal 69 7 2 3" xfId="14931" xr:uid="{00000000-0005-0000-0000-0000E9680000}"/>
    <cellStyle name="Normal 69 7 2 3 2" xfId="31479" xr:uid="{00000000-0005-0000-0000-0000EA680000}"/>
    <cellStyle name="Normal 69 7 2 4" xfId="23436" xr:uid="{00000000-0005-0000-0000-0000EB680000}"/>
    <cellStyle name="Normal 69 7 3" xfId="9357" xr:uid="{00000000-0005-0000-0000-0000EC680000}"/>
    <cellStyle name="Normal 69 7 3 2" xfId="18713" xr:uid="{00000000-0005-0000-0000-0000ED680000}"/>
    <cellStyle name="Normal 69 7 3 2 2" xfId="35287" xr:uid="{00000000-0005-0000-0000-0000EE680000}"/>
    <cellStyle name="Normal 69 7 3 3" xfId="27240" xr:uid="{00000000-0005-0000-0000-0000EF680000}"/>
    <cellStyle name="Normal 69 7 4" xfId="14930" xr:uid="{00000000-0005-0000-0000-0000F0680000}"/>
    <cellStyle name="Normal 69 7 4 2" xfId="31478" xr:uid="{00000000-0005-0000-0000-0000F1680000}"/>
    <cellStyle name="Normal 69 7 5" xfId="23435" xr:uid="{00000000-0005-0000-0000-0000F2680000}"/>
    <cellStyle name="Normal 69 8" xfId="5438" xr:uid="{00000000-0005-0000-0000-0000F3680000}"/>
    <cellStyle name="Normal 69 8 2" xfId="9358" xr:uid="{00000000-0005-0000-0000-0000F4680000}"/>
    <cellStyle name="Normal 69 8 2 2" xfId="18714" xr:uid="{00000000-0005-0000-0000-0000F5680000}"/>
    <cellStyle name="Normal 69 8 2 2 2" xfId="35288" xr:uid="{00000000-0005-0000-0000-0000F6680000}"/>
    <cellStyle name="Normal 69 8 2 3" xfId="27241" xr:uid="{00000000-0005-0000-0000-0000F7680000}"/>
    <cellStyle name="Normal 69 8 3" xfId="14932" xr:uid="{00000000-0005-0000-0000-0000F8680000}"/>
    <cellStyle name="Normal 69 8 3 2" xfId="31480" xr:uid="{00000000-0005-0000-0000-0000F9680000}"/>
    <cellStyle name="Normal 69 8 4" xfId="23437" xr:uid="{00000000-0005-0000-0000-0000FA680000}"/>
    <cellStyle name="Normal 69 9" xfId="9359" xr:uid="{00000000-0005-0000-0000-0000FB680000}"/>
    <cellStyle name="Normal 69 9 2" xfId="18715" xr:uid="{00000000-0005-0000-0000-0000FC680000}"/>
    <cellStyle name="Normal 69 9 2 2" xfId="35289" xr:uid="{00000000-0005-0000-0000-0000FD680000}"/>
    <cellStyle name="Normal 69 9 3" xfId="27242" xr:uid="{00000000-0005-0000-0000-0000FE680000}"/>
    <cellStyle name="Normal 7" xfId="6" xr:uid="{00000000-0005-0000-0000-0000FF680000}"/>
    <cellStyle name="Normal 7 10" xfId="14933" xr:uid="{00000000-0005-0000-0000-000000690000}"/>
    <cellStyle name="Normal 7 10 2" xfId="31481" xr:uid="{00000000-0005-0000-0000-000001690000}"/>
    <cellStyle name="Normal 7 11" xfId="23438" xr:uid="{00000000-0005-0000-0000-000002690000}"/>
    <cellStyle name="Normal 7 2" xfId="285" xr:uid="{00000000-0005-0000-0000-000003690000}"/>
    <cellStyle name="Normal 7 2 2" xfId="286" xr:uid="{00000000-0005-0000-0000-000004690000}"/>
    <cellStyle name="Normal 7 2 2 2" xfId="5440" xr:uid="{00000000-0005-0000-0000-000005690000}"/>
    <cellStyle name="Normal 7 2 2 2 2" xfId="5441" xr:uid="{00000000-0005-0000-0000-000006690000}"/>
    <cellStyle name="Normal 7 2 2 2 2 2" xfId="9360" xr:uid="{00000000-0005-0000-0000-000007690000}"/>
    <cellStyle name="Normal 7 2 2 2 2 2 2" xfId="18716" xr:uid="{00000000-0005-0000-0000-000008690000}"/>
    <cellStyle name="Normal 7 2 2 2 2 2 2 2" xfId="35290" xr:uid="{00000000-0005-0000-0000-000009690000}"/>
    <cellStyle name="Normal 7 2 2 2 2 2 3" xfId="27243" xr:uid="{00000000-0005-0000-0000-00000A690000}"/>
    <cellStyle name="Normal 7 2 2 2 2 3" xfId="14936" xr:uid="{00000000-0005-0000-0000-00000B690000}"/>
    <cellStyle name="Normal 7 2 2 2 2 3 2" xfId="31484" xr:uid="{00000000-0005-0000-0000-00000C690000}"/>
    <cellStyle name="Normal 7 2 2 2 2 4" xfId="23441" xr:uid="{00000000-0005-0000-0000-00000D690000}"/>
    <cellStyle name="Normal 7 2 2 2 3" xfId="9361" xr:uid="{00000000-0005-0000-0000-00000E690000}"/>
    <cellStyle name="Normal 7 2 2 2 3 2" xfId="18717" xr:uid="{00000000-0005-0000-0000-00000F690000}"/>
    <cellStyle name="Normal 7 2 2 2 3 2 2" xfId="35291" xr:uid="{00000000-0005-0000-0000-000010690000}"/>
    <cellStyle name="Normal 7 2 2 2 3 3" xfId="27244" xr:uid="{00000000-0005-0000-0000-000011690000}"/>
    <cellStyle name="Normal 7 2 2 2 4" xfId="14935" xr:uid="{00000000-0005-0000-0000-000012690000}"/>
    <cellStyle name="Normal 7 2 2 2 4 2" xfId="31483" xr:uid="{00000000-0005-0000-0000-000013690000}"/>
    <cellStyle name="Normal 7 2 2 2 5" xfId="23440" xr:uid="{00000000-0005-0000-0000-000014690000}"/>
    <cellStyle name="Normal 7 2 2 3" xfId="5442" xr:uid="{00000000-0005-0000-0000-000015690000}"/>
    <cellStyle name="Normal 7 2 2 3 2" xfId="9362" xr:uid="{00000000-0005-0000-0000-000016690000}"/>
    <cellStyle name="Normal 7 2 2 3 2 2" xfId="18718" xr:uid="{00000000-0005-0000-0000-000017690000}"/>
    <cellStyle name="Normal 7 2 2 3 2 2 2" xfId="35292" xr:uid="{00000000-0005-0000-0000-000018690000}"/>
    <cellStyle name="Normal 7 2 2 3 2 3" xfId="27245" xr:uid="{00000000-0005-0000-0000-000019690000}"/>
    <cellStyle name="Normal 7 2 2 3 3" xfId="14937" xr:uid="{00000000-0005-0000-0000-00001A690000}"/>
    <cellStyle name="Normal 7 2 2 3 3 2" xfId="31485" xr:uid="{00000000-0005-0000-0000-00001B690000}"/>
    <cellStyle name="Normal 7 2 2 3 4" xfId="23442" xr:uid="{00000000-0005-0000-0000-00001C690000}"/>
    <cellStyle name="Normal 7 2 2 4" xfId="9363" xr:uid="{00000000-0005-0000-0000-00001D690000}"/>
    <cellStyle name="Normal 7 2 2 4 2" xfId="18719" xr:uid="{00000000-0005-0000-0000-00001E690000}"/>
    <cellStyle name="Normal 7 2 2 4 2 2" xfId="35293" xr:uid="{00000000-0005-0000-0000-00001F690000}"/>
    <cellStyle name="Normal 7 2 2 4 3" xfId="27246" xr:uid="{00000000-0005-0000-0000-000020690000}"/>
    <cellStyle name="Normal 7 2 2 5" xfId="14934" xr:uid="{00000000-0005-0000-0000-000021690000}"/>
    <cellStyle name="Normal 7 2 2 5 2" xfId="31482" xr:uid="{00000000-0005-0000-0000-000022690000}"/>
    <cellStyle name="Normal 7 2 2 6" xfId="23439" xr:uid="{00000000-0005-0000-0000-000023690000}"/>
    <cellStyle name="Normal 7 2 3" xfId="383" xr:uid="{00000000-0005-0000-0000-000024690000}"/>
    <cellStyle name="Normal 7 2 3 2" xfId="5443" xr:uid="{00000000-0005-0000-0000-000025690000}"/>
    <cellStyle name="Normal 7 2 3 2 2" xfId="9364" xr:uid="{00000000-0005-0000-0000-000026690000}"/>
    <cellStyle name="Normal 7 2 3 2 2 2" xfId="18720" xr:uid="{00000000-0005-0000-0000-000027690000}"/>
    <cellStyle name="Normal 7 2 3 2 2 2 2" xfId="35294" xr:uid="{00000000-0005-0000-0000-000028690000}"/>
    <cellStyle name="Normal 7 2 3 2 2 3" xfId="27247" xr:uid="{00000000-0005-0000-0000-000029690000}"/>
    <cellStyle name="Normal 7 2 3 2 3" xfId="14939" xr:uid="{00000000-0005-0000-0000-00002A690000}"/>
    <cellStyle name="Normal 7 2 3 2 3 2" xfId="31487" xr:uid="{00000000-0005-0000-0000-00002B690000}"/>
    <cellStyle name="Normal 7 2 3 2 4" xfId="23444" xr:uid="{00000000-0005-0000-0000-00002C690000}"/>
    <cellStyle name="Normal 7 2 3 3" xfId="9365" xr:uid="{00000000-0005-0000-0000-00002D690000}"/>
    <cellStyle name="Normal 7 2 3 3 2" xfId="18721" xr:uid="{00000000-0005-0000-0000-00002E690000}"/>
    <cellStyle name="Normal 7 2 3 3 2 2" xfId="35295" xr:uid="{00000000-0005-0000-0000-00002F690000}"/>
    <cellStyle name="Normal 7 2 3 3 3" xfId="27248" xr:uid="{00000000-0005-0000-0000-000030690000}"/>
    <cellStyle name="Normal 7 2 3 3 4" xfId="36897" xr:uid="{00000000-0005-0000-0000-000031690000}"/>
    <cellStyle name="Normal 7 2 3 4" xfId="14938" xr:uid="{00000000-0005-0000-0000-000032690000}"/>
    <cellStyle name="Normal 7 2 3 4 2" xfId="31486" xr:uid="{00000000-0005-0000-0000-000033690000}"/>
    <cellStyle name="Normal 7 2 3 5" xfId="23443" xr:uid="{00000000-0005-0000-0000-000034690000}"/>
    <cellStyle name="Normal 7 2 4" xfId="1722" xr:uid="{00000000-0005-0000-0000-000035690000}"/>
    <cellStyle name="Normal 7 2 4 2" xfId="9366" xr:uid="{00000000-0005-0000-0000-000036690000}"/>
    <cellStyle name="Normal 7 2 4 2 2" xfId="18722" xr:uid="{00000000-0005-0000-0000-000037690000}"/>
    <cellStyle name="Normal 7 2 4 2 2 2" xfId="35296" xr:uid="{00000000-0005-0000-0000-000038690000}"/>
    <cellStyle name="Normal 7 2 4 2 3" xfId="27249" xr:uid="{00000000-0005-0000-0000-000039690000}"/>
    <cellStyle name="Normal 7 2 4 3" xfId="5444" xr:uid="{00000000-0005-0000-0000-00003A690000}"/>
    <cellStyle name="Normal 7 2 4 3 2" xfId="31488" xr:uid="{00000000-0005-0000-0000-00003B690000}"/>
    <cellStyle name="Normal 7 2 4 4" xfId="23445" xr:uid="{00000000-0005-0000-0000-00003C690000}"/>
    <cellStyle name="Normal 7 2 5" xfId="9367" xr:uid="{00000000-0005-0000-0000-00003D690000}"/>
    <cellStyle name="Normal 7 2 5 2" xfId="18723" xr:uid="{00000000-0005-0000-0000-00003E690000}"/>
    <cellStyle name="Normal 7 2 5 2 2" xfId="35297" xr:uid="{00000000-0005-0000-0000-00003F690000}"/>
    <cellStyle name="Normal 7 2 5 3" xfId="27250" xr:uid="{00000000-0005-0000-0000-000040690000}"/>
    <cellStyle name="Normal 7 2 6" xfId="5439" xr:uid="{00000000-0005-0000-0000-000041690000}"/>
    <cellStyle name="Normal 7 3" xfId="287" xr:uid="{00000000-0005-0000-0000-000042690000}"/>
    <cellStyle name="Normal 7 3 2" xfId="5445" xr:uid="{00000000-0005-0000-0000-000043690000}"/>
    <cellStyle name="Normal 7 3 2 2" xfId="5446" xr:uid="{00000000-0005-0000-0000-000044690000}"/>
    <cellStyle name="Normal 7 3 2 2 2" xfId="5447" xr:uid="{00000000-0005-0000-0000-000045690000}"/>
    <cellStyle name="Normal 7 3 2 2 2 2" xfId="9368" xr:uid="{00000000-0005-0000-0000-000046690000}"/>
    <cellStyle name="Normal 7 3 2 2 2 2 2" xfId="18724" xr:uid="{00000000-0005-0000-0000-000047690000}"/>
    <cellStyle name="Normal 7 3 2 2 2 2 2 2" xfId="35298" xr:uid="{00000000-0005-0000-0000-000048690000}"/>
    <cellStyle name="Normal 7 3 2 2 2 2 3" xfId="27251" xr:uid="{00000000-0005-0000-0000-000049690000}"/>
    <cellStyle name="Normal 7 3 2 2 2 3" xfId="14943" xr:uid="{00000000-0005-0000-0000-00004A690000}"/>
    <cellStyle name="Normal 7 3 2 2 2 3 2" xfId="31492" xr:uid="{00000000-0005-0000-0000-00004B690000}"/>
    <cellStyle name="Normal 7 3 2 2 2 4" xfId="23449" xr:uid="{00000000-0005-0000-0000-00004C690000}"/>
    <cellStyle name="Normal 7 3 2 2 3" xfId="9369" xr:uid="{00000000-0005-0000-0000-00004D690000}"/>
    <cellStyle name="Normal 7 3 2 2 3 2" xfId="18725" xr:uid="{00000000-0005-0000-0000-00004E690000}"/>
    <cellStyle name="Normal 7 3 2 2 3 2 2" xfId="35299" xr:uid="{00000000-0005-0000-0000-00004F690000}"/>
    <cellStyle name="Normal 7 3 2 2 3 3" xfId="27252" xr:uid="{00000000-0005-0000-0000-000050690000}"/>
    <cellStyle name="Normal 7 3 2 2 4" xfId="14942" xr:uid="{00000000-0005-0000-0000-000051690000}"/>
    <cellStyle name="Normal 7 3 2 2 4 2" xfId="31491" xr:uid="{00000000-0005-0000-0000-000052690000}"/>
    <cellStyle name="Normal 7 3 2 2 5" xfId="23448" xr:uid="{00000000-0005-0000-0000-000053690000}"/>
    <cellStyle name="Normal 7 3 2 3" xfId="5448" xr:uid="{00000000-0005-0000-0000-000054690000}"/>
    <cellStyle name="Normal 7 3 2 3 2" xfId="9370" xr:uid="{00000000-0005-0000-0000-000055690000}"/>
    <cellStyle name="Normal 7 3 2 3 2 2" xfId="18726" xr:uid="{00000000-0005-0000-0000-000056690000}"/>
    <cellStyle name="Normal 7 3 2 3 2 2 2" xfId="35300" xr:uid="{00000000-0005-0000-0000-000057690000}"/>
    <cellStyle name="Normal 7 3 2 3 2 3" xfId="27253" xr:uid="{00000000-0005-0000-0000-000058690000}"/>
    <cellStyle name="Normal 7 3 2 3 3" xfId="14944" xr:uid="{00000000-0005-0000-0000-000059690000}"/>
    <cellStyle name="Normal 7 3 2 3 3 2" xfId="31493" xr:uid="{00000000-0005-0000-0000-00005A690000}"/>
    <cellStyle name="Normal 7 3 2 3 4" xfId="23450" xr:uid="{00000000-0005-0000-0000-00005B690000}"/>
    <cellStyle name="Normal 7 3 2 4" xfId="9371" xr:uid="{00000000-0005-0000-0000-00005C690000}"/>
    <cellStyle name="Normal 7 3 2 4 2" xfId="18727" xr:uid="{00000000-0005-0000-0000-00005D690000}"/>
    <cellStyle name="Normal 7 3 2 4 2 2" xfId="35301" xr:uid="{00000000-0005-0000-0000-00005E690000}"/>
    <cellStyle name="Normal 7 3 2 4 3" xfId="27254" xr:uid="{00000000-0005-0000-0000-00005F690000}"/>
    <cellStyle name="Normal 7 3 2 5" xfId="14941" xr:uid="{00000000-0005-0000-0000-000060690000}"/>
    <cellStyle name="Normal 7 3 2 5 2" xfId="31490" xr:uid="{00000000-0005-0000-0000-000061690000}"/>
    <cellStyle name="Normal 7 3 2 6" xfId="23447" xr:uid="{00000000-0005-0000-0000-000062690000}"/>
    <cellStyle name="Normal 7 3 3" xfId="5449" xr:uid="{00000000-0005-0000-0000-000063690000}"/>
    <cellStyle name="Normal 7 3 3 2" xfId="5450" xr:uid="{00000000-0005-0000-0000-000064690000}"/>
    <cellStyle name="Normal 7 3 3 2 2" xfId="9372" xr:uid="{00000000-0005-0000-0000-000065690000}"/>
    <cellStyle name="Normal 7 3 3 2 2 2" xfId="18728" xr:uid="{00000000-0005-0000-0000-000066690000}"/>
    <cellStyle name="Normal 7 3 3 2 2 2 2" xfId="35302" xr:uid="{00000000-0005-0000-0000-000067690000}"/>
    <cellStyle name="Normal 7 3 3 2 2 3" xfId="27255" xr:uid="{00000000-0005-0000-0000-000068690000}"/>
    <cellStyle name="Normal 7 3 3 2 3" xfId="14946" xr:uid="{00000000-0005-0000-0000-000069690000}"/>
    <cellStyle name="Normal 7 3 3 2 3 2" xfId="31495" xr:uid="{00000000-0005-0000-0000-00006A690000}"/>
    <cellStyle name="Normal 7 3 3 2 4" xfId="23452" xr:uid="{00000000-0005-0000-0000-00006B690000}"/>
    <cellStyle name="Normal 7 3 3 3" xfId="9373" xr:uid="{00000000-0005-0000-0000-00006C690000}"/>
    <cellStyle name="Normal 7 3 3 3 2" xfId="18729" xr:uid="{00000000-0005-0000-0000-00006D690000}"/>
    <cellStyle name="Normal 7 3 3 3 2 2" xfId="35303" xr:uid="{00000000-0005-0000-0000-00006E690000}"/>
    <cellStyle name="Normal 7 3 3 3 3" xfId="27256" xr:uid="{00000000-0005-0000-0000-00006F690000}"/>
    <cellStyle name="Normal 7 3 3 4" xfId="14945" xr:uid="{00000000-0005-0000-0000-000070690000}"/>
    <cellStyle name="Normal 7 3 3 4 2" xfId="31494" xr:uid="{00000000-0005-0000-0000-000071690000}"/>
    <cellStyle name="Normal 7 3 3 5" xfId="23451" xr:uid="{00000000-0005-0000-0000-000072690000}"/>
    <cellStyle name="Normal 7 3 4" xfId="5451" xr:uid="{00000000-0005-0000-0000-000073690000}"/>
    <cellStyle name="Normal 7 3 4 2" xfId="9374" xr:uid="{00000000-0005-0000-0000-000074690000}"/>
    <cellStyle name="Normal 7 3 4 2 2" xfId="18730" xr:uid="{00000000-0005-0000-0000-000075690000}"/>
    <cellStyle name="Normal 7 3 4 2 2 2" xfId="35304" xr:uid="{00000000-0005-0000-0000-000076690000}"/>
    <cellStyle name="Normal 7 3 4 2 3" xfId="27257" xr:uid="{00000000-0005-0000-0000-000077690000}"/>
    <cellStyle name="Normal 7 3 4 3" xfId="14947" xr:uid="{00000000-0005-0000-0000-000078690000}"/>
    <cellStyle name="Normal 7 3 4 3 2" xfId="31496" xr:uid="{00000000-0005-0000-0000-000079690000}"/>
    <cellStyle name="Normal 7 3 4 4" xfId="23453" xr:uid="{00000000-0005-0000-0000-00007A690000}"/>
    <cellStyle name="Normal 7 3 5" xfId="9375" xr:uid="{00000000-0005-0000-0000-00007B690000}"/>
    <cellStyle name="Normal 7 3 5 2" xfId="18731" xr:uid="{00000000-0005-0000-0000-00007C690000}"/>
    <cellStyle name="Normal 7 3 5 2 2" xfId="35305" xr:uid="{00000000-0005-0000-0000-00007D690000}"/>
    <cellStyle name="Normal 7 3 5 3" xfId="27258" xr:uid="{00000000-0005-0000-0000-00007E690000}"/>
    <cellStyle name="Normal 7 3 6" xfId="14940" xr:uid="{00000000-0005-0000-0000-00007F690000}"/>
    <cellStyle name="Normal 7 3 6 2" xfId="31489" xr:uid="{00000000-0005-0000-0000-000080690000}"/>
    <cellStyle name="Normal 7 3 7" xfId="23446" xr:uid="{00000000-0005-0000-0000-000081690000}"/>
    <cellStyle name="Normal 7 4" xfId="1721" xr:uid="{00000000-0005-0000-0000-000082690000}"/>
    <cellStyle name="Normal 7 4 2" xfId="5452" xr:uid="{00000000-0005-0000-0000-000083690000}"/>
    <cellStyle name="Normal 7 4 2 2" xfId="5453" xr:uid="{00000000-0005-0000-0000-000084690000}"/>
    <cellStyle name="Normal 7 4 2 2 2" xfId="5454" xr:uid="{00000000-0005-0000-0000-000085690000}"/>
    <cellStyle name="Normal 7 4 2 2 2 2" xfId="5455" xr:uid="{00000000-0005-0000-0000-000086690000}"/>
    <cellStyle name="Normal 7 4 2 2 2 2 2" xfId="14952" xr:uid="{00000000-0005-0000-0000-000087690000}"/>
    <cellStyle name="Normal 7 4 2 2 2 2 2 2" xfId="31501" xr:uid="{00000000-0005-0000-0000-000088690000}"/>
    <cellStyle name="Normal 7 4 2 2 2 2 3" xfId="23458" xr:uid="{00000000-0005-0000-0000-000089690000}"/>
    <cellStyle name="Normal 7 4 2 2 2 3" xfId="14951" xr:uid="{00000000-0005-0000-0000-00008A690000}"/>
    <cellStyle name="Normal 7 4 2 2 2 3 2" xfId="31500" xr:uid="{00000000-0005-0000-0000-00008B690000}"/>
    <cellStyle name="Normal 7 4 2 2 2 4" xfId="23457" xr:uid="{00000000-0005-0000-0000-00008C690000}"/>
    <cellStyle name="Normal 7 4 2 2 3" xfId="9376" xr:uid="{00000000-0005-0000-0000-00008D690000}"/>
    <cellStyle name="Normal 7 4 2 2 3 2" xfId="18732" xr:uid="{00000000-0005-0000-0000-00008E690000}"/>
    <cellStyle name="Normal 7 4 2 2 3 2 2" xfId="35306" xr:uid="{00000000-0005-0000-0000-00008F690000}"/>
    <cellStyle name="Normal 7 4 2 2 3 3" xfId="27259" xr:uid="{00000000-0005-0000-0000-000090690000}"/>
    <cellStyle name="Normal 7 4 2 2 4" xfId="14950" xr:uid="{00000000-0005-0000-0000-000091690000}"/>
    <cellStyle name="Normal 7 4 2 2 4 2" xfId="31499" xr:uid="{00000000-0005-0000-0000-000092690000}"/>
    <cellStyle name="Normal 7 4 2 2 5" xfId="23456" xr:uid="{00000000-0005-0000-0000-000093690000}"/>
    <cellStyle name="Normal 7 4 2 3" xfId="5456" xr:uid="{00000000-0005-0000-0000-000094690000}"/>
    <cellStyle name="Normal 7 4 2 3 2" xfId="9377" xr:uid="{00000000-0005-0000-0000-000095690000}"/>
    <cellStyle name="Normal 7 4 2 3 2 2" xfId="18733" xr:uid="{00000000-0005-0000-0000-000096690000}"/>
    <cellStyle name="Normal 7 4 2 3 2 2 2" xfId="35307" xr:uid="{00000000-0005-0000-0000-000097690000}"/>
    <cellStyle name="Normal 7 4 2 3 2 3" xfId="27260" xr:uid="{00000000-0005-0000-0000-000098690000}"/>
    <cellStyle name="Normal 7 4 2 3 3" xfId="14953" xr:uid="{00000000-0005-0000-0000-000099690000}"/>
    <cellStyle name="Normal 7 4 2 3 3 2" xfId="31502" xr:uid="{00000000-0005-0000-0000-00009A690000}"/>
    <cellStyle name="Normal 7 4 2 3 4" xfId="23459" xr:uid="{00000000-0005-0000-0000-00009B690000}"/>
    <cellStyle name="Normal 7 4 2 4" xfId="9378" xr:uid="{00000000-0005-0000-0000-00009C690000}"/>
    <cellStyle name="Normal 7 4 2 4 2" xfId="18734" xr:uid="{00000000-0005-0000-0000-00009D690000}"/>
    <cellStyle name="Normal 7 4 2 4 2 2" xfId="35308" xr:uid="{00000000-0005-0000-0000-00009E690000}"/>
    <cellStyle name="Normal 7 4 2 4 3" xfId="27261" xr:uid="{00000000-0005-0000-0000-00009F690000}"/>
    <cellStyle name="Normal 7 4 2 5" xfId="14949" xr:uid="{00000000-0005-0000-0000-0000A0690000}"/>
    <cellStyle name="Normal 7 4 2 5 2" xfId="31498" xr:uid="{00000000-0005-0000-0000-0000A1690000}"/>
    <cellStyle name="Normal 7 4 2 6" xfId="23455" xr:uid="{00000000-0005-0000-0000-0000A2690000}"/>
    <cellStyle name="Normal 7 4 2 7" xfId="36898" xr:uid="{00000000-0005-0000-0000-0000A3690000}"/>
    <cellStyle name="Normal 7 4 3" xfId="5457" xr:uid="{00000000-0005-0000-0000-0000A4690000}"/>
    <cellStyle name="Normal 7 4 3 2" xfId="5458" xr:uid="{00000000-0005-0000-0000-0000A5690000}"/>
    <cellStyle name="Normal 7 4 3 2 2" xfId="9379" xr:uid="{00000000-0005-0000-0000-0000A6690000}"/>
    <cellStyle name="Normal 7 4 3 2 2 2" xfId="18735" xr:uid="{00000000-0005-0000-0000-0000A7690000}"/>
    <cellStyle name="Normal 7 4 3 2 2 2 2" xfId="35309" xr:uid="{00000000-0005-0000-0000-0000A8690000}"/>
    <cellStyle name="Normal 7 4 3 2 2 3" xfId="27262" xr:uid="{00000000-0005-0000-0000-0000A9690000}"/>
    <cellStyle name="Normal 7 4 3 2 3" xfId="14955" xr:uid="{00000000-0005-0000-0000-0000AA690000}"/>
    <cellStyle name="Normal 7 4 3 2 3 2" xfId="31504" xr:uid="{00000000-0005-0000-0000-0000AB690000}"/>
    <cellStyle name="Normal 7 4 3 2 4" xfId="23461" xr:uid="{00000000-0005-0000-0000-0000AC690000}"/>
    <cellStyle name="Normal 7 4 3 3" xfId="9380" xr:uid="{00000000-0005-0000-0000-0000AD690000}"/>
    <cellStyle name="Normal 7 4 3 3 2" xfId="18736" xr:uid="{00000000-0005-0000-0000-0000AE690000}"/>
    <cellStyle name="Normal 7 4 3 3 2 2" xfId="35310" xr:uid="{00000000-0005-0000-0000-0000AF690000}"/>
    <cellStyle name="Normal 7 4 3 3 3" xfId="27263" xr:uid="{00000000-0005-0000-0000-0000B0690000}"/>
    <cellStyle name="Normal 7 4 3 4" xfId="14954" xr:uid="{00000000-0005-0000-0000-0000B1690000}"/>
    <cellStyle name="Normal 7 4 3 4 2" xfId="31503" xr:uid="{00000000-0005-0000-0000-0000B2690000}"/>
    <cellStyle name="Normal 7 4 3 5" xfId="23460" xr:uid="{00000000-0005-0000-0000-0000B3690000}"/>
    <cellStyle name="Normal 7 4 4" xfId="5459" xr:uid="{00000000-0005-0000-0000-0000B4690000}"/>
    <cellStyle name="Normal 7 4 4 2" xfId="9381" xr:uid="{00000000-0005-0000-0000-0000B5690000}"/>
    <cellStyle name="Normal 7 4 4 2 2" xfId="18737" xr:uid="{00000000-0005-0000-0000-0000B6690000}"/>
    <cellStyle name="Normal 7 4 4 2 2 2" xfId="35311" xr:uid="{00000000-0005-0000-0000-0000B7690000}"/>
    <cellStyle name="Normal 7 4 4 2 3" xfId="27264" xr:uid="{00000000-0005-0000-0000-0000B8690000}"/>
    <cellStyle name="Normal 7 4 4 3" xfId="14956" xr:uid="{00000000-0005-0000-0000-0000B9690000}"/>
    <cellStyle name="Normal 7 4 4 3 2" xfId="31505" xr:uid="{00000000-0005-0000-0000-0000BA690000}"/>
    <cellStyle name="Normal 7 4 4 4" xfId="23462" xr:uid="{00000000-0005-0000-0000-0000BB690000}"/>
    <cellStyle name="Normal 7 4 5" xfId="9382" xr:uid="{00000000-0005-0000-0000-0000BC690000}"/>
    <cellStyle name="Normal 7 4 5 2" xfId="18738" xr:uid="{00000000-0005-0000-0000-0000BD690000}"/>
    <cellStyle name="Normal 7 4 5 2 2" xfId="35312" xr:uid="{00000000-0005-0000-0000-0000BE690000}"/>
    <cellStyle name="Normal 7 4 5 3" xfId="27265" xr:uid="{00000000-0005-0000-0000-0000BF690000}"/>
    <cellStyle name="Normal 7 4 6" xfId="14948" xr:uid="{00000000-0005-0000-0000-0000C0690000}"/>
    <cellStyle name="Normal 7 4 6 2" xfId="31497" xr:uid="{00000000-0005-0000-0000-0000C1690000}"/>
    <cellStyle name="Normal 7 4 7" xfId="23454" xr:uid="{00000000-0005-0000-0000-0000C2690000}"/>
    <cellStyle name="Normal 7 4 8" xfId="11222" xr:uid="{00000000-0005-0000-0000-0000C3690000}"/>
    <cellStyle name="Normal 7 4 9" xfId="11118" xr:uid="{00000000-0005-0000-0000-0000C4690000}"/>
    <cellStyle name="Normal 7 5" xfId="1678" xr:uid="{00000000-0005-0000-0000-0000C5690000}"/>
    <cellStyle name="Normal 7 5 2" xfId="5461" xr:uid="{00000000-0005-0000-0000-0000C6690000}"/>
    <cellStyle name="Normal 7 5 2 2" xfId="5462" xr:uid="{00000000-0005-0000-0000-0000C7690000}"/>
    <cellStyle name="Normal 7 5 2 2 2" xfId="9383" xr:uid="{00000000-0005-0000-0000-0000C8690000}"/>
    <cellStyle name="Normal 7 5 2 2 2 2" xfId="18739" xr:uid="{00000000-0005-0000-0000-0000C9690000}"/>
    <cellStyle name="Normal 7 5 2 2 2 2 2" xfId="35313" xr:uid="{00000000-0005-0000-0000-0000CA690000}"/>
    <cellStyle name="Normal 7 5 2 2 2 3" xfId="27266" xr:uid="{00000000-0005-0000-0000-0000CB690000}"/>
    <cellStyle name="Normal 7 5 2 2 3" xfId="14958" xr:uid="{00000000-0005-0000-0000-0000CC690000}"/>
    <cellStyle name="Normal 7 5 2 2 3 2" xfId="31508" xr:uid="{00000000-0005-0000-0000-0000CD690000}"/>
    <cellStyle name="Normal 7 5 2 2 4" xfId="23465" xr:uid="{00000000-0005-0000-0000-0000CE690000}"/>
    <cellStyle name="Normal 7 5 2 3" xfId="9384" xr:uid="{00000000-0005-0000-0000-0000CF690000}"/>
    <cellStyle name="Normal 7 5 2 3 2" xfId="18740" xr:uid="{00000000-0005-0000-0000-0000D0690000}"/>
    <cellStyle name="Normal 7 5 2 3 2 2" xfId="35314" xr:uid="{00000000-0005-0000-0000-0000D1690000}"/>
    <cellStyle name="Normal 7 5 2 3 3" xfId="27267" xr:uid="{00000000-0005-0000-0000-0000D2690000}"/>
    <cellStyle name="Normal 7 5 2 4" xfId="14957" xr:uid="{00000000-0005-0000-0000-0000D3690000}"/>
    <cellStyle name="Normal 7 5 2 4 2" xfId="31507" xr:uid="{00000000-0005-0000-0000-0000D4690000}"/>
    <cellStyle name="Normal 7 5 2 5" xfId="23464" xr:uid="{00000000-0005-0000-0000-0000D5690000}"/>
    <cellStyle name="Normal 7 5 3" xfId="5463" xr:uid="{00000000-0005-0000-0000-0000D6690000}"/>
    <cellStyle name="Normal 7 5 3 2" xfId="9385" xr:uid="{00000000-0005-0000-0000-0000D7690000}"/>
    <cellStyle name="Normal 7 5 3 2 2" xfId="18741" xr:uid="{00000000-0005-0000-0000-0000D8690000}"/>
    <cellStyle name="Normal 7 5 3 2 2 2" xfId="35315" xr:uid="{00000000-0005-0000-0000-0000D9690000}"/>
    <cellStyle name="Normal 7 5 3 2 3" xfId="27268" xr:uid="{00000000-0005-0000-0000-0000DA690000}"/>
    <cellStyle name="Normal 7 5 3 3" xfId="14959" xr:uid="{00000000-0005-0000-0000-0000DB690000}"/>
    <cellStyle name="Normal 7 5 3 3 2" xfId="31509" xr:uid="{00000000-0005-0000-0000-0000DC690000}"/>
    <cellStyle name="Normal 7 5 3 4" xfId="23466" xr:uid="{00000000-0005-0000-0000-0000DD690000}"/>
    <cellStyle name="Normal 7 5 4" xfId="9386" xr:uid="{00000000-0005-0000-0000-0000DE690000}"/>
    <cellStyle name="Normal 7 5 4 2" xfId="18742" xr:uid="{00000000-0005-0000-0000-0000DF690000}"/>
    <cellStyle name="Normal 7 5 4 2 2" xfId="35316" xr:uid="{00000000-0005-0000-0000-0000E0690000}"/>
    <cellStyle name="Normal 7 5 4 3" xfId="27269" xr:uid="{00000000-0005-0000-0000-0000E1690000}"/>
    <cellStyle name="Normal 7 5 5" xfId="5460" xr:uid="{00000000-0005-0000-0000-0000E2690000}"/>
    <cellStyle name="Normal 7 5 5 2" xfId="31506" xr:uid="{00000000-0005-0000-0000-0000E3690000}"/>
    <cellStyle name="Normal 7 5 6" xfId="23463" xr:uid="{00000000-0005-0000-0000-0000E4690000}"/>
    <cellStyle name="Normal 7 6" xfId="5464" xr:uid="{00000000-0005-0000-0000-0000E5690000}"/>
    <cellStyle name="Normal 7 6 2" xfId="5465" xr:uid="{00000000-0005-0000-0000-0000E6690000}"/>
    <cellStyle name="Normal 7 6 2 2" xfId="9387" xr:uid="{00000000-0005-0000-0000-0000E7690000}"/>
    <cellStyle name="Normal 7 6 2 2 2" xfId="18743" xr:uid="{00000000-0005-0000-0000-0000E8690000}"/>
    <cellStyle name="Normal 7 6 2 2 2 2" xfId="35317" xr:uid="{00000000-0005-0000-0000-0000E9690000}"/>
    <cellStyle name="Normal 7 6 2 2 3" xfId="27270" xr:uid="{00000000-0005-0000-0000-0000EA690000}"/>
    <cellStyle name="Normal 7 6 2 3" xfId="14961" xr:uid="{00000000-0005-0000-0000-0000EB690000}"/>
    <cellStyle name="Normal 7 6 2 3 2" xfId="31511" xr:uid="{00000000-0005-0000-0000-0000EC690000}"/>
    <cellStyle name="Normal 7 6 2 4" xfId="23468" xr:uid="{00000000-0005-0000-0000-0000ED690000}"/>
    <cellStyle name="Normal 7 6 3" xfId="9388" xr:uid="{00000000-0005-0000-0000-0000EE690000}"/>
    <cellStyle name="Normal 7 6 3 2" xfId="18744" xr:uid="{00000000-0005-0000-0000-0000EF690000}"/>
    <cellStyle name="Normal 7 6 3 2 2" xfId="35318" xr:uid="{00000000-0005-0000-0000-0000F0690000}"/>
    <cellStyle name="Normal 7 6 3 3" xfId="27271" xr:uid="{00000000-0005-0000-0000-0000F1690000}"/>
    <cellStyle name="Normal 7 6 4" xfId="14960" xr:uid="{00000000-0005-0000-0000-0000F2690000}"/>
    <cellStyle name="Normal 7 6 4 2" xfId="31510" xr:uid="{00000000-0005-0000-0000-0000F3690000}"/>
    <cellStyle name="Normal 7 6 5" xfId="23467" xr:uid="{00000000-0005-0000-0000-0000F4690000}"/>
    <cellStyle name="Normal 7 7" xfId="5466" xr:uid="{00000000-0005-0000-0000-0000F5690000}"/>
    <cellStyle name="Normal 7 7 2" xfId="9389" xr:uid="{00000000-0005-0000-0000-0000F6690000}"/>
    <cellStyle name="Normal 7 7 2 2" xfId="18745" xr:uid="{00000000-0005-0000-0000-0000F7690000}"/>
    <cellStyle name="Normal 7 7 2 2 2" xfId="35319" xr:uid="{00000000-0005-0000-0000-0000F8690000}"/>
    <cellStyle name="Normal 7 7 2 3" xfId="27272" xr:uid="{00000000-0005-0000-0000-0000F9690000}"/>
    <cellStyle name="Normal 7 7 3" xfId="14962" xr:uid="{00000000-0005-0000-0000-0000FA690000}"/>
    <cellStyle name="Normal 7 7 3 2" xfId="31512" xr:uid="{00000000-0005-0000-0000-0000FB690000}"/>
    <cellStyle name="Normal 7 7 4" xfId="23469" xr:uid="{00000000-0005-0000-0000-0000FC690000}"/>
    <cellStyle name="Normal 7 8" xfId="9390" xr:uid="{00000000-0005-0000-0000-0000FD690000}"/>
    <cellStyle name="Normal 7 8 2" xfId="18746" xr:uid="{00000000-0005-0000-0000-0000FE690000}"/>
    <cellStyle name="Normal 7 8 2 2" xfId="35320" xr:uid="{00000000-0005-0000-0000-0000FF690000}"/>
    <cellStyle name="Normal 7 8 3" xfId="27273" xr:uid="{00000000-0005-0000-0000-0000006A0000}"/>
    <cellStyle name="Normal 7 9" xfId="10402" xr:uid="{00000000-0005-0000-0000-0000016A0000}"/>
    <cellStyle name="Normal 7 9 2" xfId="19747" xr:uid="{00000000-0005-0000-0000-0000026A0000}"/>
    <cellStyle name="Normal 7 9 2 2" xfId="36324" xr:uid="{00000000-0005-0000-0000-0000036A0000}"/>
    <cellStyle name="Normal 7 9 3" xfId="28278" xr:uid="{00000000-0005-0000-0000-0000046A0000}"/>
    <cellStyle name="Normal 70" xfId="5467" xr:uid="{00000000-0005-0000-0000-0000056A0000}"/>
    <cellStyle name="Normal 70 10" xfId="14963" xr:uid="{00000000-0005-0000-0000-0000066A0000}"/>
    <cellStyle name="Normal 70 10 2" xfId="31513" xr:uid="{00000000-0005-0000-0000-0000076A0000}"/>
    <cellStyle name="Normal 70 11" xfId="23470" xr:uid="{00000000-0005-0000-0000-0000086A0000}"/>
    <cellStyle name="Normal 70 2" xfId="5468" xr:uid="{00000000-0005-0000-0000-0000096A0000}"/>
    <cellStyle name="Normal 70 2 2" xfId="5469" xr:uid="{00000000-0005-0000-0000-00000A6A0000}"/>
    <cellStyle name="Normal 70 2 3" xfId="14964" xr:uid="{00000000-0005-0000-0000-00000B6A0000}"/>
    <cellStyle name="Normal 70 2 3 2" xfId="31514" xr:uid="{00000000-0005-0000-0000-00000C6A0000}"/>
    <cellStyle name="Normal 70 2 4" xfId="23471" xr:uid="{00000000-0005-0000-0000-00000D6A0000}"/>
    <cellStyle name="Normal 70 3" xfId="5470" xr:uid="{00000000-0005-0000-0000-00000E6A0000}"/>
    <cellStyle name="Normal 70 3 2" xfId="5471" xr:uid="{00000000-0005-0000-0000-00000F6A0000}"/>
    <cellStyle name="Normal 70 3 2 2" xfId="5472" xr:uid="{00000000-0005-0000-0000-0000106A0000}"/>
    <cellStyle name="Normal 70 3 2 2 2" xfId="5473" xr:uid="{00000000-0005-0000-0000-0000116A0000}"/>
    <cellStyle name="Normal 70 3 2 2 2 2" xfId="9391" xr:uid="{00000000-0005-0000-0000-0000126A0000}"/>
    <cellStyle name="Normal 70 3 2 2 2 2 2" xfId="18747" xr:uid="{00000000-0005-0000-0000-0000136A0000}"/>
    <cellStyle name="Normal 70 3 2 2 2 2 2 2" xfId="35321" xr:uid="{00000000-0005-0000-0000-0000146A0000}"/>
    <cellStyle name="Normal 70 3 2 2 2 2 3" xfId="27274" xr:uid="{00000000-0005-0000-0000-0000156A0000}"/>
    <cellStyle name="Normal 70 3 2 2 2 3" xfId="14967" xr:uid="{00000000-0005-0000-0000-0000166A0000}"/>
    <cellStyle name="Normal 70 3 2 2 2 3 2" xfId="31517" xr:uid="{00000000-0005-0000-0000-0000176A0000}"/>
    <cellStyle name="Normal 70 3 2 2 2 4" xfId="23474" xr:uid="{00000000-0005-0000-0000-0000186A0000}"/>
    <cellStyle name="Normal 70 3 2 2 3" xfId="9392" xr:uid="{00000000-0005-0000-0000-0000196A0000}"/>
    <cellStyle name="Normal 70 3 2 2 3 2" xfId="18748" xr:uid="{00000000-0005-0000-0000-00001A6A0000}"/>
    <cellStyle name="Normal 70 3 2 2 3 2 2" xfId="35322" xr:uid="{00000000-0005-0000-0000-00001B6A0000}"/>
    <cellStyle name="Normal 70 3 2 2 3 3" xfId="27275" xr:uid="{00000000-0005-0000-0000-00001C6A0000}"/>
    <cellStyle name="Normal 70 3 2 2 4" xfId="14966" xr:uid="{00000000-0005-0000-0000-00001D6A0000}"/>
    <cellStyle name="Normal 70 3 2 2 4 2" xfId="31516" xr:uid="{00000000-0005-0000-0000-00001E6A0000}"/>
    <cellStyle name="Normal 70 3 2 2 5" xfId="23473" xr:uid="{00000000-0005-0000-0000-00001F6A0000}"/>
    <cellStyle name="Normal 70 3 2 3" xfId="5474" xr:uid="{00000000-0005-0000-0000-0000206A0000}"/>
    <cellStyle name="Normal 70 3 2 3 2" xfId="9393" xr:uid="{00000000-0005-0000-0000-0000216A0000}"/>
    <cellStyle name="Normal 70 3 2 3 2 2" xfId="18749" xr:uid="{00000000-0005-0000-0000-0000226A0000}"/>
    <cellStyle name="Normal 70 3 2 3 2 2 2" xfId="35323" xr:uid="{00000000-0005-0000-0000-0000236A0000}"/>
    <cellStyle name="Normal 70 3 2 3 2 3" xfId="27276" xr:uid="{00000000-0005-0000-0000-0000246A0000}"/>
    <cellStyle name="Normal 70 3 2 3 3" xfId="14968" xr:uid="{00000000-0005-0000-0000-0000256A0000}"/>
    <cellStyle name="Normal 70 3 2 3 3 2" xfId="31518" xr:uid="{00000000-0005-0000-0000-0000266A0000}"/>
    <cellStyle name="Normal 70 3 2 3 4" xfId="23475" xr:uid="{00000000-0005-0000-0000-0000276A0000}"/>
    <cellStyle name="Normal 70 3 2 4" xfId="9394" xr:uid="{00000000-0005-0000-0000-0000286A0000}"/>
    <cellStyle name="Normal 70 3 2 4 2" xfId="18750" xr:uid="{00000000-0005-0000-0000-0000296A0000}"/>
    <cellStyle name="Normal 70 3 2 4 2 2" xfId="35324" xr:uid="{00000000-0005-0000-0000-00002A6A0000}"/>
    <cellStyle name="Normal 70 3 2 4 3" xfId="27277" xr:uid="{00000000-0005-0000-0000-00002B6A0000}"/>
    <cellStyle name="Normal 70 3 2 5" xfId="14965" xr:uid="{00000000-0005-0000-0000-00002C6A0000}"/>
    <cellStyle name="Normal 70 3 2 5 2" xfId="31515" xr:uid="{00000000-0005-0000-0000-00002D6A0000}"/>
    <cellStyle name="Normal 70 3 2 6" xfId="23472" xr:uid="{00000000-0005-0000-0000-00002E6A0000}"/>
    <cellStyle name="Normal 70 3 3" xfId="5475" xr:uid="{00000000-0005-0000-0000-00002F6A0000}"/>
    <cellStyle name="Normal 70 3 3 2" xfId="5476" xr:uid="{00000000-0005-0000-0000-0000306A0000}"/>
    <cellStyle name="Normal 70 3 3 2 2" xfId="9395" xr:uid="{00000000-0005-0000-0000-0000316A0000}"/>
    <cellStyle name="Normal 70 3 3 2 2 2" xfId="18751" xr:uid="{00000000-0005-0000-0000-0000326A0000}"/>
    <cellStyle name="Normal 70 3 3 2 2 2 2" xfId="35325" xr:uid="{00000000-0005-0000-0000-0000336A0000}"/>
    <cellStyle name="Normal 70 3 3 2 2 3" xfId="27278" xr:uid="{00000000-0005-0000-0000-0000346A0000}"/>
    <cellStyle name="Normal 70 3 3 2 3" xfId="14970" xr:uid="{00000000-0005-0000-0000-0000356A0000}"/>
    <cellStyle name="Normal 70 3 3 2 3 2" xfId="31520" xr:uid="{00000000-0005-0000-0000-0000366A0000}"/>
    <cellStyle name="Normal 70 3 3 2 4" xfId="23477" xr:uid="{00000000-0005-0000-0000-0000376A0000}"/>
    <cellStyle name="Normal 70 3 3 3" xfId="9396" xr:uid="{00000000-0005-0000-0000-0000386A0000}"/>
    <cellStyle name="Normal 70 3 3 3 2" xfId="18752" xr:uid="{00000000-0005-0000-0000-0000396A0000}"/>
    <cellStyle name="Normal 70 3 3 3 2 2" xfId="35326" xr:uid="{00000000-0005-0000-0000-00003A6A0000}"/>
    <cellStyle name="Normal 70 3 3 3 3" xfId="27279" xr:uid="{00000000-0005-0000-0000-00003B6A0000}"/>
    <cellStyle name="Normal 70 3 3 4" xfId="14969" xr:uid="{00000000-0005-0000-0000-00003C6A0000}"/>
    <cellStyle name="Normal 70 3 3 4 2" xfId="31519" xr:uid="{00000000-0005-0000-0000-00003D6A0000}"/>
    <cellStyle name="Normal 70 3 3 5" xfId="23476" xr:uid="{00000000-0005-0000-0000-00003E6A0000}"/>
    <cellStyle name="Normal 70 3 4" xfId="5477" xr:uid="{00000000-0005-0000-0000-00003F6A0000}"/>
    <cellStyle name="Normal 70 3 4 2" xfId="9397" xr:uid="{00000000-0005-0000-0000-0000406A0000}"/>
    <cellStyle name="Normal 70 3 4 2 2" xfId="18753" xr:uid="{00000000-0005-0000-0000-0000416A0000}"/>
    <cellStyle name="Normal 70 3 4 2 2 2" xfId="35327" xr:uid="{00000000-0005-0000-0000-0000426A0000}"/>
    <cellStyle name="Normal 70 3 4 2 3" xfId="27280" xr:uid="{00000000-0005-0000-0000-0000436A0000}"/>
    <cellStyle name="Normal 70 3 4 3" xfId="14971" xr:uid="{00000000-0005-0000-0000-0000446A0000}"/>
    <cellStyle name="Normal 70 3 4 3 2" xfId="31521" xr:uid="{00000000-0005-0000-0000-0000456A0000}"/>
    <cellStyle name="Normal 70 3 4 4" xfId="23478" xr:uid="{00000000-0005-0000-0000-0000466A0000}"/>
    <cellStyle name="Normal 70 3 5" xfId="5478" xr:uid="{00000000-0005-0000-0000-0000476A0000}"/>
    <cellStyle name="Normal 70 3 5 2" xfId="14972" xr:uid="{00000000-0005-0000-0000-0000486A0000}"/>
    <cellStyle name="Normal 70 3 5 2 2" xfId="31522" xr:uid="{00000000-0005-0000-0000-0000496A0000}"/>
    <cellStyle name="Normal 70 3 5 3" xfId="23479" xr:uid="{00000000-0005-0000-0000-00004A6A0000}"/>
    <cellStyle name="Normal 70 4" xfId="5479" xr:uid="{00000000-0005-0000-0000-00004B6A0000}"/>
    <cellStyle name="Normal 70 4 2" xfId="5480" xr:uid="{00000000-0005-0000-0000-00004C6A0000}"/>
    <cellStyle name="Normal 70 4 2 2" xfId="5481" xr:uid="{00000000-0005-0000-0000-00004D6A0000}"/>
    <cellStyle name="Normal 70 4 2 2 2" xfId="5482" xr:uid="{00000000-0005-0000-0000-00004E6A0000}"/>
    <cellStyle name="Normal 70 4 2 2 2 2" xfId="9398" xr:uid="{00000000-0005-0000-0000-00004F6A0000}"/>
    <cellStyle name="Normal 70 4 2 2 2 2 2" xfId="18754" xr:uid="{00000000-0005-0000-0000-0000506A0000}"/>
    <cellStyle name="Normal 70 4 2 2 2 2 2 2" xfId="35328" xr:uid="{00000000-0005-0000-0000-0000516A0000}"/>
    <cellStyle name="Normal 70 4 2 2 2 2 3" xfId="27281" xr:uid="{00000000-0005-0000-0000-0000526A0000}"/>
    <cellStyle name="Normal 70 4 2 2 2 3" xfId="14976" xr:uid="{00000000-0005-0000-0000-0000536A0000}"/>
    <cellStyle name="Normal 70 4 2 2 2 3 2" xfId="31526" xr:uid="{00000000-0005-0000-0000-0000546A0000}"/>
    <cellStyle name="Normal 70 4 2 2 2 4" xfId="23483" xr:uid="{00000000-0005-0000-0000-0000556A0000}"/>
    <cellStyle name="Normal 70 4 2 2 3" xfId="9399" xr:uid="{00000000-0005-0000-0000-0000566A0000}"/>
    <cellStyle name="Normal 70 4 2 2 3 2" xfId="18755" xr:uid="{00000000-0005-0000-0000-0000576A0000}"/>
    <cellStyle name="Normal 70 4 2 2 3 2 2" xfId="35329" xr:uid="{00000000-0005-0000-0000-0000586A0000}"/>
    <cellStyle name="Normal 70 4 2 2 3 3" xfId="27282" xr:uid="{00000000-0005-0000-0000-0000596A0000}"/>
    <cellStyle name="Normal 70 4 2 2 4" xfId="14975" xr:uid="{00000000-0005-0000-0000-00005A6A0000}"/>
    <cellStyle name="Normal 70 4 2 2 4 2" xfId="31525" xr:uid="{00000000-0005-0000-0000-00005B6A0000}"/>
    <cellStyle name="Normal 70 4 2 2 5" xfId="23482" xr:uid="{00000000-0005-0000-0000-00005C6A0000}"/>
    <cellStyle name="Normal 70 4 2 3" xfId="5483" xr:uid="{00000000-0005-0000-0000-00005D6A0000}"/>
    <cellStyle name="Normal 70 4 2 3 2" xfId="9400" xr:uid="{00000000-0005-0000-0000-00005E6A0000}"/>
    <cellStyle name="Normal 70 4 2 3 2 2" xfId="18756" xr:uid="{00000000-0005-0000-0000-00005F6A0000}"/>
    <cellStyle name="Normal 70 4 2 3 2 2 2" xfId="35330" xr:uid="{00000000-0005-0000-0000-0000606A0000}"/>
    <cellStyle name="Normal 70 4 2 3 2 3" xfId="27283" xr:uid="{00000000-0005-0000-0000-0000616A0000}"/>
    <cellStyle name="Normal 70 4 2 3 3" xfId="14977" xr:uid="{00000000-0005-0000-0000-0000626A0000}"/>
    <cellStyle name="Normal 70 4 2 3 3 2" xfId="31527" xr:uid="{00000000-0005-0000-0000-0000636A0000}"/>
    <cellStyle name="Normal 70 4 2 3 4" xfId="23484" xr:uid="{00000000-0005-0000-0000-0000646A0000}"/>
    <cellStyle name="Normal 70 4 2 4" xfId="9401" xr:uid="{00000000-0005-0000-0000-0000656A0000}"/>
    <cellStyle name="Normal 70 4 2 4 2" xfId="18757" xr:uid="{00000000-0005-0000-0000-0000666A0000}"/>
    <cellStyle name="Normal 70 4 2 4 2 2" xfId="35331" xr:uid="{00000000-0005-0000-0000-0000676A0000}"/>
    <cellStyle name="Normal 70 4 2 4 3" xfId="27284" xr:uid="{00000000-0005-0000-0000-0000686A0000}"/>
    <cellStyle name="Normal 70 4 2 5" xfId="14974" xr:uid="{00000000-0005-0000-0000-0000696A0000}"/>
    <cellStyle name="Normal 70 4 2 5 2" xfId="31524" xr:uid="{00000000-0005-0000-0000-00006A6A0000}"/>
    <cellStyle name="Normal 70 4 2 6" xfId="23481" xr:uid="{00000000-0005-0000-0000-00006B6A0000}"/>
    <cellStyle name="Normal 70 4 3" xfId="5484" xr:uid="{00000000-0005-0000-0000-00006C6A0000}"/>
    <cellStyle name="Normal 70 4 3 2" xfId="5485" xr:uid="{00000000-0005-0000-0000-00006D6A0000}"/>
    <cellStyle name="Normal 70 4 3 2 2" xfId="9402" xr:uid="{00000000-0005-0000-0000-00006E6A0000}"/>
    <cellStyle name="Normal 70 4 3 2 2 2" xfId="18758" xr:uid="{00000000-0005-0000-0000-00006F6A0000}"/>
    <cellStyle name="Normal 70 4 3 2 2 2 2" xfId="35332" xr:uid="{00000000-0005-0000-0000-0000706A0000}"/>
    <cellStyle name="Normal 70 4 3 2 2 3" xfId="27285" xr:uid="{00000000-0005-0000-0000-0000716A0000}"/>
    <cellStyle name="Normal 70 4 3 2 3" xfId="14979" xr:uid="{00000000-0005-0000-0000-0000726A0000}"/>
    <cellStyle name="Normal 70 4 3 2 3 2" xfId="31529" xr:uid="{00000000-0005-0000-0000-0000736A0000}"/>
    <cellStyle name="Normal 70 4 3 2 4" xfId="23486" xr:uid="{00000000-0005-0000-0000-0000746A0000}"/>
    <cellStyle name="Normal 70 4 3 3" xfId="9403" xr:uid="{00000000-0005-0000-0000-0000756A0000}"/>
    <cellStyle name="Normal 70 4 3 3 2" xfId="18759" xr:uid="{00000000-0005-0000-0000-0000766A0000}"/>
    <cellStyle name="Normal 70 4 3 3 2 2" xfId="35333" xr:uid="{00000000-0005-0000-0000-0000776A0000}"/>
    <cellStyle name="Normal 70 4 3 3 3" xfId="27286" xr:uid="{00000000-0005-0000-0000-0000786A0000}"/>
    <cellStyle name="Normal 70 4 3 4" xfId="14978" xr:uid="{00000000-0005-0000-0000-0000796A0000}"/>
    <cellStyle name="Normal 70 4 3 4 2" xfId="31528" xr:uid="{00000000-0005-0000-0000-00007A6A0000}"/>
    <cellStyle name="Normal 70 4 3 5" xfId="23485" xr:uid="{00000000-0005-0000-0000-00007B6A0000}"/>
    <cellStyle name="Normal 70 4 4" xfId="5486" xr:uid="{00000000-0005-0000-0000-00007C6A0000}"/>
    <cellStyle name="Normal 70 4 4 2" xfId="9404" xr:uid="{00000000-0005-0000-0000-00007D6A0000}"/>
    <cellStyle name="Normal 70 4 4 2 2" xfId="18760" xr:uid="{00000000-0005-0000-0000-00007E6A0000}"/>
    <cellStyle name="Normal 70 4 4 2 2 2" xfId="35334" xr:uid="{00000000-0005-0000-0000-00007F6A0000}"/>
    <cellStyle name="Normal 70 4 4 2 3" xfId="27287" xr:uid="{00000000-0005-0000-0000-0000806A0000}"/>
    <cellStyle name="Normal 70 4 4 3" xfId="14980" xr:uid="{00000000-0005-0000-0000-0000816A0000}"/>
    <cellStyle name="Normal 70 4 4 3 2" xfId="31530" xr:uid="{00000000-0005-0000-0000-0000826A0000}"/>
    <cellStyle name="Normal 70 4 4 4" xfId="23487" xr:uid="{00000000-0005-0000-0000-0000836A0000}"/>
    <cellStyle name="Normal 70 4 5" xfId="9405" xr:uid="{00000000-0005-0000-0000-0000846A0000}"/>
    <cellStyle name="Normal 70 4 5 2" xfId="18761" xr:uid="{00000000-0005-0000-0000-0000856A0000}"/>
    <cellStyle name="Normal 70 4 5 2 2" xfId="35335" xr:uid="{00000000-0005-0000-0000-0000866A0000}"/>
    <cellStyle name="Normal 70 4 5 3" xfId="27288" xr:uid="{00000000-0005-0000-0000-0000876A0000}"/>
    <cellStyle name="Normal 70 4 6" xfId="14973" xr:uid="{00000000-0005-0000-0000-0000886A0000}"/>
    <cellStyle name="Normal 70 4 6 2" xfId="31523" xr:uid="{00000000-0005-0000-0000-0000896A0000}"/>
    <cellStyle name="Normal 70 4 7" xfId="23480" xr:uid="{00000000-0005-0000-0000-00008A6A0000}"/>
    <cellStyle name="Normal 70 5" xfId="5487" xr:uid="{00000000-0005-0000-0000-00008B6A0000}"/>
    <cellStyle name="Normal 70 5 2" xfId="5488" xr:uid="{00000000-0005-0000-0000-00008C6A0000}"/>
    <cellStyle name="Normal 70 5 2 2" xfId="5489" xr:uid="{00000000-0005-0000-0000-00008D6A0000}"/>
    <cellStyle name="Normal 70 5 2 2 2" xfId="5490" xr:uid="{00000000-0005-0000-0000-00008E6A0000}"/>
    <cellStyle name="Normal 70 5 2 2 2 2" xfId="9406" xr:uid="{00000000-0005-0000-0000-00008F6A0000}"/>
    <cellStyle name="Normal 70 5 2 2 2 2 2" xfId="18762" xr:uid="{00000000-0005-0000-0000-0000906A0000}"/>
    <cellStyle name="Normal 70 5 2 2 2 2 2 2" xfId="35336" xr:uid="{00000000-0005-0000-0000-0000916A0000}"/>
    <cellStyle name="Normal 70 5 2 2 2 2 3" xfId="27289" xr:uid="{00000000-0005-0000-0000-0000926A0000}"/>
    <cellStyle name="Normal 70 5 2 2 2 3" xfId="14984" xr:uid="{00000000-0005-0000-0000-0000936A0000}"/>
    <cellStyle name="Normal 70 5 2 2 2 3 2" xfId="31534" xr:uid="{00000000-0005-0000-0000-0000946A0000}"/>
    <cellStyle name="Normal 70 5 2 2 2 4" xfId="23491" xr:uid="{00000000-0005-0000-0000-0000956A0000}"/>
    <cellStyle name="Normal 70 5 2 2 3" xfId="9407" xr:uid="{00000000-0005-0000-0000-0000966A0000}"/>
    <cellStyle name="Normal 70 5 2 2 3 2" xfId="18763" xr:uid="{00000000-0005-0000-0000-0000976A0000}"/>
    <cellStyle name="Normal 70 5 2 2 3 2 2" xfId="35337" xr:uid="{00000000-0005-0000-0000-0000986A0000}"/>
    <cellStyle name="Normal 70 5 2 2 3 3" xfId="27290" xr:uid="{00000000-0005-0000-0000-0000996A0000}"/>
    <cellStyle name="Normal 70 5 2 2 4" xfId="14983" xr:uid="{00000000-0005-0000-0000-00009A6A0000}"/>
    <cellStyle name="Normal 70 5 2 2 4 2" xfId="31533" xr:uid="{00000000-0005-0000-0000-00009B6A0000}"/>
    <cellStyle name="Normal 70 5 2 2 5" xfId="23490" xr:uid="{00000000-0005-0000-0000-00009C6A0000}"/>
    <cellStyle name="Normal 70 5 2 3" xfId="5491" xr:uid="{00000000-0005-0000-0000-00009D6A0000}"/>
    <cellStyle name="Normal 70 5 2 3 2" xfId="9408" xr:uid="{00000000-0005-0000-0000-00009E6A0000}"/>
    <cellStyle name="Normal 70 5 2 3 2 2" xfId="18764" xr:uid="{00000000-0005-0000-0000-00009F6A0000}"/>
    <cellStyle name="Normal 70 5 2 3 2 2 2" xfId="35338" xr:uid="{00000000-0005-0000-0000-0000A06A0000}"/>
    <cellStyle name="Normal 70 5 2 3 2 3" xfId="27291" xr:uid="{00000000-0005-0000-0000-0000A16A0000}"/>
    <cellStyle name="Normal 70 5 2 3 3" xfId="14985" xr:uid="{00000000-0005-0000-0000-0000A26A0000}"/>
    <cellStyle name="Normal 70 5 2 3 3 2" xfId="31535" xr:uid="{00000000-0005-0000-0000-0000A36A0000}"/>
    <cellStyle name="Normal 70 5 2 3 4" xfId="23492" xr:uid="{00000000-0005-0000-0000-0000A46A0000}"/>
    <cellStyle name="Normal 70 5 2 4" xfId="9409" xr:uid="{00000000-0005-0000-0000-0000A56A0000}"/>
    <cellStyle name="Normal 70 5 2 4 2" xfId="18765" xr:uid="{00000000-0005-0000-0000-0000A66A0000}"/>
    <cellStyle name="Normal 70 5 2 4 2 2" xfId="35339" xr:uid="{00000000-0005-0000-0000-0000A76A0000}"/>
    <cellStyle name="Normal 70 5 2 4 3" xfId="27292" xr:uid="{00000000-0005-0000-0000-0000A86A0000}"/>
    <cellStyle name="Normal 70 5 2 5" xfId="14982" xr:uid="{00000000-0005-0000-0000-0000A96A0000}"/>
    <cellStyle name="Normal 70 5 2 5 2" xfId="31532" xr:uid="{00000000-0005-0000-0000-0000AA6A0000}"/>
    <cellStyle name="Normal 70 5 2 6" xfId="23489" xr:uid="{00000000-0005-0000-0000-0000AB6A0000}"/>
    <cellStyle name="Normal 70 5 3" xfId="5492" xr:uid="{00000000-0005-0000-0000-0000AC6A0000}"/>
    <cellStyle name="Normal 70 5 3 2" xfId="5493" xr:uid="{00000000-0005-0000-0000-0000AD6A0000}"/>
    <cellStyle name="Normal 70 5 3 2 2" xfId="9410" xr:uid="{00000000-0005-0000-0000-0000AE6A0000}"/>
    <cellStyle name="Normal 70 5 3 2 2 2" xfId="18766" xr:uid="{00000000-0005-0000-0000-0000AF6A0000}"/>
    <cellStyle name="Normal 70 5 3 2 2 2 2" xfId="35340" xr:uid="{00000000-0005-0000-0000-0000B06A0000}"/>
    <cellStyle name="Normal 70 5 3 2 2 3" xfId="27293" xr:uid="{00000000-0005-0000-0000-0000B16A0000}"/>
    <cellStyle name="Normal 70 5 3 2 3" xfId="14987" xr:uid="{00000000-0005-0000-0000-0000B26A0000}"/>
    <cellStyle name="Normal 70 5 3 2 3 2" xfId="31537" xr:uid="{00000000-0005-0000-0000-0000B36A0000}"/>
    <cellStyle name="Normal 70 5 3 2 4" xfId="23494" xr:uid="{00000000-0005-0000-0000-0000B46A0000}"/>
    <cellStyle name="Normal 70 5 3 3" xfId="9411" xr:uid="{00000000-0005-0000-0000-0000B56A0000}"/>
    <cellStyle name="Normal 70 5 3 3 2" xfId="18767" xr:uid="{00000000-0005-0000-0000-0000B66A0000}"/>
    <cellStyle name="Normal 70 5 3 3 2 2" xfId="35341" xr:uid="{00000000-0005-0000-0000-0000B76A0000}"/>
    <cellStyle name="Normal 70 5 3 3 3" xfId="27294" xr:uid="{00000000-0005-0000-0000-0000B86A0000}"/>
    <cellStyle name="Normal 70 5 3 4" xfId="14986" xr:uid="{00000000-0005-0000-0000-0000B96A0000}"/>
    <cellStyle name="Normal 70 5 3 4 2" xfId="31536" xr:uid="{00000000-0005-0000-0000-0000BA6A0000}"/>
    <cellStyle name="Normal 70 5 3 5" xfId="23493" xr:uid="{00000000-0005-0000-0000-0000BB6A0000}"/>
    <cellStyle name="Normal 70 5 4" xfId="5494" xr:uid="{00000000-0005-0000-0000-0000BC6A0000}"/>
    <cellStyle name="Normal 70 5 4 2" xfId="9412" xr:uid="{00000000-0005-0000-0000-0000BD6A0000}"/>
    <cellStyle name="Normal 70 5 4 2 2" xfId="18768" xr:uid="{00000000-0005-0000-0000-0000BE6A0000}"/>
    <cellStyle name="Normal 70 5 4 2 2 2" xfId="35342" xr:uid="{00000000-0005-0000-0000-0000BF6A0000}"/>
    <cellStyle name="Normal 70 5 4 2 3" xfId="27295" xr:uid="{00000000-0005-0000-0000-0000C06A0000}"/>
    <cellStyle name="Normal 70 5 4 3" xfId="14988" xr:uid="{00000000-0005-0000-0000-0000C16A0000}"/>
    <cellStyle name="Normal 70 5 4 3 2" xfId="31538" xr:uid="{00000000-0005-0000-0000-0000C26A0000}"/>
    <cellStyle name="Normal 70 5 4 4" xfId="23495" xr:uid="{00000000-0005-0000-0000-0000C36A0000}"/>
    <cellStyle name="Normal 70 5 5" xfId="9413" xr:uid="{00000000-0005-0000-0000-0000C46A0000}"/>
    <cellStyle name="Normal 70 5 5 2" xfId="18769" xr:uid="{00000000-0005-0000-0000-0000C56A0000}"/>
    <cellStyle name="Normal 70 5 5 2 2" xfId="35343" xr:uid="{00000000-0005-0000-0000-0000C66A0000}"/>
    <cellStyle name="Normal 70 5 5 3" xfId="27296" xr:uid="{00000000-0005-0000-0000-0000C76A0000}"/>
    <cellStyle name="Normal 70 5 6" xfId="14981" xr:uid="{00000000-0005-0000-0000-0000C86A0000}"/>
    <cellStyle name="Normal 70 5 6 2" xfId="31531" xr:uid="{00000000-0005-0000-0000-0000C96A0000}"/>
    <cellStyle name="Normal 70 5 7" xfId="23488" xr:uid="{00000000-0005-0000-0000-0000CA6A0000}"/>
    <cellStyle name="Normal 70 6" xfId="5495" xr:uid="{00000000-0005-0000-0000-0000CB6A0000}"/>
    <cellStyle name="Normal 70 6 2" xfId="5496" xr:uid="{00000000-0005-0000-0000-0000CC6A0000}"/>
    <cellStyle name="Normal 70 6 2 2" xfId="5497" xr:uid="{00000000-0005-0000-0000-0000CD6A0000}"/>
    <cellStyle name="Normal 70 6 2 2 2" xfId="9414" xr:uid="{00000000-0005-0000-0000-0000CE6A0000}"/>
    <cellStyle name="Normal 70 6 2 2 2 2" xfId="18770" xr:uid="{00000000-0005-0000-0000-0000CF6A0000}"/>
    <cellStyle name="Normal 70 6 2 2 2 2 2" xfId="35344" xr:uid="{00000000-0005-0000-0000-0000D06A0000}"/>
    <cellStyle name="Normal 70 6 2 2 2 3" xfId="27297" xr:uid="{00000000-0005-0000-0000-0000D16A0000}"/>
    <cellStyle name="Normal 70 6 2 2 3" xfId="14991" xr:uid="{00000000-0005-0000-0000-0000D26A0000}"/>
    <cellStyle name="Normal 70 6 2 2 3 2" xfId="31541" xr:uid="{00000000-0005-0000-0000-0000D36A0000}"/>
    <cellStyle name="Normal 70 6 2 2 4" xfId="23498" xr:uid="{00000000-0005-0000-0000-0000D46A0000}"/>
    <cellStyle name="Normal 70 6 2 3" xfId="9415" xr:uid="{00000000-0005-0000-0000-0000D56A0000}"/>
    <cellStyle name="Normal 70 6 2 3 2" xfId="18771" xr:uid="{00000000-0005-0000-0000-0000D66A0000}"/>
    <cellStyle name="Normal 70 6 2 3 2 2" xfId="35345" xr:uid="{00000000-0005-0000-0000-0000D76A0000}"/>
    <cellStyle name="Normal 70 6 2 3 3" xfId="27298" xr:uid="{00000000-0005-0000-0000-0000D86A0000}"/>
    <cellStyle name="Normal 70 6 2 4" xfId="14990" xr:uid="{00000000-0005-0000-0000-0000D96A0000}"/>
    <cellStyle name="Normal 70 6 2 4 2" xfId="31540" xr:uid="{00000000-0005-0000-0000-0000DA6A0000}"/>
    <cellStyle name="Normal 70 6 2 5" xfId="23497" xr:uid="{00000000-0005-0000-0000-0000DB6A0000}"/>
    <cellStyle name="Normal 70 6 3" xfId="5498" xr:uid="{00000000-0005-0000-0000-0000DC6A0000}"/>
    <cellStyle name="Normal 70 6 3 2" xfId="9416" xr:uid="{00000000-0005-0000-0000-0000DD6A0000}"/>
    <cellStyle name="Normal 70 6 3 2 2" xfId="18772" xr:uid="{00000000-0005-0000-0000-0000DE6A0000}"/>
    <cellStyle name="Normal 70 6 3 2 2 2" xfId="35346" xr:uid="{00000000-0005-0000-0000-0000DF6A0000}"/>
    <cellStyle name="Normal 70 6 3 2 3" xfId="27299" xr:uid="{00000000-0005-0000-0000-0000E06A0000}"/>
    <cellStyle name="Normal 70 6 3 3" xfId="14992" xr:uid="{00000000-0005-0000-0000-0000E16A0000}"/>
    <cellStyle name="Normal 70 6 3 3 2" xfId="31542" xr:uid="{00000000-0005-0000-0000-0000E26A0000}"/>
    <cellStyle name="Normal 70 6 3 4" xfId="23499" xr:uid="{00000000-0005-0000-0000-0000E36A0000}"/>
    <cellStyle name="Normal 70 6 4" xfId="9417" xr:uid="{00000000-0005-0000-0000-0000E46A0000}"/>
    <cellStyle name="Normal 70 6 4 2" xfId="18773" xr:uid="{00000000-0005-0000-0000-0000E56A0000}"/>
    <cellStyle name="Normal 70 6 4 2 2" xfId="35347" xr:uid="{00000000-0005-0000-0000-0000E66A0000}"/>
    <cellStyle name="Normal 70 6 4 3" xfId="27300" xr:uid="{00000000-0005-0000-0000-0000E76A0000}"/>
    <cellStyle name="Normal 70 6 5" xfId="14989" xr:uid="{00000000-0005-0000-0000-0000E86A0000}"/>
    <cellStyle name="Normal 70 6 5 2" xfId="31539" xr:uid="{00000000-0005-0000-0000-0000E96A0000}"/>
    <cellStyle name="Normal 70 6 6" xfId="23496" xr:uid="{00000000-0005-0000-0000-0000EA6A0000}"/>
    <cellStyle name="Normal 70 7" xfId="5499" xr:uid="{00000000-0005-0000-0000-0000EB6A0000}"/>
    <cellStyle name="Normal 70 7 2" xfId="5500" xr:uid="{00000000-0005-0000-0000-0000EC6A0000}"/>
    <cellStyle name="Normal 70 7 2 2" xfId="9418" xr:uid="{00000000-0005-0000-0000-0000ED6A0000}"/>
    <cellStyle name="Normal 70 7 2 2 2" xfId="18774" xr:uid="{00000000-0005-0000-0000-0000EE6A0000}"/>
    <cellStyle name="Normal 70 7 2 2 2 2" xfId="35348" xr:uid="{00000000-0005-0000-0000-0000EF6A0000}"/>
    <cellStyle name="Normal 70 7 2 2 3" xfId="27301" xr:uid="{00000000-0005-0000-0000-0000F06A0000}"/>
    <cellStyle name="Normal 70 7 2 3" xfId="14994" xr:uid="{00000000-0005-0000-0000-0000F16A0000}"/>
    <cellStyle name="Normal 70 7 2 3 2" xfId="31544" xr:uid="{00000000-0005-0000-0000-0000F26A0000}"/>
    <cellStyle name="Normal 70 7 2 4" xfId="23501" xr:uid="{00000000-0005-0000-0000-0000F36A0000}"/>
    <cellStyle name="Normal 70 7 3" xfId="9419" xr:uid="{00000000-0005-0000-0000-0000F46A0000}"/>
    <cellStyle name="Normal 70 7 3 2" xfId="18775" xr:uid="{00000000-0005-0000-0000-0000F56A0000}"/>
    <cellStyle name="Normal 70 7 3 2 2" xfId="35349" xr:uid="{00000000-0005-0000-0000-0000F66A0000}"/>
    <cellStyle name="Normal 70 7 3 3" xfId="27302" xr:uid="{00000000-0005-0000-0000-0000F76A0000}"/>
    <cellStyle name="Normal 70 7 4" xfId="14993" xr:uid="{00000000-0005-0000-0000-0000F86A0000}"/>
    <cellStyle name="Normal 70 7 4 2" xfId="31543" xr:uid="{00000000-0005-0000-0000-0000F96A0000}"/>
    <cellStyle name="Normal 70 7 5" xfId="23500" xr:uid="{00000000-0005-0000-0000-0000FA6A0000}"/>
    <cellStyle name="Normal 70 8" xfId="5501" xr:uid="{00000000-0005-0000-0000-0000FB6A0000}"/>
    <cellStyle name="Normal 70 8 2" xfId="9420" xr:uid="{00000000-0005-0000-0000-0000FC6A0000}"/>
    <cellStyle name="Normal 70 8 2 2" xfId="18776" xr:uid="{00000000-0005-0000-0000-0000FD6A0000}"/>
    <cellStyle name="Normal 70 8 2 2 2" xfId="35350" xr:uid="{00000000-0005-0000-0000-0000FE6A0000}"/>
    <cellStyle name="Normal 70 8 2 3" xfId="27303" xr:uid="{00000000-0005-0000-0000-0000FF6A0000}"/>
    <cellStyle name="Normal 70 8 3" xfId="14995" xr:uid="{00000000-0005-0000-0000-0000006B0000}"/>
    <cellStyle name="Normal 70 8 3 2" xfId="31545" xr:uid="{00000000-0005-0000-0000-0000016B0000}"/>
    <cellStyle name="Normal 70 8 4" xfId="23502" xr:uid="{00000000-0005-0000-0000-0000026B0000}"/>
    <cellStyle name="Normal 70 9" xfId="9421" xr:uid="{00000000-0005-0000-0000-0000036B0000}"/>
    <cellStyle name="Normal 70 9 2" xfId="18777" xr:uid="{00000000-0005-0000-0000-0000046B0000}"/>
    <cellStyle name="Normal 70 9 2 2" xfId="35351" xr:uid="{00000000-0005-0000-0000-0000056B0000}"/>
    <cellStyle name="Normal 70 9 3" xfId="27304" xr:uid="{00000000-0005-0000-0000-0000066B0000}"/>
    <cellStyle name="Normal 71" xfId="5502" xr:uid="{00000000-0005-0000-0000-0000076B0000}"/>
    <cellStyle name="Normal 71 10" xfId="14996" xr:uid="{00000000-0005-0000-0000-0000086B0000}"/>
    <cellStyle name="Normal 71 10 2" xfId="31546" xr:uid="{00000000-0005-0000-0000-0000096B0000}"/>
    <cellStyle name="Normal 71 11" xfId="23503" xr:uid="{00000000-0005-0000-0000-00000A6B0000}"/>
    <cellStyle name="Normal 71 2" xfId="5503" xr:uid="{00000000-0005-0000-0000-00000B6B0000}"/>
    <cellStyle name="Normal 71 2 2" xfId="5504" xr:uid="{00000000-0005-0000-0000-00000C6B0000}"/>
    <cellStyle name="Normal 71 2 3" xfId="14997" xr:uid="{00000000-0005-0000-0000-00000D6B0000}"/>
    <cellStyle name="Normal 71 2 3 2" xfId="31547" xr:uid="{00000000-0005-0000-0000-00000E6B0000}"/>
    <cellStyle name="Normal 71 2 4" xfId="23504" xr:uid="{00000000-0005-0000-0000-00000F6B0000}"/>
    <cellStyle name="Normal 71 3" xfId="5505" xr:uid="{00000000-0005-0000-0000-0000106B0000}"/>
    <cellStyle name="Normal 71 3 2" xfId="5506" xr:uid="{00000000-0005-0000-0000-0000116B0000}"/>
    <cellStyle name="Normal 71 3 2 2" xfId="5507" xr:uid="{00000000-0005-0000-0000-0000126B0000}"/>
    <cellStyle name="Normal 71 3 2 2 2" xfId="5508" xr:uid="{00000000-0005-0000-0000-0000136B0000}"/>
    <cellStyle name="Normal 71 3 2 2 2 2" xfId="9422" xr:uid="{00000000-0005-0000-0000-0000146B0000}"/>
    <cellStyle name="Normal 71 3 2 2 2 2 2" xfId="18778" xr:uid="{00000000-0005-0000-0000-0000156B0000}"/>
    <cellStyle name="Normal 71 3 2 2 2 2 2 2" xfId="35352" xr:uid="{00000000-0005-0000-0000-0000166B0000}"/>
    <cellStyle name="Normal 71 3 2 2 2 2 3" xfId="27305" xr:uid="{00000000-0005-0000-0000-0000176B0000}"/>
    <cellStyle name="Normal 71 3 2 2 2 3" xfId="15000" xr:uid="{00000000-0005-0000-0000-0000186B0000}"/>
    <cellStyle name="Normal 71 3 2 2 2 3 2" xfId="31550" xr:uid="{00000000-0005-0000-0000-0000196B0000}"/>
    <cellStyle name="Normal 71 3 2 2 2 4" xfId="23507" xr:uid="{00000000-0005-0000-0000-00001A6B0000}"/>
    <cellStyle name="Normal 71 3 2 2 3" xfId="9423" xr:uid="{00000000-0005-0000-0000-00001B6B0000}"/>
    <cellStyle name="Normal 71 3 2 2 3 2" xfId="18779" xr:uid="{00000000-0005-0000-0000-00001C6B0000}"/>
    <cellStyle name="Normal 71 3 2 2 3 2 2" xfId="35353" xr:uid="{00000000-0005-0000-0000-00001D6B0000}"/>
    <cellStyle name="Normal 71 3 2 2 3 3" xfId="27306" xr:uid="{00000000-0005-0000-0000-00001E6B0000}"/>
    <cellStyle name="Normal 71 3 2 2 4" xfId="14999" xr:uid="{00000000-0005-0000-0000-00001F6B0000}"/>
    <cellStyle name="Normal 71 3 2 2 4 2" xfId="31549" xr:uid="{00000000-0005-0000-0000-0000206B0000}"/>
    <cellStyle name="Normal 71 3 2 2 5" xfId="23506" xr:uid="{00000000-0005-0000-0000-0000216B0000}"/>
    <cellStyle name="Normal 71 3 2 3" xfId="5509" xr:uid="{00000000-0005-0000-0000-0000226B0000}"/>
    <cellStyle name="Normal 71 3 2 3 2" xfId="9424" xr:uid="{00000000-0005-0000-0000-0000236B0000}"/>
    <cellStyle name="Normal 71 3 2 3 2 2" xfId="18780" xr:uid="{00000000-0005-0000-0000-0000246B0000}"/>
    <cellStyle name="Normal 71 3 2 3 2 2 2" xfId="35354" xr:uid="{00000000-0005-0000-0000-0000256B0000}"/>
    <cellStyle name="Normal 71 3 2 3 2 3" xfId="27307" xr:uid="{00000000-0005-0000-0000-0000266B0000}"/>
    <cellStyle name="Normal 71 3 2 3 3" xfId="15001" xr:uid="{00000000-0005-0000-0000-0000276B0000}"/>
    <cellStyle name="Normal 71 3 2 3 3 2" xfId="31551" xr:uid="{00000000-0005-0000-0000-0000286B0000}"/>
    <cellStyle name="Normal 71 3 2 3 4" xfId="23508" xr:uid="{00000000-0005-0000-0000-0000296B0000}"/>
    <cellStyle name="Normal 71 3 2 4" xfId="9425" xr:uid="{00000000-0005-0000-0000-00002A6B0000}"/>
    <cellStyle name="Normal 71 3 2 4 2" xfId="18781" xr:uid="{00000000-0005-0000-0000-00002B6B0000}"/>
    <cellStyle name="Normal 71 3 2 4 2 2" xfId="35355" xr:uid="{00000000-0005-0000-0000-00002C6B0000}"/>
    <cellStyle name="Normal 71 3 2 4 3" xfId="27308" xr:uid="{00000000-0005-0000-0000-00002D6B0000}"/>
    <cellStyle name="Normal 71 3 2 5" xfId="14998" xr:uid="{00000000-0005-0000-0000-00002E6B0000}"/>
    <cellStyle name="Normal 71 3 2 5 2" xfId="31548" xr:uid="{00000000-0005-0000-0000-00002F6B0000}"/>
    <cellStyle name="Normal 71 3 2 6" xfId="23505" xr:uid="{00000000-0005-0000-0000-0000306B0000}"/>
    <cellStyle name="Normal 71 3 3" xfId="5510" xr:uid="{00000000-0005-0000-0000-0000316B0000}"/>
    <cellStyle name="Normal 71 3 3 2" xfId="5511" xr:uid="{00000000-0005-0000-0000-0000326B0000}"/>
    <cellStyle name="Normal 71 3 3 2 2" xfId="9426" xr:uid="{00000000-0005-0000-0000-0000336B0000}"/>
    <cellStyle name="Normal 71 3 3 2 2 2" xfId="18782" xr:uid="{00000000-0005-0000-0000-0000346B0000}"/>
    <cellStyle name="Normal 71 3 3 2 2 2 2" xfId="35356" xr:uid="{00000000-0005-0000-0000-0000356B0000}"/>
    <cellStyle name="Normal 71 3 3 2 2 3" xfId="27309" xr:uid="{00000000-0005-0000-0000-0000366B0000}"/>
    <cellStyle name="Normal 71 3 3 2 3" xfId="15003" xr:uid="{00000000-0005-0000-0000-0000376B0000}"/>
    <cellStyle name="Normal 71 3 3 2 3 2" xfId="31553" xr:uid="{00000000-0005-0000-0000-0000386B0000}"/>
    <cellStyle name="Normal 71 3 3 2 4" xfId="23510" xr:uid="{00000000-0005-0000-0000-0000396B0000}"/>
    <cellStyle name="Normal 71 3 3 3" xfId="9427" xr:uid="{00000000-0005-0000-0000-00003A6B0000}"/>
    <cellStyle name="Normal 71 3 3 3 2" xfId="18783" xr:uid="{00000000-0005-0000-0000-00003B6B0000}"/>
    <cellStyle name="Normal 71 3 3 3 2 2" xfId="35357" xr:uid="{00000000-0005-0000-0000-00003C6B0000}"/>
    <cellStyle name="Normal 71 3 3 3 3" xfId="27310" xr:uid="{00000000-0005-0000-0000-00003D6B0000}"/>
    <cellStyle name="Normal 71 3 3 4" xfId="15002" xr:uid="{00000000-0005-0000-0000-00003E6B0000}"/>
    <cellStyle name="Normal 71 3 3 4 2" xfId="31552" xr:uid="{00000000-0005-0000-0000-00003F6B0000}"/>
    <cellStyle name="Normal 71 3 3 5" xfId="23509" xr:uid="{00000000-0005-0000-0000-0000406B0000}"/>
    <cellStyle name="Normal 71 3 4" xfId="5512" xr:uid="{00000000-0005-0000-0000-0000416B0000}"/>
    <cellStyle name="Normal 71 3 4 2" xfId="9428" xr:uid="{00000000-0005-0000-0000-0000426B0000}"/>
    <cellStyle name="Normal 71 3 4 2 2" xfId="18784" xr:uid="{00000000-0005-0000-0000-0000436B0000}"/>
    <cellStyle name="Normal 71 3 4 2 2 2" xfId="35358" xr:uid="{00000000-0005-0000-0000-0000446B0000}"/>
    <cellStyle name="Normal 71 3 4 2 3" xfId="27311" xr:uid="{00000000-0005-0000-0000-0000456B0000}"/>
    <cellStyle name="Normal 71 3 4 3" xfId="15004" xr:uid="{00000000-0005-0000-0000-0000466B0000}"/>
    <cellStyle name="Normal 71 3 4 3 2" xfId="31554" xr:uid="{00000000-0005-0000-0000-0000476B0000}"/>
    <cellStyle name="Normal 71 3 4 4" xfId="23511" xr:uid="{00000000-0005-0000-0000-0000486B0000}"/>
    <cellStyle name="Normal 71 3 5" xfId="5513" xr:uid="{00000000-0005-0000-0000-0000496B0000}"/>
    <cellStyle name="Normal 71 3 5 2" xfId="15005" xr:uid="{00000000-0005-0000-0000-00004A6B0000}"/>
    <cellStyle name="Normal 71 3 5 2 2" xfId="31555" xr:uid="{00000000-0005-0000-0000-00004B6B0000}"/>
    <cellStyle name="Normal 71 3 5 3" xfId="23512" xr:uid="{00000000-0005-0000-0000-00004C6B0000}"/>
    <cellStyle name="Normal 71 4" xfId="5514" xr:uid="{00000000-0005-0000-0000-00004D6B0000}"/>
    <cellStyle name="Normal 71 4 2" xfId="5515" xr:uid="{00000000-0005-0000-0000-00004E6B0000}"/>
    <cellStyle name="Normal 71 4 2 2" xfId="5516" xr:uid="{00000000-0005-0000-0000-00004F6B0000}"/>
    <cellStyle name="Normal 71 4 2 2 2" xfId="5517" xr:uid="{00000000-0005-0000-0000-0000506B0000}"/>
    <cellStyle name="Normal 71 4 2 2 2 2" xfId="9429" xr:uid="{00000000-0005-0000-0000-0000516B0000}"/>
    <cellStyle name="Normal 71 4 2 2 2 2 2" xfId="18785" xr:uid="{00000000-0005-0000-0000-0000526B0000}"/>
    <cellStyle name="Normal 71 4 2 2 2 2 2 2" xfId="35359" xr:uid="{00000000-0005-0000-0000-0000536B0000}"/>
    <cellStyle name="Normal 71 4 2 2 2 2 3" xfId="27312" xr:uid="{00000000-0005-0000-0000-0000546B0000}"/>
    <cellStyle name="Normal 71 4 2 2 2 3" xfId="15009" xr:uid="{00000000-0005-0000-0000-0000556B0000}"/>
    <cellStyle name="Normal 71 4 2 2 2 3 2" xfId="31559" xr:uid="{00000000-0005-0000-0000-0000566B0000}"/>
    <cellStyle name="Normal 71 4 2 2 2 4" xfId="23516" xr:uid="{00000000-0005-0000-0000-0000576B0000}"/>
    <cellStyle name="Normal 71 4 2 2 3" xfId="9430" xr:uid="{00000000-0005-0000-0000-0000586B0000}"/>
    <cellStyle name="Normal 71 4 2 2 3 2" xfId="18786" xr:uid="{00000000-0005-0000-0000-0000596B0000}"/>
    <cellStyle name="Normal 71 4 2 2 3 2 2" xfId="35360" xr:uid="{00000000-0005-0000-0000-00005A6B0000}"/>
    <cellStyle name="Normal 71 4 2 2 3 3" xfId="27313" xr:uid="{00000000-0005-0000-0000-00005B6B0000}"/>
    <cellStyle name="Normal 71 4 2 2 4" xfId="15008" xr:uid="{00000000-0005-0000-0000-00005C6B0000}"/>
    <cellStyle name="Normal 71 4 2 2 4 2" xfId="31558" xr:uid="{00000000-0005-0000-0000-00005D6B0000}"/>
    <cellStyle name="Normal 71 4 2 2 5" xfId="23515" xr:uid="{00000000-0005-0000-0000-00005E6B0000}"/>
    <cellStyle name="Normal 71 4 2 3" xfId="5518" xr:uid="{00000000-0005-0000-0000-00005F6B0000}"/>
    <cellStyle name="Normal 71 4 2 3 2" xfId="9431" xr:uid="{00000000-0005-0000-0000-0000606B0000}"/>
    <cellStyle name="Normal 71 4 2 3 2 2" xfId="18787" xr:uid="{00000000-0005-0000-0000-0000616B0000}"/>
    <cellStyle name="Normal 71 4 2 3 2 2 2" xfId="35361" xr:uid="{00000000-0005-0000-0000-0000626B0000}"/>
    <cellStyle name="Normal 71 4 2 3 2 3" xfId="27314" xr:uid="{00000000-0005-0000-0000-0000636B0000}"/>
    <cellStyle name="Normal 71 4 2 3 3" xfId="15010" xr:uid="{00000000-0005-0000-0000-0000646B0000}"/>
    <cellStyle name="Normal 71 4 2 3 3 2" xfId="31560" xr:uid="{00000000-0005-0000-0000-0000656B0000}"/>
    <cellStyle name="Normal 71 4 2 3 4" xfId="23517" xr:uid="{00000000-0005-0000-0000-0000666B0000}"/>
    <cellStyle name="Normal 71 4 2 4" xfId="9432" xr:uid="{00000000-0005-0000-0000-0000676B0000}"/>
    <cellStyle name="Normal 71 4 2 4 2" xfId="18788" xr:uid="{00000000-0005-0000-0000-0000686B0000}"/>
    <cellStyle name="Normal 71 4 2 4 2 2" xfId="35362" xr:uid="{00000000-0005-0000-0000-0000696B0000}"/>
    <cellStyle name="Normal 71 4 2 4 3" xfId="27315" xr:uid="{00000000-0005-0000-0000-00006A6B0000}"/>
    <cellStyle name="Normal 71 4 2 5" xfId="15007" xr:uid="{00000000-0005-0000-0000-00006B6B0000}"/>
    <cellStyle name="Normal 71 4 2 5 2" xfId="31557" xr:uid="{00000000-0005-0000-0000-00006C6B0000}"/>
    <cellStyle name="Normal 71 4 2 6" xfId="23514" xr:uid="{00000000-0005-0000-0000-00006D6B0000}"/>
    <cellStyle name="Normal 71 4 3" xfId="5519" xr:uid="{00000000-0005-0000-0000-00006E6B0000}"/>
    <cellStyle name="Normal 71 4 3 2" xfId="5520" xr:uid="{00000000-0005-0000-0000-00006F6B0000}"/>
    <cellStyle name="Normal 71 4 3 2 2" xfId="9433" xr:uid="{00000000-0005-0000-0000-0000706B0000}"/>
    <cellStyle name="Normal 71 4 3 2 2 2" xfId="18789" xr:uid="{00000000-0005-0000-0000-0000716B0000}"/>
    <cellStyle name="Normal 71 4 3 2 2 2 2" xfId="35363" xr:uid="{00000000-0005-0000-0000-0000726B0000}"/>
    <cellStyle name="Normal 71 4 3 2 2 3" xfId="27316" xr:uid="{00000000-0005-0000-0000-0000736B0000}"/>
    <cellStyle name="Normal 71 4 3 2 3" xfId="15012" xr:uid="{00000000-0005-0000-0000-0000746B0000}"/>
    <cellStyle name="Normal 71 4 3 2 3 2" xfId="31562" xr:uid="{00000000-0005-0000-0000-0000756B0000}"/>
    <cellStyle name="Normal 71 4 3 2 4" xfId="23519" xr:uid="{00000000-0005-0000-0000-0000766B0000}"/>
    <cellStyle name="Normal 71 4 3 3" xfId="9434" xr:uid="{00000000-0005-0000-0000-0000776B0000}"/>
    <cellStyle name="Normal 71 4 3 3 2" xfId="18790" xr:uid="{00000000-0005-0000-0000-0000786B0000}"/>
    <cellStyle name="Normal 71 4 3 3 2 2" xfId="35364" xr:uid="{00000000-0005-0000-0000-0000796B0000}"/>
    <cellStyle name="Normal 71 4 3 3 3" xfId="27317" xr:uid="{00000000-0005-0000-0000-00007A6B0000}"/>
    <cellStyle name="Normal 71 4 3 4" xfId="15011" xr:uid="{00000000-0005-0000-0000-00007B6B0000}"/>
    <cellStyle name="Normal 71 4 3 4 2" xfId="31561" xr:uid="{00000000-0005-0000-0000-00007C6B0000}"/>
    <cellStyle name="Normal 71 4 3 5" xfId="23518" xr:uid="{00000000-0005-0000-0000-00007D6B0000}"/>
    <cellStyle name="Normal 71 4 4" xfId="5521" xr:uid="{00000000-0005-0000-0000-00007E6B0000}"/>
    <cellStyle name="Normal 71 4 4 2" xfId="9435" xr:uid="{00000000-0005-0000-0000-00007F6B0000}"/>
    <cellStyle name="Normal 71 4 4 2 2" xfId="18791" xr:uid="{00000000-0005-0000-0000-0000806B0000}"/>
    <cellStyle name="Normal 71 4 4 2 2 2" xfId="35365" xr:uid="{00000000-0005-0000-0000-0000816B0000}"/>
    <cellStyle name="Normal 71 4 4 2 3" xfId="27318" xr:uid="{00000000-0005-0000-0000-0000826B0000}"/>
    <cellStyle name="Normal 71 4 4 3" xfId="15013" xr:uid="{00000000-0005-0000-0000-0000836B0000}"/>
    <cellStyle name="Normal 71 4 4 3 2" xfId="31563" xr:uid="{00000000-0005-0000-0000-0000846B0000}"/>
    <cellStyle name="Normal 71 4 4 4" xfId="23520" xr:uid="{00000000-0005-0000-0000-0000856B0000}"/>
    <cellStyle name="Normal 71 4 5" xfId="9436" xr:uid="{00000000-0005-0000-0000-0000866B0000}"/>
    <cellStyle name="Normal 71 4 5 2" xfId="18792" xr:uid="{00000000-0005-0000-0000-0000876B0000}"/>
    <cellStyle name="Normal 71 4 5 2 2" xfId="35366" xr:uid="{00000000-0005-0000-0000-0000886B0000}"/>
    <cellStyle name="Normal 71 4 5 3" xfId="27319" xr:uid="{00000000-0005-0000-0000-0000896B0000}"/>
    <cellStyle name="Normal 71 4 6" xfId="15006" xr:uid="{00000000-0005-0000-0000-00008A6B0000}"/>
    <cellStyle name="Normal 71 4 6 2" xfId="31556" xr:uid="{00000000-0005-0000-0000-00008B6B0000}"/>
    <cellStyle name="Normal 71 4 7" xfId="23513" xr:uid="{00000000-0005-0000-0000-00008C6B0000}"/>
    <cellStyle name="Normal 71 5" xfId="5522" xr:uid="{00000000-0005-0000-0000-00008D6B0000}"/>
    <cellStyle name="Normal 71 5 2" xfId="5523" xr:uid="{00000000-0005-0000-0000-00008E6B0000}"/>
    <cellStyle name="Normal 71 5 2 2" xfId="5524" xr:uid="{00000000-0005-0000-0000-00008F6B0000}"/>
    <cellStyle name="Normal 71 5 2 2 2" xfId="5525" xr:uid="{00000000-0005-0000-0000-0000906B0000}"/>
    <cellStyle name="Normal 71 5 2 2 2 2" xfId="9437" xr:uid="{00000000-0005-0000-0000-0000916B0000}"/>
    <cellStyle name="Normal 71 5 2 2 2 2 2" xfId="18793" xr:uid="{00000000-0005-0000-0000-0000926B0000}"/>
    <cellStyle name="Normal 71 5 2 2 2 2 2 2" xfId="35367" xr:uid="{00000000-0005-0000-0000-0000936B0000}"/>
    <cellStyle name="Normal 71 5 2 2 2 2 3" xfId="27320" xr:uid="{00000000-0005-0000-0000-0000946B0000}"/>
    <cellStyle name="Normal 71 5 2 2 2 3" xfId="15017" xr:uid="{00000000-0005-0000-0000-0000956B0000}"/>
    <cellStyle name="Normal 71 5 2 2 2 3 2" xfId="31567" xr:uid="{00000000-0005-0000-0000-0000966B0000}"/>
    <cellStyle name="Normal 71 5 2 2 2 4" xfId="23524" xr:uid="{00000000-0005-0000-0000-0000976B0000}"/>
    <cellStyle name="Normal 71 5 2 2 3" xfId="9438" xr:uid="{00000000-0005-0000-0000-0000986B0000}"/>
    <cellStyle name="Normal 71 5 2 2 3 2" xfId="18794" xr:uid="{00000000-0005-0000-0000-0000996B0000}"/>
    <cellStyle name="Normal 71 5 2 2 3 2 2" xfId="35368" xr:uid="{00000000-0005-0000-0000-00009A6B0000}"/>
    <cellStyle name="Normal 71 5 2 2 3 3" xfId="27321" xr:uid="{00000000-0005-0000-0000-00009B6B0000}"/>
    <cellStyle name="Normal 71 5 2 2 4" xfId="15016" xr:uid="{00000000-0005-0000-0000-00009C6B0000}"/>
    <cellStyle name="Normal 71 5 2 2 4 2" xfId="31566" xr:uid="{00000000-0005-0000-0000-00009D6B0000}"/>
    <cellStyle name="Normal 71 5 2 2 5" xfId="23523" xr:uid="{00000000-0005-0000-0000-00009E6B0000}"/>
    <cellStyle name="Normal 71 5 2 3" xfId="5526" xr:uid="{00000000-0005-0000-0000-00009F6B0000}"/>
    <cellStyle name="Normal 71 5 2 3 2" xfId="9439" xr:uid="{00000000-0005-0000-0000-0000A06B0000}"/>
    <cellStyle name="Normal 71 5 2 3 2 2" xfId="18795" xr:uid="{00000000-0005-0000-0000-0000A16B0000}"/>
    <cellStyle name="Normal 71 5 2 3 2 2 2" xfId="35369" xr:uid="{00000000-0005-0000-0000-0000A26B0000}"/>
    <cellStyle name="Normal 71 5 2 3 2 3" xfId="27322" xr:uid="{00000000-0005-0000-0000-0000A36B0000}"/>
    <cellStyle name="Normal 71 5 2 3 3" xfId="15018" xr:uid="{00000000-0005-0000-0000-0000A46B0000}"/>
    <cellStyle name="Normal 71 5 2 3 3 2" xfId="31568" xr:uid="{00000000-0005-0000-0000-0000A56B0000}"/>
    <cellStyle name="Normal 71 5 2 3 4" xfId="23525" xr:uid="{00000000-0005-0000-0000-0000A66B0000}"/>
    <cellStyle name="Normal 71 5 2 4" xfId="9440" xr:uid="{00000000-0005-0000-0000-0000A76B0000}"/>
    <cellStyle name="Normal 71 5 2 4 2" xfId="18796" xr:uid="{00000000-0005-0000-0000-0000A86B0000}"/>
    <cellStyle name="Normal 71 5 2 4 2 2" xfId="35370" xr:uid="{00000000-0005-0000-0000-0000A96B0000}"/>
    <cellStyle name="Normal 71 5 2 4 3" xfId="27323" xr:uid="{00000000-0005-0000-0000-0000AA6B0000}"/>
    <cellStyle name="Normal 71 5 2 5" xfId="15015" xr:uid="{00000000-0005-0000-0000-0000AB6B0000}"/>
    <cellStyle name="Normal 71 5 2 5 2" xfId="31565" xr:uid="{00000000-0005-0000-0000-0000AC6B0000}"/>
    <cellStyle name="Normal 71 5 2 6" xfId="23522" xr:uid="{00000000-0005-0000-0000-0000AD6B0000}"/>
    <cellStyle name="Normal 71 5 3" xfId="5527" xr:uid="{00000000-0005-0000-0000-0000AE6B0000}"/>
    <cellStyle name="Normal 71 5 3 2" xfId="5528" xr:uid="{00000000-0005-0000-0000-0000AF6B0000}"/>
    <cellStyle name="Normal 71 5 3 2 2" xfId="9441" xr:uid="{00000000-0005-0000-0000-0000B06B0000}"/>
    <cellStyle name="Normal 71 5 3 2 2 2" xfId="18797" xr:uid="{00000000-0005-0000-0000-0000B16B0000}"/>
    <cellStyle name="Normal 71 5 3 2 2 2 2" xfId="35371" xr:uid="{00000000-0005-0000-0000-0000B26B0000}"/>
    <cellStyle name="Normal 71 5 3 2 2 3" xfId="27324" xr:uid="{00000000-0005-0000-0000-0000B36B0000}"/>
    <cellStyle name="Normal 71 5 3 2 3" xfId="15020" xr:uid="{00000000-0005-0000-0000-0000B46B0000}"/>
    <cellStyle name="Normal 71 5 3 2 3 2" xfId="31570" xr:uid="{00000000-0005-0000-0000-0000B56B0000}"/>
    <cellStyle name="Normal 71 5 3 2 4" xfId="23527" xr:uid="{00000000-0005-0000-0000-0000B66B0000}"/>
    <cellStyle name="Normal 71 5 3 3" xfId="9442" xr:uid="{00000000-0005-0000-0000-0000B76B0000}"/>
    <cellStyle name="Normal 71 5 3 3 2" xfId="18798" xr:uid="{00000000-0005-0000-0000-0000B86B0000}"/>
    <cellStyle name="Normal 71 5 3 3 2 2" xfId="35372" xr:uid="{00000000-0005-0000-0000-0000B96B0000}"/>
    <cellStyle name="Normal 71 5 3 3 3" xfId="27325" xr:uid="{00000000-0005-0000-0000-0000BA6B0000}"/>
    <cellStyle name="Normal 71 5 3 4" xfId="15019" xr:uid="{00000000-0005-0000-0000-0000BB6B0000}"/>
    <cellStyle name="Normal 71 5 3 4 2" xfId="31569" xr:uid="{00000000-0005-0000-0000-0000BC6B0000}"/>
    <cellStyle name="Normal 71 5 3 5" xfId="23526" xr:uid="{00000000-0005-0000-0000-0000BD6B0000}"/>
    <cellStyle name="Normal 71 5 4" xfId="5529" xr:uid="{00000000-0005-0000-0000-0000BE6B0000}"/>
    <cellStyle name="Normal 71 5 4 2" xfId="9443" xr:uid="{00000000-0005-0000-0000-0000BF6B0000}"/>
    <cellStyle name="Normal 71 5 4 2 2" xfId="18799" xr:uid="{00000000-0005-0000-0000-0000C06B0000}"/>
    <cellStyle name="Normal 71 5 4 2 2 2" xfId="35373" xr:uid="{00000000-0005-0000-0000-0000C16B0000}"/>
    <cellStyle name="Normal 71 5 4 2 3" xfId="27326" xr:uid="{00000000-0005-0000-0000-0000C26B0000}"/>
    <cellStyle name="Normal 71 5 4 3" xfId="15021" xr:uid="{00000000-0005-0000-0000-0000C36B0000}"/>
    <cellStyle name="Normal 71 5 4 3 2" xfId="31571" xr:uid="{00000000-0005-0000-0000-0000C46B0000}"/>
    <cellStyle name="Normal 71 5 4 4" xfId="23528" xr:uid="{00000000-0005-0000-0000-0000C56B0000}"/>
    <cellStyle name="Normal 71 5 5" xfId="9444" xr:uid="{00000000-0005-0000-0000-0000C66B0000}"/>
    <cellStyle name="Normal 71 5 5 2" xfId="18800" xr:uid="{00000000-0005-0000-0000-0000C76B0000}"/>
    <cellStyle name="Normal 71 5 5 2 2" xfId="35374" xr:uid="{00000000-0005-0000-0000-0000C86B0000}"/>
    <cellStyle name="Normal 71 5 5 3" xfId="27327" xr:uid="{00000000-0005-0000-0000-0000C96B0000}"/>
    <cellStyle name="Normal 71 5 6" xfId="15014" xr:uid="{00000000-0005-0000-0000-0000CA6B0000}"/>
    <cellStyle name="Normal 71 5 6 2" xfId="31564" xr:uid="{00000000-0005-0000-0000-0000CB6B0000}"/>
    <cellStyle name="Normal 71 5 7" xfId="23521" xr:uid="{00000000-0005-0000-0000-0000CC6B0000}"/>
    <cellStyle name="Normal 71 6" xfId="5530" xr:uid="{00000000-0005-0000-0000-0000CD6B0000}"/>
    <cellStyle name="Normal 71 6 2" xfId="5531" xr:uid="{00000000-0005-0000-0000-0000CE6B0000}"/>
    <cellStyle name="Normal 71 6 2 2" xfId="5532" xr:uid="{00000000-0005-0000-0000-0000CF6B0000}"/>
    <cellStyle name="Normal 71 6 2 2 2" xfId="9445" xr:uid="{00000000-0005-0000-0000-0000D06B0000}"/>
    <cellStyle name="Normal 71 6 2 2 2 2" xfId="18801" xr:uid="{00000000-0005-0000-0000-0000D16B0000}"/>
    <cellStyle name="Normal 71 6 2 2 2 2 2" xfId="35375" xr:uid="{00000000-0005-0000-0000-0000D26B0000}"/>
    <cellStyle name="Normal 71 6 2 2 2 3" xfId="27328" xr:uid="{00000000-0005-0000-0000-0000D36B0000}"/>
    <cellStyle name="Normal 71 6 2 2 3" xfId="15024" xr:uid="{00000000-0005-0000-0000-0000D46B0000}"/>
    <cellStyle name="Normal 71 6 2 2 3 2" xfId="31574" xr:uid="{00000000-0005-0000-0000-0000D56B0000}"/>
    <cellStyle name="Normal 71 6 2 2 4" xfId="23531" xr:uid="{00000000-0005-0000-0000-0000D66B0000}"/>
    <cellStyle name="Normal 71 6 2 3" xfId="9446" xr:uid="{00000000-0005-0000-0000-0000D76B0000}"/>
    <cellStyle name="Normal 71 6 2 3 2" xfId="18802" xr:uid="{00000000-0005-0000-0000-0000D86B0000}"/>
    <cellStyle name="Normal 71 6 2 3 2 2" xfId="35376" xr:uid="{00000000-0005-0000-0000-0000D96B0000}"/>
    <cellStyle name="Normal 71 6 2 3 3" xfId="27329" xr:uid="{00000000-0005-0000-0000-0000DA6B0000}"/>
    <cellStyle name="Normal 71 6 2 4" xfId="15023" xr:uid="{00000000-0005-0000-0000-0000DB6B0000}"/>
    <cellStyle name="Normal 71 6 2 4 2" xfId="31573" xr:uid="{00000000-0005-0000-0000-0000DC6B0000}"/>
    <cellStyle name="Normal 71 6 2 5" xfId="23530" xr:uid="{00000000-0005-0000-0000-0000DD6B0000}"/>
    <cellStyle name="Normal 71 6 3" xfId="5533" xr:uid="{00000000-0005-0000-0000-0000DE6B0000}"/>
    <cellStyle name="Normal 71 6 3 2" xfId="9447" xr:uid="{00000000-0005-0000-0000-0000DF6B0000}"/>
    <cellStyle name="Normal 71 6 3 2 2" xfId="18803" xr:uid="{00000000-0005-0000-0000-0000E06B0000}"/>
    <cellStyle name="Normal 71 6 3 2 2 2" xfId="35377" xr:uid="{00000000-0005-0000-0000-0000E16B0000}"/>
    <cellStyle name="Normal 71 6 3 2 3" xfId="27330" xr:uid="{00000000-0005-0000-0000-0000E26B0000}"/>
    <cellStyle name="Normal 71 6 3 3" xfId="15025" xr:uid="{00000000-0005-0000-0000-0000E36B0000}"/>
    <cellStyle name="Normal 71 6 3 3 2" xfId="31575" xr:uid="{00000000-0005-0000-0000-0000E46B0000}"/>
    <cellStyle name="Normal 71 6 3 4" xfId="23532" xr:uid="{00000000-0005-0000-0000-0000E56B0000}"/>
    <cellStyle name="Normal 71 6 4" xfId="9448" xr:uid="{00000000-0005-0000-0000-0000E66B0000}"/>
    <cellStyle name="Normal 71 6 4 2" xfId="18804" xr:uid="{00000000-0005-0000-0000-0000E76B0000}"/>
    <cellStyle name="Normal 71 6 4 2 2" xfId="35378" xr:uid="{00000000-0005-0000-0000-0000E86B0000}"/>
    <cellStyle name="Normal 71 6 4 3" xfId="27331" xr:uid="{00000000-0005-0000-0000-0000E96B0000}"/>
    <cellStyle name="Normal 71 6 5" xfId="15022" xr:uid="{00000000-0005-0000-0000-0000EA6B0000}"/>
    <cellStyle name="Normal 71 6 5 2" xfId="31572" xr:uid="{00000000-0005-0000-0000-0000EB6B0000}"/>
    <cellStyle name="Normal 71 6 6" xfId="23529" xr:uid="{00000000-0005-0000-0000-0000EC6B0000}"/>
    <cellStyle name="Normal 71 7" xfId="5534" xr:uid="{00000000-0005-0000-0000-0000ED6B0000}"/>
    <cellStyle name="Normal 71 7 2" xfId="5535" xr:uid="{00000000-0005-0000-0000-0000EE6B0000}"/>
    <cellStyle name="Normal 71 7 2 2" xfId="9449" xr:uid="{00000000-0005-0000-0000-0000EF6B0000}"/>
    <cellStyle name="Normal 71 7 2 2 2" xfId="18805" xr:uid="{00000000-0005-0000-0000-0000F06B0000}"/>
    <cellStyle name="Normal 71 7 2 2 2 2" xfId="35379" xr:uid="{00000000-0005-0000-0000-0000F16B0000}"/>
    <cellStyle name="Normal 71 7 2 2 3" xfId="27332" xr:uid="{00000000-0005-0000-0000-0000F26B0000}"/>
    <cellStyle name="Normal 71 7 2 3" xfId="15027" xr:uid="{00000000-0005-0000-0000-0000F36B0000}"/>
    <cellStyle name="Normal 71 7 2 3 2" xfId="31577" xr:uid="{00000000-0005-0000-0000-0000F46B0000}"/>
    <cellStyle name="Normal 71 7 2 4" xfId="23534" xr:uid="{00000000-0005-0000-0000-0000F56B0000}"/>
    <cellStyle name="Normal 71 7 3" xfId="9450" xr:uid="{00000000-0005-0000-0000-0000F66B0000}"/>
    <cellStyle name="Normal 71 7 3 2" xfId="18806" xr:uid="{00000000-0005-0000-0000-0000F76B0000}"/>
    <cellStyle name="Normal 71 7 3 2 2" xfId="35380" xr:uid="{00000000-0005-0000-0000-0000F86B0000}"/>
    <cellStyle name="Normal 71 7 3 3" xfId="27333" xr:uid="{00000000-0005-0000-0000-0000F96B0000}"/>
    <cellStyle name="Normal 71 7 4" xfId="15026" xr:uid="{00000000-0005-0000-0000-0000FA6B0000}"/>
    <cellStyle name="Normal 71 7 4 2" xfId="31576" xr:uid="{00000000-0005-0000-0000-0000FB6B0000}"/>
    <cellStyle name="Normal 71 7 5" xfId="23533" xr:uid="{00000000-0005-0000-0000-0000FC6B0000}"/>
    <cellStyle name="Normal 71 8" xfId="5536" xr:uid="{00000000-0005-0000-0000-0000FD6B0000}"/>
    <cellStyle name="Normal 71 8 2" xfId="9451" xr:uid="{00000000-0005-0000-0000-0000FE6B0000}"/>
    <cellStyle name="Normal 71 8 2 2" xfId="18807" xr:uid="{00000000-0005-0000-0000-0000FF6B0000}"/>
    <cellStyle name="Normal 71 8 2 2 2" xfId="35381" xr:uid="{00000000-0005-0000-0000-0000006C0000}"/>
    <cellStyle name="Normal 71 8 2 3" xfId="27334" xr:uid="{00000000-0005-0000-0000-0000016C0000}"/>
    <cellStyle name="Normal 71 8 3" xfId="15028" xr:uid="{00000000-0005-0000-0000-0000026C0000}"/>
    <cellStyle name="Normal 71 8 3 2" xfId="31578" xr:uid="{00000000-0005-0000-0000-0000036C0000}"/>
    <cellStyle name="Normal 71 8 4" xfId="23535" xr:uid="{00000000-0005-0000-0000-0000046C0000}"/>
    <cellStyle name="Normal 71 9" xfId="9452" xr:uid="{00000000-0005-0000-0000-0000056C0000}"/>
    <cellStyle name="Normal 71 9 2" xfId="18808" xr:uid="{00000000-0005-0000-0000-0000066C0000}"/>
    <cellStyle name="Normal 71 9 2 2" xfId="35382" xr:uid="{00000000-0005-0000-0000-0000076C0000}"/>
    <cellStyle name="Normal 71 9 3" xfId="27335" xr:uid="{00000000-0005-0000-0000-0000086C0000}"/>
    <cellStyle name="Normal 72" xfId="5537" xr:uid="{00000000-0005-0000-0000-0000096C0000}"/>
    <cellStyle name="Normal 72 10" xfId="15029" xr:uid="{00000000-0005-0000-0000-00000A6C0000}"/>
    <cellStyle name="Normal 72 10 2" xfId="31579" xr:uid="{00000000-0005-0000-0000-00000B6C0000}"/>
    <cellStyle name="Normal 72 11" xfId="23536" xr:uid="{00000000-0005-0000-0000-00000C6C0000}"/>
    <cellStyle name="Normal 72 2" xfId="5538" xr:uid="{00000000-0005-0000-0000-00000D6C0000}"/>
    <cellStyle name="Normal 72 2 2" xfId="5539" xr:uid="{00000000-0005-0000-0000-00000E6C0000}"/>
    <cellStyle name="Normal 72 2 3" xfId="15030" xr:uid="{00000000-0005-0000-0000-00000F6C0000}"/>
    <cellStyle name="Normal 72 2 3 2" xfId="31580" xr:uid="{00000000-0005-0000-0000-0000106C0000}"/>
    <cellStyle name="Normal 72 2 4" xfId="23537" xr:uid="{00000000-0005-0000-0000-0000116C0000}"/>
    <cellStyle name="Normal 72 3" xfId="5540" xr:uid="{00000000-0005-0000-0000-0000126C0000}"/>
    <cellStyle name="Normal 72 3 2" xfId="5541" xr:uid="{00000000-0005-0000-0000-0000136C0000}"/>
    <cellStyle name="Normal 72 3 2 2" xfId="5542" xr:uid="{00000000-0005-0000-0000-0000146C0000}"/>
    <cellStyle name="Normal 72 3 2 2 2" xfId="5543" xr:uid="{00000000-0005-0000-0000-0000156C0000}"/>
    <cellStyle name="Normal 72 3 2 2 2 2" xfId="9453" xr:uid="{00000000-0005-0000-0000-0000166C0000}"/>
    <cellStyle name="Normal 72 3 2 2 2 2 2" xfId="18809" xr:uid="{00000000-0005-0000-0000-0000176C0000}"/>
    <cellStyle name="Normal 72 3 2 2 2 2 2 2" xfId="35383" xr:uid="{00000000-0005-0000-0000-0000186C0000}"/>
    <cellStyle name="Normal 72 3 2 2 2 2 3" xfId="27336" xr:uid="{00000000-0005-0000-0000-0000196C0000}"/>
    <cellStyle name="Normal 72 3 2 2 2 3" xfId="15033" xr:uid="{00000000-0005-0000-0000-00001A6C0000}"/>
    <cellStyle name="Normal 72 3 2 2 2 3 2" xfId="31583" xr:uid="{00000000-0005-0000-0000-00001B6C0000}"/>
    <cellStyle name="Normal 72 3 2 2 2 4" xfId="23540" xr:uid="{00000000-0005-0000-0000-00001C6C0000}"/>
    <cellStyle name="Normal 72 3 2 2 3" xfId="9454" xr:uid="{00000000-0005-0000-0000-00001D6C0000}"/>
    <cellStyle name="Normal 72 3 2 2 3 2" xfId="18810" xr:uid="{00000000-0005-0000-0000-00001E6C0000}"/>
    <cellStyle name="Normal 72 3 2 2 3 2 2" xfId="35384" xr:uid="{00000000-0005-0000-0000-00001F6C0000}"/>
    <cellStyle name="Normal 72 3 2 2 3 3" xfId="27337" xr:uid="{00000000-0005-0000-0000-0000206C0000}"/>
    <cellStyle name="Normal 72 3 2 2 4" xfId="15032" xr:uid="{00000000-0005-0000-0000-0000216C0000}"/>
    <cellStyle name="Normal 72 3 2 2 4 2" xfId="31582" xr:uid="{00000000-0005-0000-0000-0000226C0000}"/>
    <cellStyle name="Normal 72 3 2 2 5" xfId="23539" xr:uid="{00000000-0005-0000-0000-0000236C0000}"/>
    <cellStyle name="Normal 72 3 2 3" xfId="5544" xr:uid="{00000000-0005-0000-0000-0000246C0000}"/>
    <cellStyle name="Normal 72 3 2 3 2" xfId="9455" xr:uid="{00000000-0005-0000-0000-0000256C0000}"/>
    <cellStyle name="Normal 72 3 2 3 2 2" xfId="18811" xr:uid="{00000000-0005-0000-0000-0000266C0000}"/>
    <cellStyle name="Normal 72 3 2 3 2 2 2" xfId="35385" xr:uid="{00000000-0005-0000-0000-0000276C0000}"/>
    <cellStyle name="Normal 72 3 2 3 2 3" xfId="27338" xr:uid="{00000000-0005-0000-0000-0000286C0000}"/>
    <cellStyle name="Normal 72 3 2 3 3" xfId="15034" xr:uid="{00000000-0005-0000-0000-0000296C0000}"/>
    <cellStyle name="Normal 72 3 2 3 3 2" xfId="31584" xr:uid="{00000000-0005-0000-0000-00002A6C0000}"/>
    <cellStyle name="Normal 72 3 2 3 4" xfId="23541" xr:uid="{00000000-0005-0000-0000-00002B6C0000}"/>
    <cellStyle name="Normal 72 3 2 4" xfId="9456" xr:uid="{00000000-0005-0000-0000-00002C6C0000}"/>
    <cellStyle name="Normal 72 3 2 4 2" xfId="18812" xr:uid="{00000000-0005-0000-0000-00002D6C0000}"/>
    <cellStyle name="Normal 72 3 2 4 2 2" xfId="35386" xr:uid="{00000000-0005-0000-0000-00002E6C0000}"/>
    <cellStyle name="Normal 72 3 2 4 3" xfId="27339" xr:uid="{00000000-0005-0000-0000-00002F6C0000}"/>
    <cellStyle name="Normal 72 3 2 5" xfId="15031" xr:uid="{00000000-0005-0000-0000-0000306C0000}"/>
    <cellStyle name="Normal 72 3 2 5 2" xfId="31581" xr:uid="{00000000-0005-0000-0000-0000316C0000}"/>
    <cellStyle name="Normal 72 3 2 6" xfId="23538" xr:uid="{00000000-0005-0000-0000-0000326C0000}"/>
    <cellStyle name="Normal 72 3 3" xfId="5545" xr:uid="{00000000-0005-0000-0000-0000336C0000}"/>
    <cellStyle name="Normal 72 3 3 2" xfId="5546" xr:uid="{00000000-0005-0000-0000-0000346C0000}"/>
    <cellStyle name="Normal 72 3 3 2 2" xfId="9457" xr:uid="{00000000-0005-0000-0000-0000356C0000}"/>
    <cellStyle name="Normal 72 3 3 2 2 2" xfId="18813" xr:uid="{00000000-0005-0000-0000-0000366C0000}"/>
    <cellStyle name="Normal 72 3 3 2 2 2 2" xfId="35387" xr:uid="{00000000-0005-0000-0000-0000376C0000}"/>
    <cellStyle name="Normal 72 3 3 2 2 3" xfId="27340" xr:uid="{00000000-0005-0000-0000-0000386C0000}"/>
    <cellStyle name="Normal 72 3 3 2 3" xfId="15036" xr:uid="{00000000-0005-0000-0000-0000396C0000}"/>
    <cellStyle name="Normal 72 3 3 2 3 2" xfId="31586" xr:uid="{00000000-0005-0000-0000-00003A6C0000}"/>
    <cellStyle name="Normal 72 3 3 2 4" xfId="23543" xr:uid="{00000000-0005-0000-0000-00003B6C0000}"/>
    <cellStyle name="Normal 72 3 3 3" xfId="9458" xr:uid="{00000000-0005-0000-0000-00003C6C0000}"/>
    <cellStyle name="Normal 72 3 3 3 2" xfId="18814" xr:uid="{00000000-0005-0000-0000-00003D6C0000}"/>
    <cellStyle name="Normal 72 3 3 3 2 2" xfId="35388" xr:uid="{00000000-0005-0000-0000-00003E6C0000}"/>
    <cellStyle name="Normal 72 3 3 3 3" xfId="27341" xr:uid="{00000000-0005-0000-0000-00003F6C0000}"/>
    <cellStyle name="Normal 72 3 3 4" xfId="15035" xr:uid="{00000000-0005-0000-0000-0000406C0000}"/>
    <cellStyle name="Normal 72 3 3 4 2" xfId="31585" xr:uid="{00000000-0005-0000-0000-0000416C0000}"/>
    <cellStyle name="Normal 72 3 3 5" xfId="23542" xr:uid="{00000000-0005-0000-0000-0000426C0000}"/>
    <cellStyle name="Normal 72 3 4" xfId="5547" xr:uid="{00000000-0005-0000-0000-0000436C0000}"/>
    <cellStyle name="Normal 72 3 4 2" xfId="9459" xr:uid="{00000000-0005-0000-0000-0000446C0000}"/>
    <cellStyle name="Normal 72 3 4 2 2" xfId="18815" xr:uid="{00000000-0005-0000-0000-0000456C0000}"/>
    <cellStyle name="Normal 72 3 4 2 2 2" xfId="35389" xr:uid="{00000000-0005-0000-0000-0000466C0000}"/>
    <cellStyle name="Normal 72 3 4 2 3" xfId="27342" xr:uid="{00000000-0005-0000-0000-0000476C0000}"/>
    <cellStyle name="Normal 72 3 4 3" xfId="15037" xr:uid="{00000000-0005-0000-0000-0000486C0000}"/>
    <cellStyle name="Normal 72 3 4 3 2" xfId="31587" xr:uid="{00000000-0005-0000-0000-0000496C0000}"/>
    <cellStyle name="Normal 72 3 4 4" xfId="23544" xr:uid="{00000000-0005-0000-0000-00004A6C0000}"/>
    <cellStyle name="Normal 72 3 5" xfId="5548" xr:uid="{00000000-0005-0000-0000-00004B6C0000}"/>
    <cellStyle name="Normal 72 3 5 2" xfId="15038" xr:uid="{00000000-0005-0000-0000-00004C6C0000}"/>
    <cellStyle name="Normal 72 3 5 2 2" xfId="31588" xr:uid="{00000000-0005-0000-0000-00004D6C0000}"/>
    <cellStyle name="Normal 72 3 5 3" xfId="23545" xr:uid="{00000000-0005-0000-0000-00004E6C0000}"/>
    <cellStyle name="Normal 72 4" xfId="5549" xr:uid="{00000000-0005-0000-0000-00004F6C0000}"/>
    <cellStyle name="Normal 72 4 2" xfId="5550" xr:uid="{00000000-0005-0000-0000-0000506C0000}"/>
    <cellStyle name="Normal 72 4 2 2" xfId="5551" xr:uid="{00000000-0005-0000-0000-0000516C0000}"/>
    <cellStyle name="Normal 72 4 2 2 2" xfId="5552" xr:uid="{00000000-0005-0000-0000-0000526C0000}"/>
    <cellStyle name="Normal 72 4 2 2 2 2" xfId="9460" xr:uid="{00000000-0005-0000-0000-0000536C0000}"/>
    <cellStyle name="Normal 72 4 2 2 2 2 2" xfId="18816" xr:uid="{00000000-0005-0000-0000-0000546C0000}"/>
    <cellStyle name="Normal 72 4 2 2 2 2 2 2" xfId="35390" xr:uid="{00000000-0005-0000-0000-0000556C0000}"/>
    <cellStyle name="Normal 72 4 2 2 2 2 3" xfId="27343" xr:uid="{00000000-0005-0000-0000-0000566C0000}"/>
    <cellStyle name="Normal 72 4 2 2 2 3" xfId="15042" xr:uid="{00000000-0005-0000-0000-0000576C0000}"/>
    <cellStyle name="Normal 72 4 2 2 2 3 2" xfId="31592" xr:uid="{00000000-0005-0000-0000-0000586C0000}"/>
    <cellStyle name="Normal 72 4 2 2 2 4" xfId="23549" xr:uid="{00000000-0005-0000-0000-0000596C0000}"/>
    <cellStyle name="Normal 72 4 2 2 3" xfId="9461" xr:uid="{00000000-0005-0000-0000-00005A6C0000}"/>
    <cellStyle name="Normal 72 4 2 2 3 2" xfId="18817" xr:uid="{00000000-0005-0000-0000-00005B6C0000}"/>
    <cellStyle name="Normal 72 4 2 2 3 2 2" xfId="35391" xr:uid="{00000000-0005-0000-0000-00005C6C0000}"/>
    <cellStyle name="Normal 72 4 2 2 3 3" xfId="27344" xr:uid="{00000000-0005-0000-0000-00005D6C0000}"/>
    <cellStyle name="Normal 72 4 2 2 4" xfId="15041" xr:uid="{00000000-0005-0000-0000-00005E6C0000}"/>
    <cellStyle name="Normal 72 4 2 2 4 2" xfId="31591" xr:uid="{00000000-0005-0000-0000-00005F6C0000}"/>
    <cellStyle name="Normal 72 4 2 2 5" xfId="23548" xr:uid="{00000000-0005-0000-0000-0000606C0000}"/>
    <cellStyle name="Normal 72 4 2 3" xfId="5553" xr:uid="{00000000-0005-0000-0000-0000616C0000}"/>
    <cellStyle name="Normal 72 4 2 3 2" xfId="9462" xr:uid="{00000000-0005-0000-0000-0000626C0000}"/>
    <cellStyle name="Normal 72 4 2 3 2 2" xfId="18818" xr:uid="{00000000-0005-0000-0000-0000636C0000}"/>
    <cellStyle name="Normal 72 4 2 3 2 2 2" xfId="35392" xr:uid="{00000000-0005-0000-0000-0000646C0000}"/>
    <cellStyle name="Normal 72 4 2 3 2 3" xfId="27345" xr:uid="{00000000-0005-0000-0000-0000656C0000}"/>
    <cellStyle name="Normal 72 4 2 3 3" xfId="15043" xr:uid="{00000000-0005-0000-0000-0000666C0000}"/>
    <cellStyle name="Normal 72 4 2 3 3 2" xfId="31593" xr:uid="{00000000-0005-0000-0000-0000676C0000}"/>
    <cellStyle name="Normal 72 4 2 3 4" xfId="23550" xr:uid="{00000000-0005-0000-0000-0000686C0000}"/>
    <cellStyle name="Normal 72 4 2 4" xfId="9463" xr:uid="{00000000-0005-0000-0000-0000696C0000}"/>
    <cellStyle name="Normal 72 4 2 4 2" xfId="18819" xr:uid="{00000000-0005-0000-0000-00006A6C0000}"/>
    <cellStyle name="Normal 72 4 2 4 2 2" xfId="35393" xr:uid="{00000000-0005-0000-0000-00006B6C0000}"/>
    <cellStyle name="Normal 72 4 2 4 3" xfId="27346" xr:uid="{00000000-0005-0000-0000-00006C6C0000}"/>
    <cellStyle name="Normal 72 4 2 5" xfId="15040" xr:uid="{00000000-0005-0000-0000-00006D6C0000}"/>
    <cellStyle name="Normal 72 4 2 5 2" xfId="31590" xr:uid="{00000000-0005-0000-0000-00006E6C0000}"/>
    <cellStyle name="Normal 72 4 2 6" xfId="23547" xr:uid="{00000000-0005-0000-0000-00006F6C0000}"/>
    <cellStyle name="Normal 72 4 3" xfId="5554" xr:uid="{00000000-0005-0000-0000-0000706C0000}"/>
    <cellStyle name="Normal 72 4 3 2" xfId="5555" xr:uid="{00000000-0005-0000-0000-0000716C0000}"/>
    <cellStyle name="Normal 72 4 3 2 2" xfId="9464" xr:uid="{00000000-0005-0000-0000-0000726C0000}"/>
    <cellStyle name="Normal 72 4 3 2 2 2" xfId="18820" xr:uid="{00000000-0005-0000-0000-0000736C0000}"/>
    <cellStyle name="Normal 72 4 3 2 2 2 2" xfId="35394" xr:uid="{00000000-0005-0000-0000-0000746C0000}"/>
    <cellStyle name="Normal 72 4 3 2 2 3" xfId="27347" xr:uid="{00000000-0005-0000-0000-0000756C0000}"/>
    <cellStyle name="Normal 72 4 3 2 3" xfId="15045" xr:uid="{00000000-0005-0000-0000-0000766C0000}"/>
    <cellStyle name="Normal 72 4 3 2 3 2" xfId="31595" xr:uid="{00000000-0005-0000-0000-0000776C0000}"/>
    <cellStyle name="Normal 72 4 3 2 4" xfId="23552" xr:uid="{00000000-0005-0000-0000-0000786C0000}"/>
    <cellStyle name="Normal 72 4 3 3" xfId="9465" xr:uid="{00000000-0005-0000-0000-0000796C0000}"/>
    <cellStyle name="Normal 72 4 3 3 2" xfId="18821" xr:uid="{00000000-0005-0000-0000-00007A6C0000}"/>
    <cellStyle name="Normal 72 4 3 3 2 2" xfId="35395" xr:uid="{00000000-0005-0000-0000-00007B6C0000}"/>
    <cellStyle name="Normal 72 4 3 3 3" xfId="27348" xr:uid="{00000000-0005-0000-0000-00007C6C0000}"/>
    <cellStyle name="Normal 72 4 3 4" xfId="15044" xr:uid="{00000000-0005-0000-0000-00007D6C0000}"/>
    <cellStyle name="Normal 72 4 3 4 2" xfId="31594" xr:uid="{00000000-0005-0000-0000-00007E6C0000}"/>
    <cellStyle name="Normal 72 4 3 5" xfId="23551" xr:uid="{00000000-0005-0000-0000-00007F6C0000}"/>
    <cellStyle name="Normal 72 4 4" xfId="5556" xr:uid="{00000000-0005-0000-0000-0000806C0000}"/>
    <cellStyle name="Normal 72 4 4 2" xfId="9466" xr:uid="{00000000-0005-0000-0000-0000816C0000}"/>
    <cellStyle name="Normal 72 4 4 2 2" xfId="18822" xr:uid="{00000000-0005-0000-0000-0000826C0000}"/>
    <cellStyle name="Normal 72 4 4 2 2 2" xfId="35396" xr:uid="{00000000-0005-0000-0000-0000836C0000}"/>
    <cellStyle name="Normal 72 4 4 2 3" xfId="27349" xr:uid="{00000000-0005-0000-0000-0000846C0000}"/>
    <cellStyle name="Normal 72 4 4 3" xfId="15046" xr:uid="{00000000-0005-0000-0000-0000856C0000}"/>
    <cellStyle name="Normal 72 4 4 3 2" xfId="31596" xr:uid="{00000000-0005-0000-0000-0000866C0000}"/>
    <cellStyle name="Normal 72 4 4 4" xfId="23553" xr:uid="{00000000-0005-0000-0000-0000876C0000}"/>
    <cellStyle name="Normal 72 4 5" xfId="9467" xr:uid="{00000000-0005-0000-0000-0000886C0000}"/>
    <cellStyle name="Normal 72 4 5 2" xfId="18823" xr:uid="{00000000-0005-0000-0000-0000896C0000}"/>
    <cellStyle name="Normal 72 4 5 2 2" xfId="35397" xr:uid="{00000000-0005-0000-0000-00008A6C0000}"/>
    <cellStyle name="Normal 72 4 5 3" xfId="27350" xr:uid="{00000000-0005-0000-0000-00008B6C0000}"/>
    <cellStyle name="Normal 72 4 6" xfId="15039" xr:uid="{00000000-0005-0000-0000-00008C6C0000}"/>
    <cellStyle name="Normal 72 4 6 2" xfId="31589" xr:uid="{00000000-0005-0000-0000-00008D6C0000}"/>
    <cellStyle name="Normal 72 4 7" xfId="23546" xr:uid="{00000000-0005-0000-0000-00008E6C0000}"/>
    <cellStyle name="Normal 72 5" xfId="5557" xr:uid="{00000000-0005-0000-0000-00008F6C0000}"/>
    <cellStyle name="Normal 72 5 2" xfId="5558" xr:uid="{00000000-0005-0000-0000-0000906C0000}"/>
    <cellStyle name="Normal 72 5 2 2" xfId="5559" xr:uid="{00000000-0005-0000-0000-0000916C0000}"/>
    <cellStyle name="Normal 72 5 2 2 2" xfId="5560" xr:uid="{00000000-0005-0000-0000-0000926C0000}"/>
    <cellStyle name="Normal 72 5 2 2 2 2" xfId="9468" xr:uid="{00000000-0005-0000-0000-0000936C0000}"/>
    <cellStyle name="Normal 72 5 2 2 2 2 2" xfId="18824" xr:uid="{00000000-0005-0000-0000-0000946C0000}"/>
    <cellStyle name="Normal 72 5 2 2 2 2 2 2" xfId="35398" xr:uid="{00000000-0005-0000-0000-0000956C0000}"/>
    <cellStyle name="Normal 72 5 2 2 2 2 3" xfId="27351" xr:uid="{00000000-0005-0000-0000-0000966C0000}"/>
    <cellStyle name="Normal 72 5 2 2 2 3" xfId="15050" xr:uid="{00000000-0005-0000-0000-0000976C0000}"/>
    <cellStyle name="Normal 72 5 2 2 2 3 2" xfId="31600" xr:uid="{00000000-0005-0000-0000-0000986C0000}"/>
    <cellStyle name="Normal 72 5 2 2 2 4" xfId="23557" xr:uid="{00000000-0005-0000-0000-0000996C0000}"/>
    <cellStyle name="Normal 72 5 2 2 3" xfId="9469" xr:uid="{00000000-0005-0000-0000-00009A6C0000}"/>
    <cellStyle name="Normal 72 5 2 2 3 2" xfId="18825" xr:uid="{00000000-0005-0000-0000-00009B6C0000}"/>
    <cellStyle name="Normal 72 5 2 2 3 2 2" xfId="35399" xr:uid="{00000000-0005-0000-0000-00009C6C0000}"/>
    <cellStyle name="Normal 72 5 2 2 3 3" xfId="27352" xr:uid="{00000000-0005-0000-0000-00009D6C0000}"/>
    <cellStyle name="Normal 72 5 2 2 4" xfId="15049" xr:uid="{00000000-0005-0000-0000-00009E6C0000}"/>
    <cellStyle name="Normal 72 5 2 2 4 2" xfId="31599" xr:uid="{00000000-0005-0000-0000-00009F6C0000}"/>
    <cellStyle name="Normal 72 5 2 2 5" xfId="23556" xr:uid="{00000000-0005-0000-0000-0000A06C0000}"/>
    <cellStyle name="Normal 72 5 2 3" xfId="5561" xr:uid="{00000000-0005-0000-0000-0000A16C0000}"/>
    <cellStyle name="Normal 72 5 2 3 2" xfId="9470" xr:uid="{00000000-0005-0000-0000-0000A26C0000}"/>
    <cellStyle name="Normal 72 5 2 3 2 2" xfId="18826" xr:uid="{00000000-0005-0000-0000-0000A36C0000}"/>
    <cellStyle name="Normal 72 5 2 3 2 2 2" xfId="35400" xr:uid="{00000000-0005-0000-0000-0000A46C0000}"/>
    <cellStyle name="Normal 72 5 2 3 2 3" xfId="27353" xr:uid="{00000000-0005-0000-0000-0000A56C0000}"/>
    <cellStyle name="Normal 72 5 2 3 3" xfId="15051" xr:uid="{00000000-0005-0000-0000-0000A66C0000}"/>
    <cellStyle name="Normal 72 5 2 3 3 2" xfId="31601" xr:uid="{00000000-0005-0000-0000-0000A76C0000}"/>
    <cellStyle name="Normal 72 5 2 3 4" xfId="23558" xr:uid="{00000000-0005-0000-0000-0000A86C0000}"/>
    <cellStyle name="Normal 72 5 2 4" xfId="9471" xr:uid="{00000000-0005-0000-0000-0000A96C0000}"/>
    <cellStyle name="Normal 72 5 2 4 2" xfId="18827" xr:uid="{00000000-0005-0000-0000-0000AA6C0000}"/>
    <cellStyle name="Normal 72 5 2 4 2 2" xfId="35401" xr:uid="{00000000-0005-0000-0000-0000AB6C0000}"/>
    <cellStyle name="Normal 72 5 2 4 3" xfId="27354" xr:uid="{00000000-0005-0000-0000-0000AC6C0000}"/>
    <cellStyle name="Normal 72 5 2 5" xfId="15048" xr:uid="{00000000-0005-0000-0000-0000AD6C0000}"/>
    <cellStyle name="Normal 72 5 2 5 2" xfId="31598" xr:uid="{00000000-0005-0000-0000-0000AE6C0000}"/>
    <cellStyle name="Normal 72 5 2 6" xfId="23555" xr:uid="{00000000-0005-0000-0000-0000AF6C0000}"/>
    <cellStyle name="Normal 72 5 3" xfId="5562" xr:uid="{00000000-0005-0000-0000-0000B06C0000}"/>
    <cellStyle name="Normal 72 5 3 2" xfId="5563" xr:uid="{00000000-0005-0000-0000-0000B16C0000}"/>
    <cellStyle name="Normal 72 5 3 2 2" xfId="9472" xr:uid="{00000000-0005-0000-0000-0000B26C0000}"/>
    <cellStyle name="Normal 72 5 3 2 2 2" xfId="18828" xr:uid="{00000000-0005-0000-0000-0000B36C0000}"/>
    <cellStyle name="Normal 72 5 3 2 2 2 2" xfId="35402" xr:uid="{00000000-0005-0000-0000-0000B46C0000}"/>
    <cellStyle name="Normal 72 5 3 2 2 3" xfId="27355" xr:uid="{00000000-0005-0000-0000-0000B56C0000}"/>
    <cellStyle name="Normal 72 5 3 2 3" xfId="15053" xr:uid="{00000000-0005-0000-0000-0000B66C0000}"/>
    <cellStyle name="Normal 72 5 3 2 3 2" xfId="31603" xr:uid="{00000000-0005-0000-0000-0000B76C0000}"/>
    <cellStyle name="Normal 72 5 3 2 4" xfId="23560" xr:uid="{00000000-0005-0000-0000-0000B86C0000}"/>
    <cellStyle name="Normal 72 5 3 3" xfId="9473" xr:uid="{00000000-0005-0000-0000-0000B96C0000}"/>
    <cellStyle name="Normal 72 5 3 3 2" xfId="18829" xr:uid="{00000000-0005-0000-0000-0000BA6C0000}"/>
    <cellStyle name="Normal 72 5 3 3 2 2" xfId="35403" xr:uid="{00000000-0005-0000-0000-0000BB6C0000}"/>
    <cellStyle name="Normal 72 5 3 3 3" xfId="27356" xr:uid="{00000000-0005-0000-0000-0000BC6C0000}"/>
    <cellStyle name="Normal 72 5 3 4" xfId="15052" xr:uid="{00000000-0005-0000-0000-0000BD6C0000}"/>
    <cellStyle name="Normal 72 5 3 4 2" xfId="31602" xr:uid="{00000000-0005-0000-0000-0000BE6C0000}"/>
    <cellStyle name="Normal 72 5 3 5" xfId="23559" xr:uid="{00000000-0005-0000-0000-0000BF6C0000}"/>
    <cellStyle name="Normal 72 5 4" xfId="5564" xr:uid="{00000000-0005-0000-0000-0000C06C0000}"/>
    <cellStyle name="Normal 72 5 4 2" xfId="9474" xr:uid="{00000000-0005-0000-0000-0000C16C0000}"/>
    <cellStyle name="Normal 72 5 4 2 2" xfId="18830" xr:uid="{00000000-0005-0000-0000-0000C26C0000}"/>
    <cellStyle name="Normal 72 5 4 2 2 2" xfId="35404" xr:uid="{00000000-0005-0000-0000-0000C36C0000}"/>
    <cellStyle name="Normal 72 5 4 2 3" xfId="27357" xr:uid="{00000000-0005-0000-0000-0000C46C0000}"/>
    <cellStyle name="Normal 72 5 4 3" xfId="15054" xr:uid="{00000000-0005-0000-0000-0000C56C0000}"/>
    <cellStyle name="Normal 72 5 4 3 2" xfId="31604" xr:uid="{00000000-0005-0000-0000-0000C66C0000}"/>
    <cellStyle name="Normal 72 5 4 4" xfId="23561" xr:uid="{00000000-0005-0000-0000-0000C76C0000}"/>
    <cellStyle name="Normal 72 5 5" xfId="9475" xr:uid="{00000000-0005-0000-0000-0000C86C0000}"/>
    <cellStyle name="Normal 72 5 5 2" xfId="18831" xr:uid="{00000000-0005-0000-0000-0000C96C0000}"/>
    <cellStyle name="Normal 72 5 5 2 2" xfId="35405" xr:uid="{00000000-0005-0000-0000-0000CA6C0000}"/>
    <cellStyle name="Normal 72 5 5 3" xfId="27358" xr:uid="{00000000-0005-0000-0000-0000CB6C0000}"/>
    <cellStyle name="Normal 72 5 6" xfId="15047" xr:uid="{00000000-0005-0000-0000-0000CC6C0000}"/>
    <cellStyle name="Normal 72 5 6 2" xfId="31597" xr:uid="{00000000-0005-0000-0000-0000CD6C0000}"/>
    <cellStyle name="Normal 72 5 7" xfId="23554" xr:uid="{00000000-0005-0000-0000-0000CE6C0000}"/>
    <cellStyle name="Normal 72 6" xfId="5565" xr:uid="{00000000-0005-0000-0000-0000CF6C0000}"/>
    <cellStyle name="Normal 72 6 2" xfId="5566" xr:uid="{00000000-0005-0000-0000-0000D06C0000}"/>
    <cellStyle name="Normal 72 6 2 2" xfId="5567" xr:uid="{00000000-0005-0000-0000-0000D16C0000}"/>
    <cellStyle name="Normal 72 6 2 2 2" xfId="9476" xr:uid="{00000000-0005-0000-0000-0000D26C0000}"/>
    <cellStyle name="Normal 72 6 2 2 2 2" xfId="18832" xr:uid="{00000000-0005-0000-0000-0000D36C0000}"/>
    <cellStyle name="Normal 72 6 2 2 2 2 2" xfId="35406" xr:uid="{00000000-0005-0000-0000-0000D46C0000}"/>
    <cellStyle name="Normal 72 6 2 2 2 3" xfId="27359" xr:uid="{00000000-0005-0000-0000-0000D56C0000}"/>
    <cellStyle name="Normal 72 6 2 2 3" xfId="15057" xr:uid="{00000000-0005-0000-0000-0000D66C0000}"/>
    <cellStyle name="Normal 72 6 2 2 3 2" xfId="31607" xr:uid="{00000000-0005-0000-0000-0000D76C0000}"/>
    <cellStyle name="Normal 72 6 2 2 4" xfId="23564" xr:uid="{00000000-0005-0000-0000-0000D86C0000}"/>
    <cellStyle name="Normal 72 6 2 3" xfId="9477" xr:uid="{00000000-0005-0000-0000-0000D96C0000}"/>
    <cellStyle name="Normal 72 6 2 3 2" xfId="18833" xr:uid="{00000000-0005-0000-0000-0000DA6C0000}"/>
    <cellStyle name="Normal 72 6 2 3 2 2" xfId="35407" xr:uid="{00000000-0005-0000-0000-0000DB6C0000}"/>
    <cellStyle name="Normal 72 6 2 3 3" xfId="27360" xr:uid="{00000000-0005-0000-0000-0000DC6C0000}"/>
    <cellStyle name="Normal 72 6 2 4" xfId="15056" xr:uid="{00000000-0005-0000-0000-0000DD6C0000}"/>
    <cellStyle name="Normal 72 6 2 4 2" xfId="31606" xr:uid="{00000000-0005-0000-0000-0000DE6C0000}"/>
    <cellStyle name="Normal 72 6 2 5" xfId="23563" xr:uid="{00000000-0005-0000-0000-0000DF6C0000}"/>
    <cellStyle name="Normal 72 6 3" xfId="5568" xr:uid="{00000000-0005-0000-0000-0000E06C0000}"/>
    <cellStyle name="Normal 72 6 3 2" xfId="9478" xr:uid="{00000000-0005-0000-0000-0000E16C0000}"/>
    <cellStyle name="Normal 72 6 3 2 2" xfId="18834" xr:uid="{00000000-0005-0000-0000-0000E26C0000}"/>
    <cellStyle name="Normal 72 6 3 2 2 2" xfId="35408" xr:uid="{00000000-0005-0000-0000-0000E36C0000}"/>
    <cellStyle name="Normal 72 6 3 2 3" xfId="27361" xr:uid="{00000000-0005-0000-0000-0000E46C0000}"/>
    <cellStyle name="Normal 72 6 3 3" xfId="15058" xr:uid="{00000000-0005-0000-0000-0000E56C0000}"/>
    <cellStyle name="Normal 72 6 3 3 2" xfId="31608" xr:uid="{00000000-0005-0000-0000-0000E66C0000}"/>
    <cellStyle name="Normal 72 6 3 4" xfId="23565" xr:uid="{00000000-0005-0000-0000-0000E76C0000}"/>
    <cellStyle name="Normal 72 6 4" xfId="9479" xr:uid="{00000000-0005-0000-0000-0000E86C0000}"/>
    <cellStyle name="Normal 72 6 4 2" xfId="18835" xr:uid="{00000000-0005-0000-0000-0000E96C0000}"/>
    <cellStyle name="Normal 72 6 4 2 2" xfId="35409" xr:uid="{00000000-0005-0000-0000-0000EA6C0000}"/>
    <cellStyle name="Normal 72 6 4 3" xfId="27362" xr:uid="{00000000-0005-0000-0000-0000EB6C0000}"/>
    <cellStyle name="Normal 72 6 5" xfId="15055" xr:uid="{00000000-0005-0000-0000-0000EC6C0000}"/>
    <cellStyle name="Normal 72 6 5 2" xfId="31605" xr:uid="{00000000-0005-0000-0000-0000ED6C0000}"/>
    <cellStyle name="Normal 72 6 6" xfId="23562" xr:uid="{00000000-0005-0000-0000-0000EE6C0000}"/>
    <cellStyle name="Normal 72 7" xfId="5569" xr:uid="{00000000-0005-0000-0000-0000EF6C0000}"/>
    <cellStyle name="Normal 72 7 2" xfId="5570" xr:uid="{00000000-0005-0000-0000-0000F06C0000}"/>
    <cellStyle name="Normal 72 7 2 2" xfId="9480" xr:uid="{00000000-0005-0000-0000-0000F16C0000}"/>
    <cellStyle name="Normal 72 7 2 2 2" xfId="18836" xr:uid="{00000000-0005-0000-0000-0000F26C0000}"/>
    <cellStyle name="Normal 72 7 2 2 2 2" xfId="35410" xr:uid="{00000000-0005-0000-0000-0000F36C0000}"/>
    <cellStyle name="Normal 72 7 2 2 3" xfId="27363" xr:uid="{00000000-0005-0000-0000-0000F46C0000}"/>
    <cellStyle name="Normal 72 7 2 3" xfId="15060" xr:uid="{00000000-0005-0000-0000-0000F56C0000}"/>
    <cellStyle name="Normal 72 7 2 3 2" xfId="31610" xr:uid="{00000000-0005-0000-0000-0000F66C0000}"/>
    <cellStyle name="Normal 72 7 2 4" xfId="23567" xr:uid="{00000000-0005-0000-0000-0000F76C0000}"/>
    <cellStyle name="Normal 72 7 3" xfId="9481" xr:uid="{00000000-0005-0000-0000-0000F86C0000}"/>
    <cellStyle name="Normal 72 7 3 2" xfId="18837" xr:uid="{00000000-0005-0000-0000-0000F96C0000}"/>
    <cellStyle name="Normal 72 7 3 2 2" xfId="35411" xr:uid="{00000000-0005-0000-0000-0000FA6C0000}"/>
    <cellStyle name="Normal 72 7 3 3" xfId="27364" xr:uid="{00000000-0005-0000-0000-0000FB6C0000}"/>
    <cellStyle name="Normal 72 7 4" xfId="15059" xr:uid="{00000000-0005-0000-0000-0000FC6C0000}"/>
    <cellStyle name="Normal 72 7 4 2" xfId="31609" xr:uid="{00000000-0005-0000-0000-0000FD6C0000}"/>
    <cellStyle name="Normal 72 7 5" xfId="23566" xr:uid="{00000000-0005-0000-0000-0000FE6C0000}"/>
    <cellStyle name="Normal 72 8" xfId="5571" xr:uid="{00000000-0005-0000-0000-0000FF6C0000}"/>
    <cellStyle name="Normal 72 8 2" xfId="9482" xr:uid="{00000000-0005-0000-0000-0000006D0000}"/>
    <cellStyle name="Normal 72 8 2 2" xfId="18838" xr:uid="{00000000-0005-0000-0000-0000016D0000}"/>
    <cellStyle name="Normal 72 8 2 2 2" xfId="35412" xr:uid="{00000000-0005-0000-0000-0000026D0000}"/>
    <cellStyle name="Normal 72 8 2 3" xfId="27365" xr:uid="{00000000-0005-0000-0000-0000036D0000}"/>
    <cellStyle name="Normal 72 8 3" xfId="15061" xr:uid="{00000000-0005-0000-0000-0000046D0000}"/>
    <cellStyle name="Normal 72 8 3 2" xfId="31611" xr:uid="{00000000-0005-0000-0000-0000056D0000}"/>
    <cellStyle name="Normal 72 8 4" xfId="23568" xr:uid="{00000000-0005-0000-0000-0000066D0000}"/>
    <cellStyle name="Normal 72 9" xfId="9483" xr:uid="{00000000-0005-0000-0000-0000076D0000}"/>
    <cellStyle name="Normal 72 9 2" xfId="18839" xr:uid="{00000000-0005-0000-0000-0000086D0000}"/>
    <cellStyle name="Normal 72 9 2 2" xfId="35413" xr:uid="{00000000-0005-0000-0000-0000096D0000}"/>
    <cellStyle name="Normal 72 9 3" xfId="27366" xr:uid="{00000000-0005-0000-0000-00000A6D0000}"/>
    <cellStyle name="Normal 73" xfId="5572" xr:uid="{00000000-0005-0000-0000-00000B6D0000}"/>
    <cellStyle name="Normal 73 10" xfId="15062" xr:uid="{00000000-0005-0000-0000-00000C6D0000}"/>
    <cellStyle name="Normal 73 10 2" xfId="31612" xr:uid="{00000000-0005-0000-0000-00000D6D0000}"/>
    <cellStyle name="Normal 73 11" xfId="23569" xr:uid="{00000000-0005-0000-0000-00000E6D0000}"/>
    <cellStyle name="Normal 73 2" xfId="5573" xr:uid="{00000000-0005-0000-0000-00000F6D0000}"/>
    <cellStyle name="Normal 73 2 2" xfId="5574" xr:uid="{00000000-0005-0000-0000-0000106D0000}"/>
    <cellStyle name="Normal 73 2 3" xfId="15063" xr:uid="{00000000-0005-0000-0000-0000116D0000}"/>
    <cellStyle name="Normal 73 2 3 2" xfId="31613" xr:uid="{00000000-0005-0000-0000-0000126D0000}"/>
    <cellStyle name="Normal 73 2 4" xfId="23570" xr:uid="{00000000-0005-0000-0000-0000136D0000}"/>
    <cellStyle name="Normal 73 3" xfId="5575" xr:uid="{00000000-0005-0000-0000-0000146D0000}"/>
    <cellStyle name="Normal 73 3 2" xfId="5576" xr:uid="{00000000-0005-0000-0000-0000156D0000}"/>
    <cellStyle name="Normal 73 3 2 2" xfId="5577" xr:uid="{00000000-0005-0000-0000-0000166D0000}"/>
    <cellStyle name="Normal 73 3 2 2 2" xfId="5578" xr:uid="{00000000-0005-0000-0000-0000176D0000}"/>
    <cellStyle name="Normal 73 3 2 2 2 2" xfId="9484" xr:uid="{00000000-0005-0000-0000-0000186D0000}"/>
    <cellStyle name="Normal 73 3 2 2 2 2 2" xfId="18840" xr:uid="{00000000-0005-0000-0000-0000196D0000}"/>
    <cellStyle name="Normal 73 3 2 2 2 2 2 2" xfId="35414" xr:uid="{00000000-0005-0000-0000-00001A6D0000}"/>
    <cellStyle name="Normal 73 3 2 2 2 2 3" xfId="27367" xr:uid="{00000000-0005-0000-0000-00001B6D0000}"/>
    <cellStyle name="Normal 73 3 2 2 2 3" xfId="15066" xr:uid="{00000000-0005-0000-0000-00001C6D0000}"/>
    <cellStyle name="Normal 73 3 2 2 2 3 2" xfId="31616" xr:uid="{00000000-0005-0000-0000-00001D6D0000}"/>
    <cellStyle name="Normal 73 3 2 2 2 4" xfId="23573" xr:uid="{00000000-0005-0000-0000-00001E6D0000}"/>
    <cellStyle name="Normal 73 3 2 2 3" xfId="9485" xr:uid="{00000000-0005-0000-0000-00001F6D0000}"/>
    <cellStyle name="Normal 73 3 2 2 3 2" xfId="18841" xr:uid="{00000000-0005-0000-0000-0000206D0000}"/>
    <cellStyle name="Normal 73 3 2 2 3 2 2" xfId="35415" xr:uid="{00000000-0005-0000-0000-0000216D0000}"/>
    <cellStyle name="Normal 73 3 2 2 3 3" xfId="27368" xr:uid="{00000000-0005-0000-0000-0000226D0000}"/>
    <cellStyle name="Normal 73 3 2 2 4" xfId="15065" xr:uid="{00000000-0005-0000-0000-0000236D0000}"/>
    <cellStyle name="Normal 73 3 2 2 4 2" xfId="31615" xr:uid="{00000000-0005-0000-0000-0000246D0000}"/>
    <cellStyle name="Normal 73 3 2 2 5" xfId="23572" xr:uid="{00000000-0005-0000-0000-0000256D0000}"/>
    <cellStyle name="Normal 73 3 2 3" xfId="5579" xr:uid="{00000000-0005-0000-0000-0000266D0000}"/>
    <cellStyle name="Normal 73 3 2 3 2" xfId="9486" xr:uid="{00000000-0005-0000-0000-0000276D0000}"/>
    <cellStyle name="Normal 73 3 2 3 2 2" xfId="18842" xr:uid="{00000000-0005-0000-0000-0000286D0000}"/>
    <cellStyle name="Normal 73 3 2 3 2 2 2" xfId="35416" xr:uid="{00000000-0005-0000-0000-0000296D0000}"/>
    <cellStyle name="Normal 73 3 2 3 2 3" xfId="27369" xr:uid="{00000000-0005-0000-0000-00002A6D0000}"/>
    <cellStyle name="Normal 73 3 2 3 3" xfId="15067" xr:uid="{00000000-0005-0000-0000-00002B6D0000}"/>
    <cellStyle name="Normal 73 3 2 3 3 2" xfId="31617" xr:uid="{00000000-0005-0000-0000-00002C6D0000}"/>
    <cellStyle name="Normal 73 3 2 3 4" xfId="23574" xr:uid="{00000000-0005-0000-0000-00002D6D0000}"/>
    <cellStyle name="Normal 73 3 2 4" xfId="9487" xr:uid="{00000000-0005-0000-0000-00002E6D0000}"/>
    <cellStyle name="Normal 73 3 2 4 2" xfId="18843" xr:uid="{00000000-0005-0000-0000-00002F6D0000}"/>
    <cellStyle name="Normal 73 3 2 4 2 2" xfId="35417" xr:uid="{00000000-0005-0000-0000-0000306D0000}"/>
    <cellStyle name="Normal 73 3 2 4 3" xfId="27370" xr:uid="{00000000-0005-0000-0000-0000316D0000}"/>
    <cellStyle name="Normal 73 3 2 5" xfId="15064" xr:uid="{00000000-0005-0000-0000-0000326D0000}"/>
    <cellStyle name="Normal 73 3 2 5 2" xfId="31614" xr:uid="{00000000-0005-0000-0000-0000336D0000}"/>
    <cellStyle name="Normal 73 3 2 6" xfId="23571" xr:uid="{00000000-0005-0000-0000-0000346D0000}"/>
    <cellStyle name="Normal 73 3 3" xfId="5580" xr:uid="{00000000-0005-0000-0000-0000356D0000}"/>
    <cellStyle name="Normal 73 3 3 2" xfId="5581" xr:uid="{00000000-0005-0000-0000-0000366D0000}"/>
    <cellStyle name="Normal 73 3 3 2 2" xfId="9488" xr:uid="{00000000-0005-0000-0000-0000376D0000}"/>
    <cellStyle name="Normal 73 3 3 2 2 2" xfId="18844" xr:uid="{00000000-0005-0000-0000-0000386D0000}"/>
    <cellStyle name="Normal 73 3 3 2 2 2 2" xfId="35418" xr:uid="{00000000-0005-0000-0000-0000396D0000}"/>
    <cellStyle name="Normal 73 3 3 2 2 3" xfId="27371" xr:uid="{00000000-0005-0000-0000-00003A6D0000}"/>
    <cellStyle name="Normal 73 3 3 2 3" xfId="15069" xr:uid="{00000000-0005-0000-0000-00003B6D0000}"/>
    <cellStyle name="Normal 73 3 3 2 3 2" xfId="31619" xr:uid="{00000000-0005-0000-0000-00003C6D0000}"/>
    <cellStyle name="Normal 73 3 3 2 4" xfId="23576" xr:uid="{00000000-0005-0000-0000-00003D6D0000}"/>
    <cellStyle name="Normal 73 3 3 3" xfId="9489" xr:uid="{00000000-0005-0000-0000-00003E6D0000}"/>
    <cellStyle name="Normal 73 3 3 3 2" xfId="18845" xr:uid="{00000000-0005-0000-0000-00003F6D0000}"/>
    <cellStyle name="Normal 73 3 3 3 2 2" xfId="35419" xr:uid="{00000000-0005-0000-0000-0000406D0000}"/>
    <cellStyle name="Normal 73 3 3 3 3" xfId="27372" xr:uid="{00000000-0005-0000-0000-0000416D0000}"/>
    <cellStyle name="Normal 73 3 3 4" xfId="15068" xr:uid="{00000000-0005-0000-0000-0000426D0000}"/>
    <cellStyle name="Normal 73 3 3 4 2" xfId="31618" xr:uid="{00000000-0005-0000-0000-0000436D0000}"/>
    <cellStyle name="Normal 73 3 3 5" xfId="23575" xr:uid="{00000000-0005-0000-0000-0000446D0000}"/>
    <cellStyle name="Normal 73 3 4" xfId="5582" xr:uid="{00000000-0005-0000-0000-0000456D0000}"/>
    <cellStyle name="Normal 73 3 4 2" xfId="9490" xr:uid="{00000000-0005-0000-0000-0000466D0000}"/>
    <cellStyle name="Normal 73 3 4 2 2" xfId="18846" xr:uid="{00000000-0005-0000-0000-0000476D0000}"/>
    <cellStyle name="Normal 73 3 4 2 2 2" xfId="35420" xr:uid="{00000000-0005-0000-0000-0000486D0000}"/>
    <cellStyle name="Normal 73 3 4 2 3" xfId="27373" xr:uid="{00000000-0005-0000-0000-0000496D0000}"/>
    <cellStyle name="Normal 73 3 4 3" xfId="15070" xr:uid="{00000000-0005-0000-0000-00004A6D0000}"/>
    <cellStyle name="Normal 73 3 4 3 2" xfId="31620" xr:uid="{00000000-0005-0000-0000-00004B6D0000}"/>
    <cellStyle name="Normal 73 3 4 4" xfId="23577" xr:uid="{00000000-0005-0000-0000-00004C6D0000}"/>
    <cellStyle name="Normal 73 3 5" xfId="5583" xr:uid="{00000000-0005-0000-0000-00004D6D0000}"/>
    <cellStyle name="Normal 73 3 5 2" xfId="15071" xr:uid="{00000000-0005-0000-0000-00004E6D0000}"/>
    <cellStyle name="Normal 73 3 5 2 2" xfId="31621" xr:uid="{00000000-0005-0000-0000-00004F6D0000}"/>
    <cellStyle name="Normal 73 3 5 3" xfId="23578" xr:uid="{00000000-0005-0000-0000-0000506D0000}"/>
    <cellStyle name="Normal 73 4" xfId="5584" xr:uid="{00000000-0005-0000-0000-0000516D0000}"/>
    <cellStyle name="Normal 73 4 2" xfId="5585" xr:uid="{00000000-0005-0000-0000-0000526D0000}"/>
    <cellStyle name="Normal 73 4 2 2" xfId="5586" xr:uid="{00000000-0005-0000-0000-0000536D0000}"/>
    <cellStyle name="Normal 73 4 2 2 2" xfId="5587" xr:uid="{00000000-0005-0000-0000-0000546D0000}"/>
    <cellStyle name="Normal 73 4 2 2 2 2" xfId="9491" xr:uid="{00000000-0005-0000-0000-0000556D0000}"/>
    <cellStyle name="Normal 73 4 2 2 2 2 2" xfId="18847" xr:uid="{00000000-0005-0000-0000-0000566D0000}"/>
    <cellStyle name="Normal 73 4 2 2 2 2 2 2" xfId="35421" xr:uid="{00000000-0005-0000-0000-0000576D0000}"/>
    <cellStyle name="Normal 73 4 2 2 2 2 3" xfId="27374" xr:uid="{00000000-0005-0000-0000-0000586D0000}"/>
    <cellStyle name="Normal 73 4 2 2 2 3" xfId="15075" xr:uid="{00000000-0005-0000-0000-0000596D0000}"/>
    <cellStyle name="Normal 73 4 2 2 2 3 2" xfId="31625" xr:uid="{00000000-0005-0000-0000-00005A6D0000}"/>
    <cellStyle name="Normal 73 4 2 2 2 4" xfId="23582" xr:uid="{00000000-0005-0000-0000-00005B6D0000}"/>
    <cellStyle name="Normal 73 4 2 2 3" xfId="9492" xr:uid="{00000000-0005-0000-0000-00005C6D0000}"/>
    <cellStyle name="Normal 73 4 2 2 3 2" xfId="18848" xr:uid="{00000000-0005-0000-0000-00005D6D0000}"/>
    <cellStyle name="Normal 73 4 2 2 3 2 2" xfId="35422" xr:uid="{00000000-0005-0000-0000-00005E6D0000}"/>
    <cellStyle name="Normal 73 4 2 2 3 3" xfId="27375" xr:uid="{00000000-0005-0000-0000-00005F6D0000}"/>
    <cellStyle name="Normal 73 4 2 2 4" xfId="15074" xr:uid="{00000000-0005-0000-0000-0000606D0000}"/>
    <cellStyle name="Normal 73 4 2 2 4 2" xfId="31624" xr:uid="{00000000-0005-0000-0000-0000616D0000}"/>
    <cellStyle name="Normal 73 4 2 2 5" xfId="23581" xr:uid="{00000000-0005-0000-0000-0000626D0000}"/>
    <cellStyle name="Normal 73 4 2 3" xfId="5588" xr:uid="{00000000-0005-0000-0000-0000636D0000}"/>
    <cellStyle name="Normal 73 4 2 3 2" xfId="9493" xr:uid="{00000000-0005-0000-0000-0000646D0000}"/>
    <cellStyle name="Normal 73 4 2 3 2 2" xfId="18849" xr:uid="{00000000-0005-0000-0000-0000656D0000}"/>
    <cellStyle name="Normal 73 4 2 3 2 2 2" xfId="35423" xr:uid="{00000000-0005-0000-0000-0000666D0000}"/>
    <cellStyle name="Normal 73 4 2 3 2 3" xfId="27376" xr:uid="{00000000-0005-0000-0000-0000676D0000}"/>
    <cellStyle name="Normal 73 4 2 3 3" xfId="15076" xr:uid="{00000000-0005-0000-0000-0000686D0000}"/>
    <cellStyle name="Normal 73 4 2 3 3 2" xfId="31626" xr:uid="{00000000-0005-0000-0000-0000696D0000}"/>
    <cellStyle name="Normal 73 4 2 3 4" xfId="23583" xr:uid="{00000000-0005-0000-0000-00006A6D0000}"/>
    <cellStyle name="Normal 73 4 2 4" xfId="9494" xr:uid="{00000000-0005-0000-0000-00006B6D0000}"/>
    <cellStyle name="Normal 73 4 2 4 2" xfId="18850" xr:uid="{00000000-0005-0000-0000-00006C6D0000}"/>
    <cellStyle name="Normal 73 4 2 4 2 2" xfId="35424" xr:uid="{00000000-0005-0000-0000-00006D6D0000}"/>
    <cellStyle name="Normal 73 4 2 4 3" xfId="27377" xr:uid="{00000000-0005-0000-0000-00006E6D0000}"/>
    <cellStyle name="Normal 73 4 2 5" xfId="15073" xr:uid="{00000000-0005-0000-0000-00006F6D0000}"/>
    <cellStyle name="Normal 73 4 2 5 2" xfId="31623" xr:uid="{00000000-0005-0000-0000-0000706D0000}"/>
    <cellStyle name="Normal 73 4 2 6" xfId="23580" xr:uid="{00000000-0005-0000-0000-0000716D0000}"/>
    <cellStyle name="Normal 73 4 3" xfId="5589" xr:uid="{00000000-0005-0000-0000-0000726D0000}"/>
    <cellStyle name="Normal 73 4 3 2" xfId="5590" xr:uid="{00000000-0005-0000-0000-0000736D0000}"/>
    <cellStyle name="Normal 73 4 3 2 2" xfId="9495" xr:uid="{00000000-0005-0000-0000-0000746D0000}"/>
    <cellStyle name="Normal 73 4 3 2 2 2" xfId="18851" xr:uid="{00000000-0005-0000-0000-0000756D0000}"/>
    <cellStyle name="Normal 73 4 3 2 2 2 2" xfId="35425" xr:uid="{00000000-0005-0000-0000-0000766D0000}"/>
    <cellStyle name="Normal 73 4 3 2 2 3" xfId="27378" xr:uid="{00000000-0005-0000-0000-0000776D0000}"/>
    <cellStyle name="Normal 73 4 3 2 3" xfId="15078" xr:uid="{00000000-0005-0000-0000-0000786D0000}"/>
    <cellStyle name="Normal 73 4 3 2 3 2" xfId="31628" xr:uid="{00000000-0005-0000-0000-0000796D0000}"/>
    <cellStyle name="Normal 73 4 3 2 4" xfId="23585" xr:uid="{00000000-0005-0000-0000-00007A6D0000}"/>
    <cellStyle name="Normal 73 4 3 3" xfId="9496" xr:uid="{00000000-0005-0000-0000-00007B6D0000}"/>
    <cellStyle name="Normal 73 4 3 3 2" xfId="18852" xr:uid="{00000000-0005-0000-0000-00007C6D0000}"/>
    <cellStyle name="Normal 73 4 3 3 2 2" xfId="35426" xr:uid="{00000000-0005-0000-0000-00007D6D0000}"/>
    <cellStyle name="Normal 73 4 3 3 3" xfId="27379" xr:uid="{00000000-0005-0000-0000-00007E6D0000}"/>
    <cellStyle name="Normal 73 4 3 4" xfId="15077" xr:uid="{00000000-0005-0000-0000-00007F6D0000}"/>
    <cellStyle name="Normal 73 4 3 4 2" xfId="31627" xr:uid="{00000000-0005-0000-0000-0000806D0000}"/>
    <cellStyle name="Normal 73 4 3 5" xfId="23584" xr:uid="{00000000-0005-0000-0000-0000816D0000}"/>
    <cellStyle name="Normal 73 4 4" xfId="5591" xr:uid="{00000000-0005-0000-0000-0000826D0000}"/>
    <cellStyle name="Normal 73 4 4 2" xfId="9497" xr:uid="{00000000-0005-0000-0000-0000836D0000}"/>
    <cellStyle name="Normal 73 4 4 2 2" xfId="18853" xr:uid="{00000000-0005-0000-0000-0000846D0000}"/>
    <cellStyle name="Normal 73 4 4 2 2 2" xfId="35427" xr:uid="{00000000-0005-0000-0000-0000856D0000}"/>
    <cellStyle name="Normal 73 4 4 2 3" xfId="27380" xr:uid="{00000000-0005-0000-0000-0000866D0000}"/>
    <cellStyle name="Normal 73 4 4 3" xfId="15079" xr:uid="{00000000-0005-0000-0000-0000876D0000}"/>
    <cellStyle name="Normal 73 4 4 3 2" xfId="31629" xr:uid="{00000000-0005-0000-0000-0000886D0000}"/>
    <cellStyle name="Normal 73 4 4 4" xfId="23586" xr:uid="{00000000-0005-0000-0000-0000896D0000}"/>
    <cellStyle name="Normal 73 4 5" xfId="9498" xr:uid="{00000000-0005-0000-0000-00008A6D0000}"/>
    <cellStyle name="Normal 73 4 5 2" xfId="18854" xr:uid="{00000000-0005-0000-0000-00008B6D0000}"/>
    <cellStyle name="Normal 73 4 5 2 2" xfId="35428" xr:uid="{00000000-0005-0000-0000-00008C6D0000}"/>
    <cellStyle name="Normal 73 4 5 3" xfId="27381" xr:uid="{00000000-0005-0000-0000-00008D6D0000}"/>
    <cellStyle name="Normal 73 4 6" xfId="15072" xr:uid="{00000000-0005-0000-0000-00008E6D0000}"/>
    <cellStyle name="Normal 73 4 6 2" xfId="31622" xr:uid="{00000000-0005-0000-0000-00008F6D0000}"/>
    <cellStyle name="Normal 73 4 7" xfId="23579" xr:uid="{00000000-0005-0000-0000-0000906D0000}"/>
    <cellStyle name="Normal 73 5" xfId="5592" xr:uid="{00000000-0005-0000-0000-0000916D0000}"/>
    <cellStyle name="Normal 73 5 2" xfId="5593" xr:uid="{00000000-0005-0000-0000-0000926D0000}"/>
    <cellStyle name="Normal 73 5 2 2" xfId="5594" xr:uid="{00000000-0005-0000-0000-0000936D0000}"/>
    <cellStyle name="Normal 73 5 2 2 2" xfId="5595" xr:uid="{00000000-0005-0000-0000-0000946D0000}"/>
    <cellStyle name="Normal 73 5 2 2 2 2" xfId="9499" xr:uid="{00000000-0005-0000-0000-0000956D0000}"/>
    <cellStyle name="Normal 73 5 2 2 2 2 2" xfId="18855" xr:uid="{00000000-0005-0000-0000-0000966D0000}"/>
    <cellStyle name="Normal 73 5 2 2 2 2 2 2" xfId="35429" xr:uid="{00000000-0005-0000-0000-0000976D0000}"/>
    <cellStyle name="Normal 73 5 2 2 2 2 3" xfId="27382" xr:uid="{00000000-0005-0000-0000-0000986D0000}"/>
    <cellStyle name="Normal 73 5 2 2 2 3" xfId="15083" xr:uid="{00000000-0005-0000-0000-0000996D0000}"/>
    <cellStyle name="Normal 73 5 2 2 2 3 2" xfId="31633" xr:uid="{00000000-0005-0000-0000-00009A6D0000}"/>
    <cellStyle name="Normal 73 5 2 2 2 4" xfId="23590" xr:uid="{00000000-0005-0000-0000-00009B6D0000}"/>
    <cellStyle name="Normal 73 5 2 2 3" xfId="9500" xr:uid="{00000000-0005-0000-0000-00009C6D0000}"/>
    <cellStyle name="Normal 73 5 2 2 3 2" xfId="18856" xr:uid="{00000000-0005-0000-0000-00009D6D0000}"/>
    <cellStyle name="Normal 73 5 2 2 3 2 2" xfId="35430" xr:uid="{00000000-0005-0000-0000-00009E6D0000}"/>
    <cellStyle name="Normal 73 5 2 2 3 3" xfId="27383" xr:uid="{00000000-0005-0000-0000-00009F6D0000}"/>
    <cellStyle name="Normal 73 5 2 2 4" xfId="15082" xr:uid="{00000000-0005-0000-0000-0000A06D0000}"/>
    <cellStyle name="Normal 73 5 2 2 4 2" xfId="31632" xr:uid="{00000000-0005-0000-0000-0000A16D0000}"/>
    <cellStyle name="Normal 73 5 2 2 5" xfId="23589" xr:uid="{00000000-0005-0000-0000-0000A26D0000}"/>
    <cellStyle name="Normal 73 5 2 3" xfId="5596" xr:uid="{00000000-0005-0000-0000-0000A36D0000}"/>
    <cellStyle name="Normal 73 5 2 3 2" xfId="9501" xr:uid="{00000000-0005-0000-0000-0000A46D0000}"/>
    <cellStyle name="Normal 73 5 2 3 2 2" xfId="18857" xr:uid="{00000000-0005-0000-0000-0000A56D0000}"/>
    <cellStyle name="Normal 73 5 2 3 2 2 2" xfId="35431" xr:uid="{00000000-0005-0000-0000-0000A66D0000}"/>
    <cellStyle name="Normal 73 5 2 3 2 3" xfId="27384" xr:uid="{00000000-0005-0000-0000-0000A76D0000}"/>
    <cellStyle name="Normal 73 5 2 3 3" xfId="15084" xr:uid="{00000000-0005-0000-0000-0000A86D0000}"/>
    <cellStyle name="Normal 73 5 2 3 3 2" xfId="31634" xr:uid="{00000000-0005-0000-0000-0000A96D0000}"/>
    <cellStyle name="Normal 73 5 2 3 4" xfId="23591" xr:uid="{00000000-0005-0000-0000-0000AA6D0000}"/>
    <cellStyle name="Normal 73 5 2 4" xfId="9502" xr:uid="{00000000-0005-0000-0000-0000AB6D0000}"/>
    <cellStyle name="Normal 73 5 2 4 2" xfId="18858" xr:uid="{00000000-0005-0000-0000-0000AC6D0000}"/>
    <cellStyle name="Normal 73 5 2 4 2 2" xfId="35432" xr:uid="{00000000-0005-0000-0000-0000AD6D0000}"/>
    <cellStyle name="Normal 73 5 2 4 3" xfId="27385" xr:uid="{00000000-0005-0000-0000-0000AE6D0000}"/>
    <cellStyle name="Normal 73 5 2 5" xfId="15081" xr:uid="{00000000-0005-0000-0000-0000AF6D0000}"/>
    <cellStyle name="Normal 73 5 2 5 2" xfId="31631" xr:uid="{00000000-0005-0000-0000-0000B06D0000}"/>
    <cellStyle name="Normal 73 5 2 6" xfId="23588" xr:uid="{00000000-0005-0000-0000-0000B16D0000}"/>
    <cellStyle name="Normal 73 5 3" xfId="5597" xr:uid="{00000000-0005-0000-0000-0000B26D0000}"/>
    <cellStyle name="Normal 73 5 3 2" xfId="5598" xr:uid="{00000000-0005-0000-0000-0000B36D0000}"/>
    <cellStyle name="Normal 73 5 3 2 2" xfId="9503" xr:uid="{00000000-0005-0000-0000-0000B46D0000}"/>
    <cellStyle name="Normal 73 5 3 2 2 2" xfId="18859" xr:uid="{00000000-0005-0000-0000-0000B56D0000}"/>
    <cellStyle name="Normal 73 5 3 2 2 2 2" xfId="35433" xr:uid="{00000000-0005-0000-0000-0000B66D0000}"/>
    <cellStyle name="Normal 73 5 3 2 2 3" xfId="27386" xr:uid="{00000000-0005-0000-0000-0000B76D0000}"/>
    <cellStyle name="Normal 73 5 3 2 3" xfId="15086" xr:uid="{00000000-0005-0000-0000-0000B86D0000}"/>
    <cellStyle name="Normal 73 5 3 2 3 2" xfId="31636" xr:uid="{00000000-0005-0000-0000-0000B96D0000}"/>
    <cellStyle name="Normal 73 5 3 2 4" xfId="23593" xr:uid="{00000000-0005-0000-0000-0000BA6D0000}"/>
    <cellStyle name="Normal 73 5 3 3" xfId="9504" xr:uid="{00000000-0005-0000-0000-0000BB6D0000}"/>
    <cellStyle name="Normal 73 5 3 3 2" xfId="18860" xr:uid="{00000000-0005-0000-0000-0000BC6D0000}"/>
    <cellStyle name="Normal 73 5 3 3 2 2" xfId="35434" xr:uid="{00000000-0005-0000-0000-0000BD6D0000}"/>
    <cellStyle name="Normal 73 5 3 3 3" xfId="27387" xr:uid="{00000000-0005-0000-0000-0000BE6D0000}"/>
    <cellStyle name="Normal 73 5 3 4" xfId="15085" xr:uid="{00000000-0005-0000-0000-0000BF6D0000}"/>
    <cellStyle name="Normal 73 5 3 4 2" xfId="31635" xr:uid="{00000000-0005-0000-0000-0000C06D0000}"/>
    <cellStyle name="Normal 73 5 3 5" xfId="23592" xr:uid="{00000000-0005-0000-0000-0000C16D0000}"/>
    <cellStyle name="Normal 73 5 4" xfId="5599" xr:uid="{00000000-0005-0000-0000-0000C26D0000}"/>
    <cellStyle name="Normal 73 5 4 2" xfId="9505" xr:uid="{00000000-0005-0000-0000-0000C36D0000}"/>
    <cellStyle name="Normal 73 5 4 2 2" xfId="18861" xr:uid="{00000000-0005-0000-0000-0000C46D0000}"/>
    <cellStyle name="Normal 73 5 4 2 2 2" xfId="35435" xr:uid="{00000000-0005-0000-0000-0000C56D0000}"/>
    <cellStyle name="Normal 73 5 4 2 3" xfId="27388" xr:uid="{00000000-0005-0000-0000-0000C66D0000}"/>
    <cellStyle name="Normal 73 5 4 3" xfId="15087" xr:uid="{00000000-0005-0000-0000-0000C76D0000}"/>
    <cellStyle name="Normal 73 5 4 3 2" xfId="31637" xr:uid="{00000000-0005-0000-0000-0000C86D0000}"/>
    <cellStyle name="Normal 73 5 4 4" xfId="23594" xr:uid="{00000000-0005-0000-0000-0000C96D0000}"/>
    <cellStyle name="Normal 73 5 5" xfId="9506" xr:uid="{00000000-0005-0000-0000-0000CA6D0000}"/>
    <cellStyle name="Normal 73 5 5 2" xfId="18862" xr:uid="{00000000-0005-0000-0000-0000CB6D0000}"/>
    <cellStyle name="Normal 73 5 5 2 2" xfId="35436" xr:uid="{00000000-0005-0000-0000-0000CC6D0000}"/>
    <cellStyle name="Normal 73 5 5 3" xfId="27389" xr:uid="{00000000-0005-0000-0000-0000CD6D0000}"/>
    <cellStyle name="Normal 73 5 6" xfId="15080" xr:uid="{00000000-0005-0000-0000-0000CE6D0000}"/>
    <cellStyle name="Normal 73 5 6 2" xfId="31630" xr:uid="{00000000-0005-0000-0000-0000CF6D0000}"/>
    <cellStyle name="Normal 73 5 7" xfId="23587" xr:uid="{00000000-0005-0000-0000-0000D06D0000}"/>
    <cellStyle name="Normal 73 6" xfId="5600" xr:uid="{00000000-0005-0000-0000-0000D16D0000}"/>
    <cellStyle name="Normal 73 6 2" xfId="5601" xr:uid="{00000000-0005-0000-0000-0000D26D0000}"/>
    <cellStyle name="Normal 73 6 2 2" xfId="5602" xr:uid="{00000000-0005-0000-0000-0000D36D0000}"/>
    <cellStyle name="Normal 73 6 2 2 2" xfId="9507" xr:uid="{00000000-0005-0000-0000-0000D46D0000}"/>
    <cellStyle name="Normal 73 6 2 2 2 2" xfId="18863" xr:uid="{00000000-0005-0000-0000-0000D56D0000}"/>
    <cellStyle name="Normal 73 6 2 2 2 2 2" xfId="35437" xr:uid="{00000000-0005-0000-0000-0000D66D0000}"/>
    <cellStyle name="Normal 73 6 2 2 2 3" xfId="27390" xr:uid="{00000000-0005-0000-0000-0000D76D0000}"/>
    <cellStyle name="Normal 73 6 2 2 3" xfId="15090" xr:uid="{00000000-0005-0000-0000-0000D86D0000}"/>
    <cellStyle name="Normal 73 6 2 2 3 2" xfId="31640" xr:uid="{00000000-0005-0000-0000-0000D96D0000}"/>
    <cellStyle name="Normal 73 6 2 2 4" xfId="23597" xr:uid="{00000000-0005-0000-0000-0000DA6D0000}"/>
    <cellStyle name="Normal 73 6 2 3" xfId="9508" xr:uid="{00000000-0005-0000-0000-0000DB6D0000}"/>
    <cellStyle name="Normal 73 6 2 3 2" xfId="18864" xr:uid="{00000000-0005-0000-0000-0000DC6D0000}"/>
    <cellStyle name="Normal 73 6 2 3 2 2" xfId="35438" xr:uid="{00000000-0005-0000-0000-0000DD6D0000}"/>
    <cellStyle name="Normal 73 6 2 3 3" xfId="27391" xr:uid="{00000000-0005-0000-0000-0000DE6D0000}"/>
    <cellStyle name="Normal 73 6 2 4" xfId="15089" xr:uid="{00000000-0005-0000-0000-0000DF6D0000}"/>
    <cellStyle name="Normal 73 6 2 4 2" xfId="31639" xr:uid="{00000000-0005-0000-0000-0000E06D0000}"/>
    <cellStyle name="Normal 73 6 2 5" xfId="23596" xr:uid="{00000000-0005-0000-0000-0000E16D0000}"/>
    <cellStyle name="Normal 73 6 3" xfId="5603" xr:uid="{00000000-0005-0000-0000-0000E26D0000}"/>
    <cellStyle name="Normal 73 6 3 2" xfId="9509" xr:uid="{00000000-0005-0000-0000-0000E36D0000}"/>
    <cellStyle name="Normal 73 6 3 2 2" xfId="18865" xr:uid="{00000000-0005-0000-0000-0000E46D0000}"/>
    <cellStyle name="Normal 73 6 3 2 2 2" xfId="35439" xr:uid="{00000000-0005-0000-0000-0000E56D0000}"/>
    <cellStyle name="Normal 73 6 3 2 3" xfId="27392" xr:uid="{00000000-0005-0000-0000-0000E66D0000}"/>
    <cellStyle name="Normal 73 6 3 3" xfId="15091" xr:uid="{00000000-0005-0000-0000-0000E76D0000}"/>
    <cellStyle name="Normal 73 6 3 3 2" xfId="31641" xr:uid="{00000000-0005-0000-0000-0000E86D0000}"/>
    <cellStyle name="Normal 73 6 3 4" xfId="23598" xr:uid="{00000000-0005-0000-0000-0000E96D0000}"/>
    <cellStyle name="Normal 73 6 4" xfId="9510" xr:uid="{00000000-0005-0000-0000-0000EA6D0000}"/>
    <cellStyle name="Normal 73 6 4 2" xfId="18866" xr:uid="{00000000-0005-0000-0000-0000EB6D0000}"/>
    <cellStyle name="Normal 73 6 4 2 2" xfId="35440" xr:uid="{00000000-0005-0000-0000-0000EC6D0000}"/>
    <cellStyle name="Normal 73 6 4 3" xfId="27393" xr:uid="{00000000-0005-0000-0000-0000ED6D0000}"/>
    <cellStyle name="Normal 73 6 5" xfId="15088" xr:uid="{00000000-0005-0000-0000-0000EE6D0000}"/>
    <cellStyle name="Normal 73 6 5 2" xfId="31638" xr:uid="{00000000-0005-0000-0000-0000EF6D0000}"/>
    <cellStyle name="Normal 73 6 6" xfId="23595" xr:uid="{00000000-0005-0000-0000-0000F06D0000}"/>
    <cellStyle name="Normal 73 7" xfId="5604" xr:uid="{00000000-0005-0000-0000-0000F16D0000}"/>
    <cellStyle name="Normal 73 7 2" xfId="5605" xr:uid="{00000000-0005-0000-0000-0000F26D0000}"/>
    <cellStyle name="Normal 73 7 2 2" xfId="9511" xr:uid="{00000000-0005-0000-0000-0000F36D0000}"/>
    <cellStyle name="Normal 73 7 2 2 2" xfId="18867" xr:uid="{00000000-0005-0000-0000-0000F46D0000}"/>
    <cellStyle name="Normal 73 7 2 2 2 2" xfId="35441" xr:uid="{00000000-0005-0000-0000-0000F56D0000}"/>
    <cellStyle name="Normal 73 7 2 2 3" xfId="27394" xr:uid="{00000000-0005-0000-0000-0000F66D0000}"/>
    <cellStyle name="Normal 73 7 2 3" xfId="15093" xr:uid="{00000000-0005-0000-0000-0000F76D0000}"/>
    <cellStyle name="Normal 73 7 2 3 2" xfId="31643" xr:uid="{00000000-0005-0000-0000-0000F86D0000}"/>
    <cellStyle name="Normal 73 7 2 4" xfId="23600" xr:uid="{00000000-0005-0000-0000-0000F96D0000}"/>
    <cellStyle name="Normal 73 7 3" xfId="9512" xr:uid="{00000000-0005-0000-0000-0000FA6D0000}"/>
    <cellStyle name="Normal 73 7 3 2" xfId="18868" xr:uid="{00000000-0005-0000-0000-0000FB6D0000}"/>
    <cellStyle name="Normal 73 7 3 2 2" xfId="35442" xr:uid="{00000000-0005-0000-0000-0000FC6D0000}"/>
    <cellStyle name="Normal 73 7 3 3" xfId="27395" xr:uid="{00000000-0005-0000-0000-0000FD6D0000}"/>
    <cellStyle name="Normal 73 7 4" xfId="15092" xr:uid="{00000000-0005-0000-0000-0000FE6D0000}"/>
    <cellStyle name="Normal 73 7 4 2" xfId="31642" xr:uid="{00000000-0005-0000-0000-0000FF6D0000}"/>
    <cellStyle name="Normal 73 7 5" xfId="23599" xr:uid="{00000000-0005-0000-0000-0000006E0000}"/>
    <cellStyle name="Normal 73 8" xfId="5606" xr:uid="{00000000-0005-0000-0000-0000016E0000}"/>
    <cellStyle name="Normal 73 8 2" xfId="9513" xr:uid="{00000000-0005-0000-0000-0000026E0000}"/>
    <cellStyle name="Normal 73 8 2 2" xfId="18869" xr:uid="{00000000-0005-0000-0000-0000036E0000}"/>
    <cellStyle name="Normal 73 8 2 2 2" xfId="35443" xr:uid="{00000000-0005-0000-0000-0000046E0000}"/>
    <cellStyle name="Normal 73 8 2 3" xfId="27396" xr:uid="{00000000-0005-0000-0000-0000056E0000}"/>
    <cellStyle name="Normal 73 8 3" xfId="15094" xr:uid="{00000000-0005-0000-0000-0000066E0000}"/>
    <cellStyle name="Normal 73 8 3 2" xfId="31644" xr:uid="{00000000-0005-0000-0000-0000076E0000}"/>
    <cellStyle name="Normal 73 8 4" xfId="23601" xr:uid="{00000000-0005-0000-0000-0000086E0000}"/>
    <cellStyle name="Normal 73 9" xfId="9514" xr:uid="{00000000-0005-0000-0000-0000096E0000}"/>
    <cellStyle name="Normal 73 9 2" xfId="18870" xr:uid="{00000000-0005-0000-0000-00000A6E0000}"/>
    <cellStyle name="Normal 73 9 2 2" xfId="35444" xr:uid="{00000000-0005-0000-0000-00000B6E0000}"/>
    <cellStyle name="Normal 73 9 3" xfId="27397" xr:uid="{00000000-0005-0000-0000-00000C6E0000}"/>
    <cellStyle name="Normal 74" xfId="5607" xr:uid="{00000000-0005-0000-0000-00000D6E0000}"/>
    <cellStyle name="Normal 74 10" xfId="15095" xr:uid="{00000000-0005-0000-0000-00000E6E0000}"/>
    <cellStyle name="Normal 74 10 2" xfId="31645" xr:uid="{00000000-0005-0000-0000-00000F6E0000}"/>
    <cellStyle name="Normal 74 11" xfId="23602" xr:uid="{00000000-0005-0000-0000-0000106E0000}"/>
    <cellStyle name="Normal 74 2" xfId="5608" xr:uid="{00000000-0005-0000-0000-0000116E0000}"/>
    <cellStyle name="Normal 74 2 2" xfId="5609" xr:uid="{00000000-0005-0000-0000-0000126E0000}"/>
    <cellStyle name="Normal 74 2 3" xfId="15096" xr:uid="{00000000-0005-0000-0000-0000136E0000}"/>
    <cellStyle name="Normal 74 2 3 2" xfId="31646" xr:uid="{00000000-0005-0000-0000-0000146E0000}"/>
    <cellStyle name="Normal 74 2 4" xfId="23603" xr:uid="{00000000-0005-0000-0000-0000156E0000}"/>
    <cellStyle name="Normal 74 3" xfId="5610" xr:uid="{00000000-0005-0000-0000-0000166E0000}"/>
    <cellStyle name="Normal 74 3 2" xfId="5611" xr:uid="{00000000-0005-0000-0000-0000176E0000}"/>
    <cellStyle name="Normal 74 3 2 2" xfId="5612" xr:uid="{00000000-0005-0000-0000-0000186E0000}"/>
    <cellStyle name="Normal 74 3 2 2 2" xfId="5613" xr:uid="{00000000-0005-0000-0000-0000196E0000}"/>
    <cellStyle name="Normal 74 3 2 2 2 2" xfId="9515" xr:uid="{00000000-0005-0000-0000-00001A6E0000}"/>
    <cellStyle name="Normal 74 3 2 2 2 2 2" xfId="18871" xr:uid="{00000000-0005-0000-0000-00001B6E0000}"/>
    <cellStyle name="Normal 74 3 2 2 2 2 2 2" xfId="35445" xr:uid="{00000000-0005-0000-0000-00001C6E0000}"/>
    <cellStyle name="Normal 74 3 2 2 2 2 3" xfId="27398" xr:uid="{00000000-0005-0000-0000-00001D6E0000}"/>
    <cellStyle name="Normal 74 3 2 2 2 3" xfId="15099" xr:uid="{00000000-0005-0000-0000-00001E6E0000}"/>
    <cellStyle name="Normal 74 3 2 2 2 3 2" xfId="31649" xr:uid="{00000000-0005-0000-0000-00001F6E0000}"/>
    <cellStyle name="Normal 74 3 2 2 2 4" xfId="23606" xr:uid="{00000000-0005-0000-0000-0000206E0000}"/>
    <cellStyle name="Normal 74 3 2 2 3" xfId="9516" xr:uid="{00000000-0005-0000-0000-0000216E0000}"/>
    <cellStyle name="Normal 74 3 2 2 3 2" xfId="18872" xr:uid="{00000000-0005-0000-0000-0000226E0000}"/>
    <cellStyle name="Normal 74 3 2 2 3 2 2" xfId="35446" xr:uid="{00000000-0005-0000-0000-0000236E0000}"/>
    <cellStyle name="Normal 74 3 2 2 3 3" xfId="27399" xr:uid="{00000000-0005-0000-0000-0000246E0000}"/>
    <cellStyle name="Normal 74 3 2 2 4" xfId="15098" xr:uid="{00000000-0005-0000-0000-0000256E0000}"/>
    <cellStyle name="Normal 74 3 2 2 4 2" xfId="31648" xr:uid="{00000000-0005-0000-0000-0000266E0000}"/>
    <cellStyle name="Normal 74 3 2 2 5" xfId="23605" xr:uid="{00000000-0005-0000-0000-0000276E0000}"/>
    <cellStyle name="Normal 74 3 2 3" xfId="5614" xr:uid="{00000000-0005-0000-0000-0000286E0000}"/>
    <cellStyle name="Normal 74 3 2 3 2" xfId="9517" xr:uid="{00000000-0005-0000-0000-0000296E0000}"/>
    <cellStyle name="Normal 74 3 2 3 2 2" xfId="18873" xr:uid="{00000000-0005-0000-0000-00002A6E0000}"/>
    <cellStyle name="Normal 74 3 2 3 2 2 2" xfId="35447" xr:uid="{00000000-0005-0000-0000-00002B6E0000}"/>
    <cellStyle name="Normal 74 3 2 3 2 3" xfId="27400" xr:uid="{00000000-0005-0000-0000-00002C6E0000}"/>
    <cellStyle name="Normal 74 3 2 3 3" xfId="15100" xr:uid="{00000000-0005-0000-0000-00002D6E0000}"/>
    <cellStyle name="Normal 74 3 2 3 3 2" xfId="31650" xr:uid="{00000000-0005-0000-0000-00002E6E0000}"/>
    <cellStyle name="Normal 74 3 2 3 4" xfId="23607" xr:uid="{00000000-0005-0000-0000-00002F6E0000}"/>
    <cellStyle name="Normal 74 3 2 4" xfId="9518" xr:uid="{00000000-0005-0000-0000-0000306E0000}"/>
    <cellStyle name="Normal 74 3 2 4 2" xfId="18874" xr:uid="{00000000-0005-0000-0000-0000316E0000}"/>
    <cellStyle name="Normal 74 3 2 4 2 2" xfId="35448" xr:uid="{00000000-0005-0000-0000-0000326E0000}"/>
    <cellStyle name="Normal 74 3 2 4 3" xfId="27401" xr:uid="{00000000-0005-0000-0000-0000336E0000}"/>
    <cellStyle name="Normal 74 3 2 5" xfId="15097" xr:uid="{00000000-0005-0000-0000-0000346E0000}"/>
    <cellStyle name="Normal 74 3 2 5 2" xfId="31647" xr:uid="{00000000-0005-0000-0000-0000356E0000}"/>
    <cellStyle name="Normal 74 3 2 6" xfId="23604" xr:uid="{00000000-0005-0000-0000-0000366E0000}"/>
    <cellStyle name="Normal 74 3 3" xfId="5615" xr:uid="{00000000-0005-0000-0000-0000376E0000}"/>
    <cellStyle name="Normal 74 3 3 2" xfId="5616" xr:uid="{00000000-0005-0000-0000-0000386E0000}"/>
    <cellStyle name="Normal 74 3 3 2 2" xfId="9519" xr:uid="{00000000-0005-0000-0000-0000396E0000}"/>
    <cellStyle name="Normal 74 3 3 2 2 2" xfId="18875" xr:uid="{00000000-0005-0000-0000-00003A6E0000}"/>
    <cellStyle name="Normal 74 3 3 2 2 2 2" xfId="35449" xr:uid="{00000000-0005-0000-0000-00003B6E0000}"/>
    <cellStyle name="Normal 74 3 3 2 2 3" xfId="27402" xr:uid="{00000000-0005-0000-0000-00003C6E0000}"/>
    <cellStyle name="Normal 74 3 3 2 3" xfId="15102" xr:uid="{00000000-0005-0000-0000-00003D6E0000}"/>
    <cellStyle name="Normal 74 3 3 2 3 2" xfId="31652" xr:uid="{00000000-0005-0000-0000-00003E6E0000}"/>
    <cellStyle name="Normal 74 3 3 2 4" xfId="23609" xr:uid="{00000000-0005-0000-0000-00003F6E0000}"/>
    <cellStyle name="Normal 74 3 3 3" xfId="9520" xr:uid="{00000000-0005-0000-0000-0000406E0000}"/>
    <cellStyle name="Normal 74 3 3 3 2" xfId="18876" xr:uid="{00000000-0005-0000-0000-0000416E0000}"/>
    <cellStyle name="Normal 74 3 3 3 2 2" xfId="35450" xr:uid="{00000000-0005-0000-0000-0000426E0000}"/>
    <cellStyle name="Normal 74 3 3 3 3" xfId="27403" xr:uid="{00000000-0005-0000-0000-0000436E0000}"/>
    <cellStyle name="Normal 74 3 3 4" xfId="15101" xr:uid="{00000000-0005-0000-0000-0000446E0000}"/>
    <cellStyle name="Normal 74 3 3 4 2" xfId="31651" xr:uid="{00000000-0005-0000-0000-0000456E0000}"/>
    <cellStyle name="Normal 74 3 3 5" xfId="23608" xr:uid="{00000000-0005-0000-0000-0000466E0000}"/>
    <cellStyle name="Normal 74 3 4" xfId="5617" xr:uid="{00000000-0005-0000-0000-0000476E0000}"/>
    <cellStyle name="Normal 74 3 4 2" xfId="9521" xr:uid="{00000000-0005-0000-0000-0000486E0000}"/>
    <cellStyle name="Normal 74 3 4 2 2" xfId="18877" xr:uid="{00000000-0005-0000-0000-0000496E0000}"/>
    <cellStyle name="Normal 74 3 4 2 2 2" xfId="35451" xr:uid="{00000000-0005-0000-0000-00004A6E0000}"/>
    <cellStyle name="Normal 74 3 4 2 3" xfId="27404" xr:uid="{00000000-0005-0000-0000-00004B6E0000}"/>
    <cellStyle name="Normal 74 3 4 3" xfId="15103" xr:uid="{00000000-0005-0000-0000-00004C6E0000}"/>
    <cellStyle name="Normal 74 3 4 3 2" xfId="31653" xr:uid="{00000000-0005-0000-0000-00004D6E0000}"/>
    <cellStyle name="Normal 74 3 4 4" xfId="23610" xr:uid="{00000000-0005-0000-0000-00004E6E0000}"/>
    <cellStyle name="Normal 74 3 5" xfId="5618" xr:uid="{00000000-0005-0000-0000-00004F6E0000}"/>
    <cellStyle name="Normal 74 3 5 2" xfId="15104" xr:uid="{00000000-0005-0000-0000-0000506E0000}"/>
    <cellStyle name="Normal 74 3 5 2 2" xfId="31654" xr:uid="{00000000-0005-0000-0000-0000516E0000}"/>
    <cellStyle name="Normal 74 3 5 3" xfId="23611" xr:uid="{00000000-0005-0000-0000-0000526E0000}"/>
    <cellStyle name="Normal 74 4" xfId="5619" xr:uid="{00000000-0005-0000-0000-0000536E0000}"/>
    <cellStyle name="Normal 74 4 2" xfId="5620" xr:uid="{00000000-0005-0000-0000-0000546E0000}"/>
    <cellStyle name="Normal 74 4 2 2" xfId="5621" xr:uid="{00000000-0005-0000-0000-0000556E0000}"/>
    <cellStyle name="Normal 74 4 2 2 2" xfId="5622" xr:uid="{00000000-0005-0000-0000-0000566E0000}"/>
    <cellStyle name="Normal 74 4 2 2 2 2" xfId="9522" xr:uid="{00000000-0005-0000-0000-0000576E0000}"/>
    <cellStyle name="Normal 74 4 2 2 2 2 2" xfId="18878" xr:uid="{00000000-0005-0000-0000-0000586E0000}"/>
    <cellStyle name="Normal 74 4 2 2 2 2 2 2" xfId="35452" xr:uid="{00000000-0005-0000-0000-0000596E0000}"/>
    <cellStyle name="Normal 74 4 2 2 2 2 3" xfId="27405" xr:uid="{00000000-0005-0000-0000-00005A6E0000}"/>
    <cellStyle name="Normal 74 4 2 2 2 3" xfId="15108" xr:uid="{00000000-0005-0000-0000-00005B6E0000}"/>
    <cellStyle name="Normal 74 4 2 2 2 3 2" xfId="31658" xr:uid="{00000000-0005-0000-0000-00005C6E0000}"/>
    <cellStyle name="Normal 74 4 2 2 2 4" xfId="23615" xr:uid="{00000000-0005-0000-0000-00005D6E0000}"/>
    <cellStyle name="Normal 74 4 2 2 3" xfId="9523" xr:uid="{00000000-0005-0000-0000-00005E6E0000}"/>
    <cellStyle name="Normal 74 4 2 2 3 2" xfId="18879" xr:uid="{00000000-0005-0000-0000-00005F6E0000}"/>
    <cellStyle name="Normal 74 4 2 2 3 2 2" xfId="35453" xr:uid="{00000000-0005-0000-0000-0000606E0000}"/>
    <cellStyle name="Normal 74 4 2 2 3 3" xfId="27406" xr:uid="{00000000-0005-0000-0000-0000616E0000}"/>
    <cellStyle name="Normal 74 4 2 2 4" xfId="15107" xr:uid="{00000000-0005-0000-0000-0000626E0000}"/>
    <cellStyle name="Normal 74 4 2 2 4 2" xfId="31657" xr:uid="{00000000-0005-0000-0000-0000636E0000}"/>
    <cellStyle name="Normal 74 4 2 2 5" xfId="23614" xr:uid="{00000000-0005-0000-0000-0000646E0000}"/>
    <cellStyle name="Normal 74 4 2 3" xfId="5623" xr:uid="{00000000-0005-0000-0000-0000656E0000}"/>
    <cellStyle name="Normal 74 4 2 3 2" xfId="9524" xr:uid="{00000000-0005-0000-0000-0000666E0000}"/>
    <cellStyle name="Normal 74 4 2 3 2 2" xfId="18880" xr:uid="{00000000-0005-0000-0000-0000676E0000}"/>
    <cellStyle name="Normal 74 4 2 3 2 2 2" xfId="35454" xr:uid="{00000000-0005-0000-0000-0000686E0000}"/>
    <cellStyle name="Normal 74 4 2 3 2 3" xfId="27407" xr:uid="{00000000-0005-0000-0000-0000696E0000}"/>
    <cellStyle name="Normal 74 4 2 3 3" xfId="15109" xr:uid="{00000000-0005-0000-0000-00006A6E0000}"/>
    <cellStyle name="Normal 74 4 2 3 3 2" xfId="31659" xr:uid="{00000000-0005-0000-0000-00006B6E0000}"/>
    <cellStyle name="Normal 74 4 2 3 4" xfId="23616" xr:uid="{00000000-0005-0000-0000-00006C6E0000}"/>
    <cellStyle name="Normal 74 4 2 4" xfId="9525" xr:uid="{00000000-0005-0000-0000-00006D6E0000}"/>
    <cellStyle name="Normal 74 4 2 4 2" xfId="18881" xr:uid="{00000000-0005-0000-0000-00006E6E0000}"/>
    <cellStyle name="Normal 74 4 2 4 2 2" xfId="35455" xr:uid="{00000000-0005-0000-0000-00006F6E0000}"/>
    <cellStyle name="Normal 74 4 2 4 3" xfId="27408" xr:uid="{00000000-0005-0000-0000-0000706E0000}"/>
    <cellStyle name="Normal 74 4 2 5" xfId="15106" xr:uid="{00000000-0005-0000-0000-0000716E0000}"/>
    <cellStyle name="Normal 74 4 2 5 2" xfId="31656" xr:uid="{00000000-0005-0000-0000-0000726E0000}"/>
    <cellStyle name="Normal 74 4 2 6" xfId="23613" xr:uid="{00000000-0005-0000-0000-0000736E0000}"/>
    <cellStyle name="Normal 74 4 3" xfId="5624" xr:uid="{00000000-0005-0000-0000-0000746E0000}"/>
    <cellStyle name="Normal 74 4 3 2" xfId="5625" xr:uid="{00000000-0005-0000-0000-0000756E0000}"/>
    <cellStyle name="Normal 74 4 3 2 2" xfId="9526" xr:uid="{00000000-0005-0000-0000-0000766E0000}"/>
    <cellStyle name="Normal 74 4 3 2 2 2" xfId="18882" xr:uid="{00000000-0005-0000-0000-0000776E0000}"/>
    <cellStyle name="Normal 74 4 3 2 2 2 2" xfId="35456" xr:uid="{00000000-0005-0000-0000-0000786E0000}"/>
    <cellStyle name="Normal 74 4 3 2 2 3" xfId="27409" xr:uid="{00000000-0005-0000-0000-0000796E0000}"/>
    <cellStyle name="Normal 74 4 3 2 3" xfId="15111" xr:uid="{00000000-0005-0000-0000-00007A6E0000}"/>
    <cellStyle name="Normal 74 4 3 2 3 2" xfId="31661" xr:uid="{00000000-0005-0000-0000-00007B6E0000}"/>
    <cellStyle name="Normal 74 4 3 2 4" xfId="23618" xr:uid="{00000000-0005-0000-0000-00007C6E0000}"/>
    <cellStyle name="Normal 74 4 3 3" xfId="9527" xr:uid="{00000000-0005-0000-0000-00007D6E0000}"/>
    <cellStyle name="Normal 74 4 3 3 2" xfId="18883" xr:uid="{00000000-0005-0000-0000-00007E6E0000}"/>
    <cellStyle name="Normal 74 4 3 3 2 2" xfId="35457" xr:uid="{00000000-0005-0000-0000-00007F6E0000}"/>
    <cellStyle name="Normal 74 4 3 3 3" xfId="27410" xr:uid="{00000000-0005-0000-0000-0000806E0000}"/>
    <cellStyle name="Normal 74 4 3 4" xfId="15110" xr:uid="{00000000-0005-0000-0000-0000816E0000}"/>
    <cellStyle name="Normal 74 4 3 4 2" xfId="31660" xr:uid="{00000000-0005-0000-0000-0000826E0000}"/>
    <cellStyle name="Normal 74 4 3 5" xfId="23617" xr:uid="{00000000-0005-0000-0000-0000836E0000}"/>
    <cellStyle name="Normal 74 4 4" xfId="5626" xr:uid="{00000000-0005-0000-0000-0000846E0000}"/>
    <cellStyle name="Normal 74 4 4 2" xfId="9528" xr:uid="{00000000-0005-0000-0000-0000856E0000}"/>
    <cellStyle name="Normal 74 4 4 2 2" xfId="18884" xr:uid="{00000000-0005-0000-0000-0000866E0000}"/>
    <cellStyle name="Normal 74 4 4 2 2 2" xfId="35458" xr:uid="{00000000-0005-0000-0000-0000876E0000}"/>
    <cellStyle name="Normal 74 4 4 2 3" xfId="27411" xr:uid="{00000000-0005-0000-0000-0000886E0000}"/>
    <cellStyle name="Normal 74 4 4 3" xfId="15112" xr:uid="{00000000-0005-0000-0000-0000896E0000}"/>
    <cellStyle name="Normal 74 4 4 3 2" xfId="31662" xr:uid="{00000000-0005-0000-0000-00008A6E0000}"/>
    <cellStyle name="Normal 74 4 4 4" xfId="23619" xr:uid="{00000000-0005-0000-0000-00008B6E0000}"/>
    <cellStyle name="Normal 74 4 5" xfId="9529" xr:uid="{00000000-0005-0000-0000-00008C6E0000}"/>
    <cellStyle name="Normal 74 4 5 2" xfId="18885" xr:uid="{00000000-0005-0000-0000-00008D6E0000}"/>
    <cellStyle name="Normal 74 4 5 2 2" xfId="35459" xr:uid="{00000000-0005-0000-0000-00008E6E0000}"/>
    <cellStyle name="Normal 74 4 5 3" xfId="27412" xr:uid="{00000000-0005-0000-0000-00008F6E0000}"/>
    <cellStyle name="Normal 74 4 6" xfId="15105" xr:uid="{00000000-0005-0000-0000-0000906E0000}"/>
    <cellStyle name="Normal 74 4 6 2" xfId="31655" xr:uid="{00000000-0005-0000-0000-0000916E0000}"/>
    <cellStyle name="Normal 74 4 7" xfId="23612" xr:uid="{00000000-0005-0000-0000-0000926E0000}"/>
    <cellStyle name="Normal 74 5" xfId="5627" xr:uid="{00000000-0005-0000-0000-0000936E0000}"/>
    <cellStyle name="Normal 74 5 2" xfId="5628" xr:uid="{00000000-0005-0000-0000-0000946E0000}"/>
    <cellStyle name="Normal 74 5 2 2" xfId="5629" xr:uid="{00000000-0005-0000-0000-0000956E0000}"/>
    <cellStyle name="Normal 74 5 2 2 2" xfId="5630" xr:uid="{00000000-0005-0000-0000-0000966E0000}"/>
    <cellStyle name="Normal 74 5 2 2 2 2" xfId="9530" xr:uid="{00000000-0005-0000-0000-0000976E0000}"/>
    <cellStyle name="Normal 74 5 2 2 2 2 2" xfId="18886" xr:uid="{00000000-0005-0000-0000-0000986E0000}"/>
    <cellStyle name="Normal 74 5 2 2 2 2 2 2" xfId="35460" xr:uid="{00000000-0005-0000-0000-0000996E0000}"/>
    <cellStyle name="Normal 74 5 2 2 2 2 3" xfId="27413" xr:uid="{00000000-0005-0000-0000-00009A6E0000}"/>
    <cellStyle name="Normal 74 5 2 2 2 3" xfId="15116" xr:uid="{00000000-0005-0000-0000-00009B6E0000}"/>
    <cellStyle name="Normal 74 5 2 2 2 3 2" xfId="31666" xr:uid="{00000000-0005-0000-0000-00009C6E0000}"/>
    <cellStyle name="Normal 74 5 2 2 2 4" xfId="23623" xr:uid="{00000000-0005-0000-0000-00009D6E0000}"/>
    <cellStyle name="Normal 74 5 2 2 3" xfId="9531" xr:uid="{00000000-0005-0000-0000-00009E6E0000}"/>
    <cellStyle name="Normal 74 5 2 2 3 2" xfId="18887" xr:uid="{00000000-0005-0000-0000-00009F6E0000}"/>
    <cellStyle name="Normal 74 5 2 2 3 2 2" xfId="35461" xr:uid="{00000000-0005-0000-0000-0000A06E0000}"/>
    <cellStyle name="Normal 74 5 2 2 3 3" xfId="27414" xr:uid="{00000000-0005-0000-0000-0000A16E0000}"/>
    <cellStyle name="Normal 74 5 2 2 4" xfId="15115" xr:uid="{00000000-0005-0000-0000-0000A26E0000}"/>
    <cellStyle name="Normal 74 5 2 2 4 2" xfId="31665" xr:uid="{00000000-0005-0000-0000-0000A36E0000}"/>
    <cellStyle name="Normal 74 5 2 2 5" xfId="23622" xr:uid="{00000000-0005-0000-0000-0000A46E0000}"/>
    <cellStyle name="Normal 74 5 2 3" xfId="5631" xr:uid="{00000000-0005-0000-0000-0000A56E0000}"/>
    <cellStyle name="Normal 74 5 2 3 2" xfId="9532" xr:uid="{00000000-0005-0000-0000-0000A66E0000}"/>
    <cellStyle name="Normal 74 5 2 3 2 2" xfId="18888" xr:uid="{00000000-0005-0000-0000-0000A76E0000}"/>
    <cellStyle name="Normal 74 5 2 3 2 2 2" xfId="35462" xr:uid="{00000000-0005-0000-0000-0000A86E0000}"/>
    <cellStyle name="Normal 74 5 2 3 2 3" xfId="27415" xr:uid="{00000000-0005-0000-0000-0000A96E0000}"/>
    <cellStyle name="Normal 74 5 2 3 3" xfId="15117" xr:uid="{00000000-0005-0000-0000-0000AA6E0000}"/>
    <cellStyle name="Normal 74 5 2 3 3 2" xfId="31667" xr:uid="{00000000-0005-0000-0000-0000AB6E0000}"/>
    <cellStyle name="Normal 74 5 2 3 4" xfId="23624" xr:uid="{00000000-0005-0000-0000-0000AC6E0000}"/>
    <cellStyle name="Normal 74 5 2 4" xfId="9533" xr:uid="{00000000-0005-0000-0000-0000AD6E0000}"/>
    <cellStyle name="Normal 74 5 2 4 2" xfId="18889" xr:uid="{00000000-0005-0000-0000-0000AE6E0000}"/>
    <cellStyle name="Normal 74 5 2 4 2 2" xfId="35463" xr:uid="{00000000-0005-0000-0000-0000AF6E0000}"/>
    <cellStyle name="Normal 74 5 2 4 3" xfId="27416" xr:uid="{00000000-0005-0000-0000-0000B06E0000}"/>
    <cellStyle name="Normal 74 5 2 5" xfId="15114" xr:uid="{00000000-0005-0000-0000-0000B16E0000}"/>
    <cellStyle name="Normal 74 5 2 5 2" xfId="31664" xr:uid="{00000000-0005-0000-0000-0000B26E0000}"/>
    <cellStyle name="Normal 74 5 2 6" xfId="23621" xr:uid="{00000000-0005-0000-0000-0000B36E0000}"/>
    <cellStyle name="Normal 74 5 3" xfId="5632" xr:uid="{00000000-0005-0000-0000-0000B46E0000}"/>
    <cellStyle name="Normal 74 5 3 2" xfId="5633" xr:uid="{00000000-0005-0000-0000-0000B56E0000}"/>
    <cellStyle name="Normal 74 5 3 2 2" xfId="9534" xr:uid="{00000000-0005-0000-0000-0000B66E0000}"/>
    <cellStyle name="Normal 74 5 3 2 2 2" xfId="18890" xr:uid="{00000000-0005-0000-0000-0000B76E0000}"/>
    <cellStyle name="Normal 74 5 3 2 2 2 2" xfId="35464" xr:uid="{00000000-0005-0000-0000-0000B86E0000}"/>
    <cellStyle name="Normal 74 5 3 2 2 3" xfId="27417" xr:uid="{00000000-0005-0000-0000-0000B96E0000}"/>
    <cellStyle name="Normal 74 5 3 2 3" xfId="15119" xr:uid="{00000000-0005-0000-0000-0000BA6E0000}"/>
    <cellStyle name="Normal 74 5 3 2 3 2" xfId="31669" xr:uid="{00000000-0005-0000-0000-0000BB6E0000}"/>
    <cellStyle name="Normal 74 5 3 2 4" xfId="23626" xr:uid="{00000000-0005-0000-0000-0000BC6E0000}"/>
    <cellStyle name="Normal 74 5 3 3" xfId="9535" xr:uid="{00000000-0005-0000-0000-0000BD6E0000}"/>
    <cellStyle name="Normal 74 5 3 3 2" xfId="18891" xr:uid="{00000000-0005-0000-0000-0000BE6E0000}"/>
    <cellStyle name="Normal 74 5 3 3 2 2" xfId="35465" xr:uid="{00000000-0005-0000-0000-0000BF6E0000}"/>
    <cellStyle name="Normal 74 5 3 3 3" xfId="27418" xr:uid="{00000000-0005-0000-0000-0000C06E0000}"/>
    <cellStyle name="Normal 74 5 3 4" xfId="15118" xr:uid="{00000000-0005-0000-0000-0000C16E0000}"/>
    <cellStyle name="Normal 74 5 3 4 2" xfId="31668" xr:uid="{00000000-0005-0000-0000-0000C26E0000}"/>
    <cellStyle name="Normal 74 5 3 5" xfId="23625" xr:uid="{00000000-0005-0000-0000-0000C36E0000}"/>
    <cellStyle name="Normal 74 5 4" xfId="5634" xr:uid="{00000000-0005-0000-0000-0000C46E0000}"/>
    <cellStyle name="Normal 74 5 4 2" xfId="9536" xr:uid="{00000000-0005-0000-0000-0000C56E0000}"/>
    <cellStyle name="Normal 74 5 4 2 2" xfId="18892" xr:uid="{00000000-0005-0000-0000-0000C66E0000}"/>
    <cellStyle name="Normal 74 5 4 2 2 2" xfId="35466" xr:uid="{00000000-0005-0000-0000-0000C76E0000}"/>
    <cellStyle name="Normal 74 5 4 2 3" xfId="27419" xr:uid="{00000000-0005-0000-0000-0000C86E0000}"/>
    <cellStyle name="Normal 74 5 4 3" xfId="15120" xr:uid="{00000000-0005-0000-0000-0000C96E0000}"/>
    <cellStyle name="Normal 74 5 4 3 2" xfId="31670" xr:uid="{00000000-0005-0000-0000-0000CA6E0000}"/>
    <cellStyle name="Normal 74 5 4 4" xfId="23627" xr:uid="{00000000-0005-0000-0000-0000CB6E0000}"/>
    <cellStyle name="Normal 74 5 5" xfId="9537" xr:uid="{00000000-0005-0000-0000-0000CC6E0000}"/>
    <cellStyle name="Normal 74 5 5 2" xfId="18893" xr:uid="{00000000-0005-0000-0000-0000CD6E0000}"/>
    <cellStyle name="Normal 74 5 5 2 2" xfId="35467" xr:uid="{00000000-0005-0000-0000-0000CE6E0000}"/>
    <cellStyle name="Normal 74 5 5 3" xfId="27420" xr:uid="{00000000-0005-0000-0000-0000CF6E0000}"/>
    <cellStyle name="Normal 74 5 6" xfId="15113" xr:uid="{00000000-0005-0000-0000-0000D06E0000}"/>
    <cellStyle name="Normal 74 5 6 2" xfId="31663" xr:uid="{00000000-0005-0000-0000-0000D16E0000}"/>
    <cellStyle name="Normal 74 5 7" xfId="23620" xr:uid="{00000000-0005-0000-0000-0000D26E0000}"/>
    <cellStyle name="Normal 74 6" xfId="5635" xr:uid="{00000000-0005-0000-0000-0000D36E0000}"/>
    <cellStyle name="Normal 74 6 2" xfId="5636" xr:uid="{00000000-0005-0000-0000-0000D46E0000}"/>
    <cellStyle name="Normal 74 6 2 2" xfId="5637" xr:uid="{00000000-0005-0000-0000-0000D56E0000}"/>
    <cellStyle name="Normal 74 6 2 2 2" xfId="9538" xr:uid="{00000000-0005-0000-0000-0000D66E0000}"/>
    <cellStyle name="Normal 74 6 2 2 2 2" xfId="18894" xr:uid="{00000000-0005-0000-0000-0000D76E0000}"/>
    <cellStyle name="Normal 74 6 2 2 2 2 2" xfId="35468" xr:uid="{00000000-0005-0000-0000-0000D86E0000}"/>
    <cellStyle name="Normal 74 6 2 2 2 3" xfId="27421" xr:uid="{00000000-0005-0000-0000-0000D96E0000}"/>
    <cellStyle name="Normal 74 6 2 2 3" xfId="15123" xr:uid="{00000000-0005-0000-0000-0000DA6E0000}"/>
    <cellStyle name="Normal 74 6 2 2 3 2" xfId="31673" xr:uid="{00000000-0005-0000-0000-0000DB6E0000}"/>
    <cellStyle name="Normal 74 6 2 2 4" xfId="23630" xr:uid="{00000000-0005-0000-0000-0000DC6E0000}"/>
    <cellStyle name="Normal 74 6 2 3" xfId="9539" xr:uid="{00000000-0005-0000-0000-0000DD6E0000}"/>
    <cellStyle name="Normal 74 6 2 3 2" xfId="18895" xr:uid="{00000000-0005-0000-0000-0000DE6E0000}"/>
    <cellStyle name="Normal 74 6 2 3 2 2" xfId="35469" xr:uid="{00000000-0005-0000-0000-0000DF6E0000}"/>
    <cellStyle name="Normal 74 6 2 3 3" xfId="27422" xr:uid="{00000000-0005-0000-0000-0000E06E0000}"/>
    <cellStyle name="Normal 74 6 2 4" xfId="15122" xr:uid="{00000000-0005-0000-0000-0000E16E0000}"/>
    <cellStyle name="Normal 74 6 2 4 2" xfId="31672" xr:uid="{00000000-0005-0000-0000-0000E26E0000}"/>
    <cellStyle name="Normal 74 6 2 5" xfId="23629" xr:uid="{00000000-0005-0000-0000-0000E36E0000}"/>
    <cellStyle name="Normal 74 6 3" xfId="5638" xr:uid="{00000000-0005-0000-0000-0000E46E0000}"/>
    <cellStyle name="Normal 74 6 3 2" xfId="9540" xr:uid="{00000000-0005-0000-0000-0000E56E0000}"/>
    <cellStyle name="Normal 74 6 3 2 2" xfId="18896" xr:uid="{00000000-0005-0000-0000-0000E66E0000}"/>
    <cellStyle name="Normal 74 6 3 2 2 2" xfId="35470" xr:uid="{00000000-0005-0000-0000-0000E76E0000}"/>
    <cellStyle name="Normal 74 6 3 2 3" xfId="27423" xr:uid="{00000000-0005-0000-0000-0000E86E0000}"/>
    <cellStyle name="Normal 74 6 3 3" xfId="15124" xr:uid="{00000000-0005-0000-0000-0000E96E0000}"/>
    <cellStyle name="Normal 74 6 3 3 2" xfId="31674" xr:uid="{00000000-0005-0000-0000-0000EA6E0000}"/>
    <cellStyle name="Normal 74 6 3 4" xfId="23631" xr:uid="{00000000-0005-0000-0000-0000EB6E0000}"/>
    <cellStyle name="Normal 74 6 4" xfId="9541" xr:uid="{00000000-0005-0000-0000-0000EC6E0000}"/>
    <cellStyle name="Normal 74 6 4 2" xfId="18897" xr:uid="{00000000-0005-0000-0000-0000ED6E0000}"/>
    <cellStyle name="Normal 74 6 4 2 2" xfId="35471" xr:uid="{00000000-0005-0000-0000-0000EE6E0000}"/>
    <cellStyle name="Normal 74 6 4 3" xfId="27424" xr:uid="{00000000-0005-0000-0000-0000EF6E0000}"/>
    <cellStyle name="Normal 74 6 5" xfId="15121" xr:uid="{00000000-0005-0000-0000-0000F06E0000}"/>
    <cellStyle name="Normal 74 6 5 2" xfId="31671" xr:uid="{00000000-0005-0000-0000-0000F16E0000}"/>
    <cellStyle name="Normal 74 6 6" xfId="23628" xr:uid="{00000000-0005-0000-0000-0000F26E0000}"/>
    <cellStyle name="Normal 74 7" xfId="5639" xr:uid="{00000000-0005-0000-0000-0000F36E0000}"/>
    <cellStyle name="Normal 74 7 2" xfId="5640" xr:uid="{00000000-0005-0000-0000-0000F46E0000}"/>
    <cellStyle name="Normal 74 7 2 2" xfId="9542" xr:uid="{00000000-0005-0000-0000-0000F56E0000}"/>
    <cellStyle name="Normal 74 7 2 2 2" xfId="18898" xr:uid="{00000000-0005-0000-0000-0000F66E0000}"/>
    <cellStyle name="Normal 74 7 2 2 2 2" xfId="35472" xr:uid="{00000000-0005-0000-0000-0000F76E0000}"/>
    <cellStyle name="Normal 74 7 2 2 3" xfId="27425" xr:uid="{00000000-0005-0000-0000-0000F86E0000}"/>
    <cellStyle name="Normal 74 7 2 3" xfId="15126" xr:uid="{00000000-0005-0000-0000-0000F96E0000}"/>
    <cellStyle name="Normal 74 7 2 3 2" xfId="31676" xr:uid="{00000000-0005-0000-0000-0000FA6E0000}"/>
    <cellStyle name="Normal 74 7 2 4" xfId="23633" xr:uid="{00000000-0005-0000-0000-0000FB6E0000}"/>
    <cellStyle name="Normal 74 7 3" xfId="9543" xr:uid="{00000000-0005-0000-0000-0000FC6E0000}"/>
    <cellStyle name="Normal 74 7 3 2" xfId="18899" xr:uid="{00000000-0005-0000-0000-0000FD6E0000}"/>
    <cellStyle name="Normal 74 7 3 2 2" xfId="35473" xr:uid="{00000000-0005-0000-0000-0000FE6E0000}"/>
    <cellStyle name="Normal 74 7 3 3" xfId="27426" xr:uid="{00000000-0005-0000-0000-0000FF6E0000}"/>
    <cellStyle name="Normal 74 7 4" xfId="15125" xr:uid="{00000000-0005-0000-0000-0000006F0000}"/>
    <cellStyle name="Normal 74 7 4 2" xfId="31675" xr:uid="{00000000-0005-0000-0000-0000016F0000}"/>
    <cellStyle name="Normal 74 7 5" xfId="23632" xr:uid="{00000000-0005-0000-0000-0000026F0000}"/>
    <cellStyle name="Normal 74 8" xfId="5641" xr:uid="{00000000-0005-0000-0000-0000036F0000}"/>
    <cellStyle name="Normal 74 8 2" xfId="9544" xr:uid="{00000000-0005-0000-0000-0000046F0000}"/>
    <cellStyle name="Normal 74 8 2 2" xfId="18900" xr:uid="{00000000-0005-0000-0000-0000056F0000}"/>
    <cellStyle name="Normal 74 8 2 2 2" xfId="35474" xr:uid="{00000000-0005-0000-0000-0000066F0000}"/>
    <cellStyle name="Normal 74 8 2 3" xfId="27427" xr:uid="{00000000-0005-0000-0000-0000076F0000}"/>
    <cellStyle name="Normal 74 8 3" xfId="15127" xr:uid="{00000000-0005-0000-0000-0000086F0000}"/>
    <cellStyle name="Normal 74 8 3 2" xfId="31677" xr:uid="{00000000-0005-0000-0000-0000096F0000}"/>
    <cellStyle name="Normal 74 8 4" xfId="23634" xr:uid="{00000000-0005-0000-0000-00000A6F0000}"/>
    <cellStyle name="Normal 74 9" xfId="9545" xr:uid="{00000000-0005-0000-0000-00000B6F0000}"/>
    <cellStyle name="Normal 74 9 2" xfId="18901" xr:uid="{00000000-0005-0000-0000-00000C6F0000}"/>
    <cellStyle name="Normal 74 9 2 2" xfId="35475" xr:uid="{00000000-0005-0000-0000-00000D6F0000}"/>
    <cellStyle name="Normal 74 9 3" xfId="27428" xr:uid="{00000000-0005-0000-0000-00000E6F0000}"/>
    <cellStyle name="Normal 75" xfId="5642" xr:uid="{00000000-0005-0000-0000-00000F6F0000}"/>
    <cellStyle name="Normal 75 10" xfId="15128" xr:uid="{00000000-0005-0000-0000-0000106F0000}"/>
    <cellStyle name="Normal 75 10 2" xfId="31678" xr:uid="{00000000-0005-0000-0000-0000116F0000}"/>
    <cellStyle name="Normal 75 11" xfId="23635" xr:uid="{00000000-0005-0000-0000-0000126F0000}"/>
    <cellStyle name="Normal 75 2" xfId="5643" xr:uid="{00000000-0005-0000-0000-0000136F0000}"/>
    <cellStyle name="Normal 75 2 2" xfId="5644" xr:uid="{00000000-0005-0000-0000-0000146F0000}"/>
    <cellStyle name="Normal 75 2 3" xfId="15129" xr:uid="{00000000-0005-0000-0000-0000156F0000}"/>
    <cellStyle name="Normal 75 2 3 2" xfId="31679" xr:uid="{00000000-0005-0000-0000-0000166F0000}"/>
    <cellStyle name="Normal 75 2 4" xfId="23636" xr:uid="{00000000-0005-0000-0000-0000176F0000}"/>
    <cellStyle name="Normal 75 3" xfId="5645" xr:uid="{00000000-0005-0000-0000-0000186F0000}"/>
    <cellStyle name="Normal 75 3 2" xfId="5646" xr:uid="{00000000-0005-0000-0000-0000196F0000}"/>
    <cellStyle name="Normal 75 3 2 2" xfId="5647" xr:uid="{00000000-0005-0000-0000-00001A6F0000}"/>
    <cellStyle name="Normal 75 3 2 2 2" xfId="5648" xr:uid="{00000000-0005-0000-0000-00001B6F0000}"/>
    <cellStyle name="Normal 75 3 2 2 2 2" xfId="9546" xr:uid="{00000000-0005-0000-0000-00001C6F0000}"/>
    <cellStyle name="Normal 75 3 2 2 2 2 2" xfId="18902" xr:uid="{00000000-0005-0000-0000-00001D6F0000}"/>
    <cellStyle name="Normal 75 3 2 2 2 2 2 2" xfId="35476" xr:uid="{00000000-0005-0000-0000-00001E6F0000}"/>
    <cellStyle name="Normal 75 3 2 2 2 2 3" xfId="27429" xr:uid="{00000000-0005-0000-0000-00001F6F0000}"/>
    <cellStyle name="Normal 75 3 2 2 2 3" xfId="15132" xr:uid="{00000000-0005-0000-0000-0000206F0000}"/>
    <cellStyle name="Normal 75 3 2 2 2 3 2" xfId="31682" xr:uid="{00000000-0005-0000-0000-0000216F0000}"/>
    <cellStyle name="Normal 75 3 2 2 2 4" xfId="23639" xr:uid="{00000000-0005-0000-0000-0000226F0000}"/>
    <cellStyle name="Normal 75 3 2 2 3" xfId="9547" xr:uid="{00000000-0005-0000-0000-0000236F0000}"/>
    <cellStyle name="Normal 75 3 2 2 3 2" xfId="18903" xr:uid="{00000000-0005-0000-0000-0000246F0000}"/>
    <cellStyle name="Normal 75 3 2 2 3 2 2" xfId="35477" xr:uid="{00000000-0005-0000-0000-0000256F0000}"/>
    <cellStyle name="Normal 75 3 2 2 3 3" xfId="27430" xr:uid="{00000000-0005-0000-0000-0000266F0000}"/>
    <cellStyle name="Normal 75 3 2 2 4" xfId="15131" xr:uid="{00000000-0005-0000-0000-0000276F0000}"/>
    <cellStyle name="Normal 75 3 2 2 4 2" xfId="31681" xr:uid="{00000000-0005-0000-0000-0000286F0000}"/>
    <cellStyle name="Normal 75 3 2 2 5" xfId="23638" xr:uid="{00000000-0005-0000-0000-0000296F0000}"/>
    <cellStyle name="Normal 75 3 2 3" xfId="5649" xr:uid="{00000000-0005-0000-0000-00002A6F0000}"/>
    <cellStyle name="Normal 75 3 2 3 2" xfId="9548" xr:uid="{00000000-0005-0000-0000-00002B6F0000}"/>
    <cellStyle name="Normal 75 3 2 3 2 2" xfId="18904" xr:uid="{00000000-0005-0000-0000-00002C6F0000}"/>
    <cellStyle name="Normal 75 3 2 3 2 2 2" xfId="35478" xr:uid="{00000000-0005-0000-0000-00002D6F0000}"/>
    <cellStyle name="Normal 75 3 2 3 2 3" xfId="27431" xr:uid="{00000000-0005-0000-0000-00002E6F0000}"/>
    <cellStyle name="Normal 75 3 2 3 3" xfId="15133" xr:uid="{00000000-0005-0000-0000-00002F6F0000}"/>
    <cellStyle name="Normal 75 3 2 3 3 2" xfId="31683" xr:uid="{00000000-0005-0000-0000-0000306F0000}"/>
    <cellStyle name="Normal 75 3 2 3 4" xfId="23640" xr:uid="{00000000-0005-0000-0000-0000316F0000}"/>
    <cellStyle name="Normal 75 3 2 4" xfId="9549" xr:uid="{00000000-0005-0000-0000-0000326F0000}"/>
    <cellStyle name="Normal 75 3 2 4 2" xfId="18905" xr:uid="{00000000-0005-0000-0000-0000336F0000}"/>
    <cellStyle name="Normal 75 3 2 4 2 2" xfId="35479" xr:uid="{00000000-0005-0000-0000-0000346F0000}"/>
    <cellStyle name="Normal 75 3 2 4 3" xfId="27432" xr:uid="{00000000-0005-0000-0000-0000356F0000}"/>
    <cellStyle name="Normal 75 3 2 5" xfId="15130" xr:uid="{00000000-0005-0000-0000-0000366F0000}"/>
    <cellStyle name="Normal 75 3 2 5 2" xfId="31680" xr:uid="{00000000-0005-0000-0000-0000376F0000}"/>
    <cellStyle name="Normal 75 3 2 6" xfId="23637" xr:uid="{00000000-0005-0000-0000-0000386F0000}"/>
    <cellStyle name="Normal 75 3 3" xfId="5650" xr:uid="{00000000-0005-0000-0000-0000396F0000}"/>
    <cellStyle name="Normal 75 3 3 2" xfId="5651" xr:uid="{00000000-0005-0000-0000-00003A6F0000}"/>
    <cellStyle name="Normal 75 3 3 2 2" xfId="9550" xr:uid="{00000000-0005-0000-0000-00003B6F0000}"/>
    <cellStyle name="Normal 75 3 3 2 2 2" xfId="18906" xr:uid="{00000000-0005-0000-0000-00003C6F0000}"/>
    <cellStyle name="Normal 75 3 3 2 2 2 2" xfId="35480" xr:uid="{00000000-0005-0000-0000-00003D6F0000}"/>
    <cellStyle name="Normal 75 3 3 2 2 3" xfId="27433" xr:uid="{00000000-0005-0000-0000-00003E6F0000}"/>
    <cellStyle name="Normal 75 3 3 2 3" xfId="15135" xr:uid="{00000000-0005-0000-0000-00003F6F0000}"/>
    <cellStyle name="Normal 75 3 3 2 3 2" xfId="31685" xr:uid="{00000000-0005-0000-0000-0000406F0000}"/>
    <cellStyle name="Normal 75 3 3 2 4" xfId="23642" xr:uid="{00000000-0005-0000-0000-0000416F0000}"/>
    <cellStyle name="Normal 75 3 3 3" xfId="9551" xr:uid="{00000000-0005-0000-0000-0000426F0000}"/>
    <cellStyle name="Normal 75 3 3 3 2" xfId="18907" xr:uid="{00000000-0005-0000-0000-0000436F0000}"/>
    <cellStyle name="Normal 75 3 3 3 2 2" xfId="35481" xr:uid="{00000000-0005-0000-0000-0000446F0000}"/>
    <cellStyle name="Normal 75 3 3 3 3" xfId="27434" xr:uid="{00000000-0005-0000-0000-0000456F0000}"/>
    <cellStyle name="Normal 75 3 3 4" xfId="15134" xr:uid="{00000000-0005-0000-0000-0000466F0000}"/>
    <cellStyle name="Normal 75 3 3 4 2" xfId="31684" xr:uid="{00000000-0005-0000-0000-0000476F0000}"/>
    <cellStyle name="Normal 75 3 3 5" xfId="23641" xr:uid="{00000000-0005-0000-0000-0000486F0000}"/>
    <cellStyle name="Normal 75 3 4" xfId="5652" xr:uid="{00000000-0005-0000-0000-0000496F0000}"/>
    <cellStyle name="Normal 75 3 4 2" xfId="9552" xr:uid="{00000000-0005-0000-0000-00004A6F0000}"/>
    <cellStyle name="Normal 75 3 4 2 2" xfId="18908" xr:uid="{00000000-0005-0000-0000-00004B6F0000}"/>
    <cellStyle name="Normal 75 3 4 2 2 2" xfId="35482" xr:uid="{00000000-0005-0000-0000-00004C6F0000}"/>
    <cellStyle name="Normal 75 3 4 2 3" xfId="27435" xr:uid="{00000000-0005-0000-0000-00004D6F0000}"/>
    <cellStyle name="Normal 75 3 4 3" xfId="15136" xr:uid="{00000000-0005-0000-0000-00004E6F0000}"/>
    <cellStyle name="Normal 75 3 4 3 2" xfId="31686" xr:uid="{00000000-0005-0000-0000-00004F6F0000}"/>
    <cellStyle name="Normal 75 3 4 4" xfId="23643" xr:uid="{00000000-0005-0000-0000-0000506F0000}"/>
    <cellStyle name="Normal 75 3 5" xfId="5653" xr:uid="{00000000-0005-0000-0000-0000516F0000}"/>
    <cellStyle name="Normal 75 3 5 2" xfId="15137" xr:uid="{00000000-0005-0000-0000-0000526F0000}"/>
    <cellStyle name="Normal 75 3 5 2 2" xfId="31687" xr:uid="{00000000-0005-0000-0000-0000536F0000}"/>
    <cellStyle name="Normal 75 3 5 3" xfId="23644" xr:uid="{00000000-0005-0000-0000-0000546F0000}"/>
    <cellStyle name="Normal 75 4" xfId="5654" xr:uid="{00000000-0005-0000-0000-0000556F0000}"/>
    <cellStyle name="Normal 75 4 2" xfId="5655" xr:uid="{00000000-0005-0000-0000-0000566F0000}"/>
    <cellStyle name="Normal 75 4 2 2" xfId="5656" xr:uid="{00000000-0005-0000-0000-0000576F0000}"/>
    <cellStyle name="Normal 75 4 2 2 2" xfId="5657" xr:uid="{00000000-0005-0000-0000-0000586F0000}"/>
    <cellStyle name="Normal 75 4 2 2 2 2" xfId="9553" xr:uid="{00000000-0005-0000-0000-0000596F0000}"/>
    <cellStyle name="Normal 75 4 2 2 2 2 2" xfId="18909" xr:uid="{00000000-0005-0000-0000-00005A6F0000}"/>
    <cellStyle name="Normal 75 4 2 2 2 2 2 2" xfId="35483" xr:uid="{00000000-0005-0000-0000-00005B6F0000}"/>
    <cellStyle name="Normal 75 4 2 2 2 2 3" xfId="27436" xr:uid="{00000000-0005-0000-0000-00005C6F0000}"/>
    <cellStyle name="Normal 75 4 2 2 2 3" xfId="15141" xr:uid="{00000000-0005-0000-0000-00005D6F0000}"/>
    <cellStyle name="Normal 75 4 2 2 2 3 2" xfId="31691" xr:uid="{00000000-0005-0000-0000-00005E6F0000}"/>
    <cellStyle name="Normal 75 4 2 2 2 4" xfId="23648" xr:uid="{00000000-0005-0000-0000-00005F6F0000}"/>
    <cellStyle name="Normal 75 4 2 2 3" xfId="9554" xr:uid="{00000000-0005-0000-0000-0000606F0000}"/>
    <cellStyle name="Normal 75 4 2 2 3 2" xfId="18910" xr:uid="{00000000-0005-0000-0000-0000616F0000}"/>
    <cellStyle name="Normal 75 4 2 2 3 2 2" xfId="35484" xr:uid="{00000000-0005-0000-0000-0000626F0000}"/>
    <cellStyle name="Normal 75 4 2 2 3 3" xfId="27437" xr:uid="{00000000-0005-0000-0000-0000636F0000}"/>
    <cellStyle name="Normal 75 4 2 2 4" xfId="15140" xr:uid="{00000000-0005-0000-0000-0000646F0000}"/>
    <cellStyle name="Normal 75 4 2 2 4 2" xfId="31690" xr:uid="{00000000-0005-0000-0000-0000656F0000}"/>
    <cellStyle name="Normal 75 4 2 2 5" xfId="23647" xr:uid="{00000000-0005-0000-0000-0000666F0000}"/>
    <cellStyle name="Normal 75 4 2 3" xfId="5658" xr:uid="{00000000-0005-0000-0000-0000676F0000}"/>
    <cellStyle name="Normal 75 4 2 3 2" xfId="9555" xr:uid="{00000000-0005-0000-0000-0000686F0000}"/>
    <cellStyle name="Normal 75 4 2 3 2 2" xfId="18911" xr:uid="{00000000-0005-0000-0000-0000696F0000}"/>
    <cellStyle name="Normal 75 4 2 3 2 2 2" xfId="35485" xr:uid="{00000000-0005-0000-0000-00006A6F0000}"/>
    <cellStyle name="Normal 75 4 2 3 2 3" xfId="27438" xr:uid="{00000000-0005-0000-0000-00006B6F0000}"/>
    <cellStyle name="Normal 75 4 2 3 3" xfId="15142" xr:uid="{00000000-0005-0000-0000-00006C6F0000}"/>
    <cellStyle name="Normal 75 4 2 3 3 2" xfId="31692" xr:uid="{00000000-0005-0000-0000-00006D6F0000}"/>
    <cellStyle name="Normal 75 4 2 3 4" xfId="23649" xr:uid="{00000000-0005-0000-0000-00006E6F0000}"/>
    <cellStyle name="Normal 75 4 2 4" xfId="9556" xr:uid="{00000000-0005-0000-0000-00006F6F0000}"/>
    <cellStyle name="Normal 75 4 2 4 2" xfId="18912" xr:uid="{00000000-0005-0000-0000-0000706F0000}"/>
    <cellStyle name="Normal 75 4 2 4 2 2" xfId="35486" xr:uid="{00000000-0005-0000-0000-0000716F0000}"/>
    <cellStyle name="Normal 75 4 2 4 3" xfId="27439" xr:uid="{00000000-0005-0000-0000-0000726F0000}"/>
    <cellStyle name="Normal 75 4 2 5" xfId="15139" xr:uid="{00000000-0005-0000-0000-0000736F0000}"/>
    <cellStyle name="Normal 75 4 2 5 2" xfId="31689" xr:uid="{00000000-0005-0000-0000-0000746F0000}"/>
    <cellStyle name="Normal 75 4 2 6" xfId="23646" xr:uid="{00000000-0005-0000-0000-0000756F0000}"/>
    <cellStyle name="Normal 75 4 3" xfId="5659" xr:uid="{00000000-0005-0000-0000-0000766F0000}"/>
    <cellStyle name="Normal 75 4 3 2" xfId="5660" xr:uid="{00000000-0005-0000-0000-0000776F0000}"/>
    <cellStyle name="Normal 75 4 3 2 2" xfId="9557" xr:uid="{00000000-0005-0000-0000-0000786F0000}"/>
    <cellStyle name="Normal 75 4 3 2 2 2" xfId="18913" xr:uid="{00000000-0005-0000-0000-0000796F0000}"/>
    <cellStyle name="Normal 75 4 3 2 2 2 2" xfId="35487" xr:uid="{00000000-0005-0000-0000-00007A6F0000}"/>
    <cellStyle name="Normal 75 4 3 2 2 3" xfId="27440" xr:uid="{00000000-0005-0000-0000-00007B6F0000}"/>
    <cellStyle name="Normal 75 4 3 2 3" xfId="15144" xr:uid="{00000000-0005-0000-0000-00007C6F0000}"/>
    <cellStyle name="Normal 75 4 3 2 3 2" xfId="31694" xr:uid="{00000000-0005-0000-0000-00007D6F0000}"/>
    <cellStyle name="Normal 75 4 3 2 4" xfId="23651" xr:uid="{00000000-0005-0000-0000-00007E6F0000}"/>
    <cellStyle name="Normal 75 4 3 3" xfId="9558" xr:uid="{00000000-0005-0000-0000-00007F6F0000}"/>
    <cellStyle name="Normal 75 4 3 3 2" xfId="18914" xr:uid="{00000000-0005-0000-0000-0000806F0000}"/>
    <cellStyle name="Normal 75 4 3 3 2 2" xfId="35488" xr:uid="{00000000-0005-0000-0000-0000816F0000}"/>
    <cellStyle name="Normal 75 4 3 3 3" xfId="27441" xr:uid="{00000000-0005-0000-0000-0000826F0000}"/>
    <cellStyle name="Normal 75 4 3 4" xfId="15143" xr:uid="{00000000-0005-0000-0000-0000836F0000}"/>
    <cellStyle name="Normal 75 4 3 4 2" xfId="31693" xr:uid="{00000000-0005-0000-0000-0000846F0000}"/>
    <cellStyle name="Normal 75 4 3 5" xfId="23650" xr:uid="{00000000-0005-0000-0000-0000856F0000}"/>
    <cellStyle name="Normal 75 4 4" xfId="5661" xr:uid="{00000000-0005-0000-0000-0000866F0000}"/>
    <cellStyle name="Normal 75 4 4 2" xfId="9559" xr:uid="{00000000-0005-0000-0000-0000876F0000}"/>
    <cellStyle name="Normal 75 4 4 2 2" xfId="18915" xr:uid="{00000000-0005-0000-0000-0000886F0000}"/>
    <cellStyle name="Normal 75 4 4 2 2 2" xfId="35489" xr:uid="{00000000-0005-0000-0000-0000896F0000}"/>
    <cellStyle name="Normal 75 4 4 2 3" xfId="27442" xr:uid="{00000000-0005-0000-0000-00008A6F0000}"/>
    <cellStyle name="Normal 75 4 4 3" xfId="15145" xr:uid="{00000000-0005-0000-0000-00008B6F0000}"/>
    <cellStyle name="Normal 75 4 4 3 2" xfId="31695" xr:uid="{00000000-0005-0000-0000-00008C6F0000}"/>
    <cellStyle name="Normal 75 4 4 4" xfId="23652" xr:uid="{00000000-0005-0000-0000-00008D6F0000}"/>
    <cellStyle name="Normal 75 4 5" xfId="9560" xr:uid="{00000000-0005-0000-0000-00008E6F0000}"/>
    <cellStyle name="Normal 75 4 5 2" xfId="18916" xr:uid="{00000000-0005-0000-0000-00008F6F0000}"/>
    <cellStyle name="Normal 75 4 5 2 2" xfId="35490" xr:uid="{00000000-0005-0000-0000-0000906F0000}"/>
    <cellStyle name="Normal 75 4 5 3" xfId="27443" xr:uid="{00000000-0005-0000-0000-0000916F0000}"/>
    <cellStyle name="Normal 75 4 6" xfId="15138" xr:uid="{00000000-0005-0000-0000-0000926F0000}"/>
    <cellStyle name="Normal 75 4 6 2" xfId="31688" xr:uid="{00000000-0005-0000-0000-0000936F0000}"/>
    <cellStyle name="Normal 75 4 7" xfId="23645" xr:uid="{00000000-0005-0000-0000-0000946F0000}"/>
    <cellStyle name="Normal 75 5" xfId="5662" xr:uid="{00000000-0005-0000-0000-0000956F0000}"/>
    <cellStyle name="Normal 75 5 2" xfId="5663" xr:uid="{00000000-0005-0000-0000-0000966F0000}"/>
    <cellStyle name="Normal 75 5 2 2" xfId="5664" xr:uid="{00000000-0005-0000-0000-0000976F0000}"/>
    <cellStyle name="Normal 75 5 2 2 2" xfId="5665" xr:uid="{00000000-0005-0000-0000-0000986F0000}"/>
    <cellStyle name="Normal 75 5 2 2 2 2" xfId="9561" xr:uid="{00000000-0005-0000-0000-0000996F0000}"/>
    <cellStyle name="Normal 75 5 2 2 2 2 2" xfId="18917" xr:uid="{00000000-0005-0000-0000-00009A6F0000}"/>
    <cellStyle name="Normal 75 5 2 2 2 2 2 2" xfId="35491" xr:uid="{00000000-0005-0000-0000-00009B6F0000}"/>
    <cellStyle name="Normal 75 5 2 2 2 2 3" xfId="27444" xr:uid="{00000000-0005-0000-0000-00009C6F0000}"/>
    <cellStyle name="Normal 75 5 2 2 2 3" xfId="15149" xr:uid="{00000000-0005-0000-0000-00009D6F0000}"/>
    <cellStyle name="Normal 75 5 2 2 2 3 2" xfId="31699" xr:uid="{00000000-0005-0000-0000-00009E6F0000}"/>
    <cellStyle name="Normal 75 5 2 2 2 4" xfId="23656" xr:uid="{00000000-0005-0000-0000-00009F6F0000}"/>
    <cellStyle name="Normal 75 5 2 2 3" xfId="9562" xr:uid="{00000000-0005-0000-0000-0000A06F0000}"/>
    <cellStyle name="Normal 75 5 2 2 3 2" xfId="18918" xr:uid="{00000000-0005-0000-0000-0000A16F0000}"/>
    <cellStyle name="Normal 75 5 2 2 3 2 2" xfId="35492" xr:uid="{00000000-0005-0000-0000-0000A26F0000}"/>
    <cellStyle name="Normal 75 5 2 2 3 3" xfId="27445" xr:uid="{00000000-0005-0000-0000-0000A36F0000}"/>
    <cellStyle name="Normal 75 5 2 2 4" xfId="15148" xr:uid="{00000000-0005-0000-0000-0000A46F0000}"/>
    <cellStyle name="Normal 75 5 2 2 4 2" xfId="31698" xr:uid="{00000000-0005-0000-0000-0000A56F0000}"/>
    <cellStyle name="Normal 75 5 2 2 5" xfId="23655" xr:uid="{00000000-0005-0000-0000-0000A66F0000}"/>
    <cellStyle name="Normal 75 5 2 3" xfId="5666" xr:uid="{00000000-0005-0000-0000-0000A76F0000}"/>
    <cellStyle name="Normal 75 5 2 3 2" xfId="9563" xr:uid="{00000000-0005-0000-0000-0000A86F0000}"/>
    <cellStyle name="Normal 75 5 2 3 2 2" xfId="18919" xr:uid="{00000000-0005-0000-0000-0000A96F0000}"/>
    <cellStyle name="Normal 75 5 2 3 2 2 2" xfId="35493" xr:uid="{00000000-0005-0000-0000-0000AA6F0000}"/>
    <cellStyle name="Normal 75 5 2 3 2 3" xfId="27446" xr:uid="{00000000-0005-0000-0000-0000AB6F0000}"/>
    <cellStyle name="Normal 75 5 2 3 3" xfId="15150" xr:uid="{00000000-0005-0000-0000-0000AC6F0000}"/>
    <cellStyle name="Normal 75 5 2 3 3 2" xfId="31700" xr:uid="{00000000-0005-0000-0000-0000AD6F0000}"/>
    <cellStyle name="Normal 75 5 2 3 4" xfId="23657" xr:uid="{00000000-0005-0000-0000-0000AE6F0000}"/>
    <cellStyle name="Normal 75 5 2 4" xfId="9564" xr:uid="{00000000-0005-0000-0000-0000AF6F0000}"/>
    <cellStyle name="Normal 75 5 2 4 2" xfId="18920" xr:uid="{00000000-0005-0000-0000-0000B06F0000}"/>
    <cellStyle name="Normal 75 5 2 4 2 2" xfId="35494" xr:uid="{00000000-0005-0000-0000-0000B16F0000}"/>
    <cellStyle name="Normal 75 5 2 4 3" xfId="27447" xr:uid="{00000000-0005-0000-0000-0000B26F0000}"/>
    <cellStyle name="Normal 75 5 2 5" xfId="15147" xr:uid="{00000000-0005-0000-0000-0000B36F0000}"/>
    <cellStyle name="Normal 75 5 2 5 2" xfId="31697" xr:uid="{00000000-0005-0000-0000-0000B46F0000}"/>
    <cellStyle name="Normal 75 5 2 6" xfId="23654" xr:uid="{00000000-0005-0000-0000-0000B56F0000}"/>
    <cellStyle name="Normal 75 5 3" xfId="5667" xr:uid="{00000000-0005-0000-0000-0000B66F0000}"/>
    <cellStyle name="Normal 75 5 3 2" xfId="5668" xr:uid="{00000000-0005-0000-0000-0000B76F0000}"/>
    <cellStyle name="Normal 75 5 3 2 2" xfId="9565" xr:uid="{00000000-0005-0000-0000-0000B86F0000}"/>
    <cellStyle name="Normal 75 5 3 2 2 2" xfId="18921" xr:uid="{00000000-0005-0000-0000-0000B96F0000}"/>
    <cellStyle name="Normal 75 5 3 2 2 2 2" xfId="35495" xr:uid="{00000000-0005-0000-0000-0000BA6F0000}"/>
    <cellStyle name="Normal 75 5 3 2 2 3" xfId="27448" xr:uid="{00000000-0005-0000-0000-0000BB6F0000}"/>
    <cellStyle name="Normal 75 5 3 2 3" xfId="15152" xr:uid="{00000000-0005-0000-0000-0000BC6F0000}"/>
    <cellStyle name="Normal 75 5 3 2 3 2" xfId="31702" xr:uid="{00000000-0005-0000-0000-0000BD6F0000}"/>
    <cellStyle name="Normal 75 5 3 2 4" xfId="23659" xr:uid="{00000000-0005-0000-0000-0000BE6F0000}"/>
    <cellStyle name="Normal 75 5 3 3" xfId="9566" xr:uid="{00000000-0005-0000-0000-0000BF6F0000}"/>
    <cellStyle name="Normal 75 5 3 3 2" xfId="18922" xr:uid="{00000000-0005-0000-0000-0000C06F0000}"/>
    <cellStyle name="Normal 75 5 3 3 2 2" xfId="35496" xr:uid="{00000000-0005-0000-0000-0000C16F0000}"/>
    <cellStyle name="Normal 75 5 3 3 3" xfId="27449" xr:uid="{00000000-0005-0000-0000-0000C26F0000}"/>
    <cellStyle name="Normal 75 5 3 4" xfId="15151" xr:uid="{00000000-0005-0000-0000-0000C36F0000}"/>
    <cellStyle name="Normal 75 5 3 4 2" xfId="31701" xr:uid="{00000000-0005-0000-0000-0000C46F0000}"/>
    <cellStyle name="Normal 75 5 3 5" xfId="23658" xr:uid="{00000000-0005-0000-0000-0000C56F0000}"/>
    <cellStyle name="Normal 75 5 4" xfId="5669" xr:uid="{00000000-0005-0000-0000-0000C66F0000}"/>
    <cellStyle name="Normal 75 5 4 2" xfId="9567" xr:uid="{00000000-0005-0000-0000-0000C76F0000}"/>
    <cellStyle name="Normal 75 5 4 2 2" xfId="18923" xr:uid="{00000000-0005-0000-0000-0000C86F0000}"/>
    <cellStyle name="Normal 75 5 4 2 2 2" xfId="35497" xr:uid="{00000000-0005-0000-0000-0000C96F0000}"/>
    <cellStyle name="Normal 75 5 4 2 3" xfId="27450" xr:uid="{00000000-0005-0000-0000-0000CA6F0000}"/>
    <cellStyle name="Normal 75 5 4 3" xfId="15153" xr:uid="{00000000-0005-0000-0000-0000CB6F0000}"/>
    <cellStyle name="Normal 75 5 4 3 2" xfId="31703" xr:uid="{00000000-0005-0000-0000-0000CC6F0000}"/>
    <cellStyle name="Normal 75 5 4 4" xfId="23660" xr:uid="{00000000-0005-0000-0000-0000CD6F0000}"/>
    <cellStyle name="Normal 75 5 5" xfId="9568" xr:uid="{00000000-0005-0000-0000-0000CE6F0000}"/>
    <cellStyle name="Normal 75 5 5 2" xfId="18924" xr:uid="{00000000-0005-0000-0000-0000CF6F0000}"/>
    <cellStyle name="Normal 75 5 5 2 2" xfId="35498" xr:uid="{00000000-0005-0000-0000-0000D06F0000}"/>
    <cellStyle name="Normal 75 5 5 3" xfId="27451" xr:uid="{00000000-0005-0000-0000-0000D16F0000}"/>
    <cellStyle name="Normal 75 5 6" xfId="15146" xr:uid="{00000000-0005-0000-0000-0000D26F0000}"/>
    <cellStyle name="Normal 75 5 6 2" xfId="31696" xr:uid="{00000000-0005-0000-0000-0000D36F0000}"/>
    <cellStyle name="Normal 75 5 7" xfId="23653" xr:uid="{00000000-0005-0000-0000-0000D46F0000}"/>
    <cellStyle name="Normal 75 6" xfId="5670" xr:uid="{00000000-0005-0000-0000-0000D56F0000}"/>
    <cellStyle name="Normal 75 6 2" xfId="5671" xr:uid="{00000000-0005-0000-0000-0000D66F0000}"/>
    <cellStyle name="Normal 75 6 2 2" xfId="5672" xr:uid="{00000000-0005-0000-0000-0000D76F0000}"/>
    <cellStyle name="Normal 75 6 2 2 2" xfId="9569" xr:uid="{00000000-0005-0000-0000-0000D86F0000}"/>
    <cellStyle name="Normal 75 6 2 2 2 2" xfId="18925" xr:uid="{00000000-0005-0000-0000-0000D96F0000}"/>
    <cellStyle name="Normal 75 6 2 2 2 2 2" xfId="35499" xr:uid="{00000000-0005-0000-0000-0000DA6F0000}"/>
    <cellStyle name="Normal 75 6 2 2 2 3" xfId="27452" xr:uid="{00000000-0005-0000-0000-0000DB6F0000}"/>
    <cellStyle name="Normal 75 6 2 2 3" xfId="15156" xr:uid="{00000000-0005-0000-0000-0000DC6F0000}"/>
    <cellStyle name="Normal 75 6 2 2 3 2" xfId="31706" xr:uid="{00000000-0005-0000-0000-0000DD6F0000}"/>
    <cellStyle name="Normal 75 6 2 2 4" xfId="23663" xr:uid="{00000000-0005-0000-0000-0000DE6F0000}"/>
    <cellStyle name="Normal 75 6 2 3" xfId="9570" xr:uid="{00000000-0005-0000-0000-0000DF6F0000}"/>
    <cellStyle name="Normal 75 6 2 3 2" xfId="18926" xr:uid="{00000000-0005-0000-0000-0000E06F0000}"/>
    <cellStyle name="Normal 75 6 2 3 2 2" xfId="35500" xr:uid="{00000000-0005-0000-0000-0000E16F0000}"/>
    <cellStyle name="Normal 75 6 2 3 3" xfId="27453" xr:uid="{00000000-0005-0000-0000-0000E26F0000}"/>
    <cellStyle name="Normal 75 6 2 4" xfId="15155" xr:uid="{00000000-0005-0000-0000-0000E36F0000}"/>
    <cellStyle name="Normal 75 6 2 4 2" xfId="31705" xr:uid="{00000000-0005-0000-0000-0000E46F0000}"/>
    <cellStyle name="Normal 75 6 2 5" xfId="23662" xr:uid="{00000000-0005-0000-0000-0000E56F0000}"/>
    <cellStyle name="Normal 75 6 3" xfId="5673" xr:uid="{00000000-0005-0000-0000-0000E66F0000}"/>
    <cellStyle name="Normal 75 6 3 2" xfId="9571" xr:uid="{00000000-0005-0000-0000-0000E76F0000}"/>
    <cellStyle name="Normal 75 6 3 2 2" xfId="18927" xr:uid="{00000000-0005-0000-0000-0000E86F0000}"/>
    <cellStyle name="Normal 75 6 3 2 2 2" xfId="35501" xr:uid="{00000000-0005-0000-0000-0000E96F0000}"/>
    <cellStyle name="Normal 75 6 3 2 3" xfId="27454" xr:uid="{00000000-0005-0000-0000-0000EA6F0000}"/>
    <cellStyle name="Normal 75 6 3 3" xfId="15157" xr:uid="{00000000-0005-0000-0000-0000EB6F0000}"/>
    <cellStyle name="Normal 75 6 3 3 2" xfId="31707" xr:uid="{00000000-0005-0000-0000-0000EC6F0000}"/>
    <cellStyle name="Normal 75 6 3 4" xfId="23664" xr:uid="{00000000-0005-0000-0000-0000ED6F0000}"/>
    <cellStyle name="Normal 75 6 4" xfId="9572" xr:uid="{00000000-0005-0000-0000-0000EE6F0000}"/>
    <cellStyle name="Normal 75 6 4 2" xfId="18928" xr:uid="{00000000-0005-0000-0000-0000EF6F0000}"/>
    <cellStyle name="Normal 75 6 4 2 2" xfId="35502" xr:uid="{00000000-0005-0000-0000-0000F06F0000}"/>
    <cellStyle name="Normal 75 6 4 3" xfId="27455" xr:uid="{00000000-0005-0000-0000-0000F16F0000}"/>
    <cellStyle name="Normal 75 6 5" xfId="15154" xr:uid="{00000000-0005-0000-0000-0000F26F0000}"/>
    <cellStyle name="Normal 75 6 5 2" xfId="31704" xr:uid="{00000000-0005-0000-0000-0000F36F0000}"/>
    <cellStyle name="Normal 75 6 6" xfId="23661" xr:uid="{00000000-0005-0000-0000-0000F46F0000}"/>
    <cellStyle name="Normal 75 7" xfId="5674" xr:uid="{00000000-0005-0000-0000-0000F56F0000}"/>
    <cellStyle name="Normal 75 7 2" xfId="5675" xr:uid="{00000000-0005-0000-0000-0000F66F0000}"/>
    <cellStyle name="Normal 75 7 2 2" xfId="9573" xr:uid="{00000000-0005-0000-0000-0000F76F0000}"/>
    <cellStyle name="Normal 75 7 2 2 2" xfId="18929" xr:uid="{00000000-0005-0000-0000-0000F86F0000}"/>
    <cellStyle name="Normal 75 7 2 2 2 2" xfId="35503" xr:uid="{00000000-0005-0000-0000-0000F96F0000}"/>
    <cellStyle name="Normal 75 7 2 2 3" xfId="27456" xr:uid="{00000000-0005-0000-0000-0000FA6F0000}"/>
    <cellStyle name="Normal 75 7 2 3" xfId="15159" xr:uid="{00000000-0005-0000-0000-0000FB6F0000}"/>
    <cellStyle name="Normal 75 7 2 3 2" xfId="31709" xr:uid="{00000000-0005-0000-0000-0000FC6F0000}"/>
    <cellStyle name="Normal 75 7 2 4" xfId="23666" xr:uid="{00000000-0005-0000-0000-0000FD6F0000}"/>
    <cellStyle name="Normal 75 7 3" xfId="9574" xr:uid="{00000000-0005-0000-0000-0000FE6F0000}"/>
    <cellStyle name="Normal 75 7 3 2" xfId="18930" xr:uid="{00000000-0005-0000-0000-0000FF6F0000}"/>
    <cellStyle name="Normal 75 7 3 2 2" xfId="35504" xr:uid="{00000000-0005-0000-0000-000000700000}"/>
    <cellStyle name="Normal 75 7 3 3" xfId="27457" xr:uid="{00000000-0005-0000-0000-000001700000}"/>
    <cellStyle name="Normal 75 7 4" xfId="15158" xr:uid="{00000000-0005-0000-0000-000002700000}"/>
    <cellStyle name="Normal 75 7 4 2" xfId="31708" xr:uid="{00000000-0005-0000-0000-000003700000}"/>
    <cellStyle name="Normal 75 7 5" xfId="23665" xr:uid="{00000000-0005-0000-0000-000004700000}"/>
    <cellStyle name="Normal 75 8" xfId="5676" xr:uid="{00000000-0005-0000-0000-000005700000}"/>
    <cellStyle name="Normal 75 8 2" xfId="9575" xr:uid="{00000000-0005-0000-0000-000006700000}"/>
    <cellStyle name="Normal 75 8 2 2" xfId="18931" xr:uid="{00000000-0005-0000-0000-000007700000}"/>
    <cellStyle name="Normal 75 8 2 2 2" xfId="35505" xr:uid="{00000000-0005-0000-0000-000008700000}"/>
    <cellStyle name="Normal 75 8 2 3" xfId="27458" xr:uid="{00000000-0005-0000-0000-000009700000}"/>
    <cellStyle name="Normal 75 8 3" xfId="15160" xr:uid="{00000000-0005-0000-0000-00000A700000}"/>
    <cellStyle name="Normal 75 8 3 2" xfId="31710" xr:uid="{00000000-0005-0000-0000-00000B700000}"/>
    <cellStyle name="Normal 75 8 4" xfId="23667" xr:uid="{00000000-0005-0000-0000-00000C700000}"/>
    <cellStyle name="Normal 75 9" xfId="9576" xr:uid="{00000000-0005-0000-0000-00000D700000}"/>
    <cellStyle name="Normal 75 9 2" xfId="18932" xr:uid="{00000000-0005-0000-0000-00000E700000}"/>
    <cellStyle name="Normal 75 9 2 2" xfId="35506" xr:uid="{00000000-0005-0000-0000-00000F700000}"/>
    <cellStyle name="Normal 75 9 3" xfId="27459" xr:uid="{00000000-0005-0000-0000-000010700000}"/>
    <cellStyle name="Normal 76" xfId="5677" xr:uid="{00000000-0005-0000-0000-000011700000}"/>
    <cellStyle name="Normal 76 10" xfId="15161" xr:uid="{00000000-0005-0000-0000-000012700000}"/>
    <cellStyle name="Normal 76 10 2" xfId="31711" xr:uid="{00000000-0005-0000-0000-000013700000}"/>
    <cellStyle name="Normal 76 11" xfId="23668" xr:uid="{00000000-0005-0000-0000-000014700000}"/>
    <cellStyle name="Normal 76 2" xfId="5678" xr:uid="{00000000-0005-0000-0000-000015700000}"/>
    <cellStyle name="Normal 76 2 2" xfId="5679" xr:uid="{00000000-0005-0000-0000-000016700000}"/>
    <cellStyle name="Normal 76 2 3" xfId="15162" xr:uid="{00000000-0005-0000-0000-000017700000}"/>
    <cellStyle name="Normal 76 2 3 2" xfId="31712" xr:uid="{00000000-0005-0000-0000-000018700000}"/>
    <cellStyle name="Normal 76 2 4" xfId="23669" xr:uid="{00000000-0005-0000-0000-000019700000}"/>
    <cellStyle name="Normal 76 3" xfId="5680" xr:uid="{00000000-0005-0000-0000-00001A700000}"/>
    <cellStyle name="Normal 76 3 2" xfId="5681" xr:uid="{00000000-0005-0000-0000-00001B700000}"/>
    <cellStyle name="Normal 76 3 2 2" xfId="5682" xr:uid="{00000000-0005-0000-0000-00001C700000}"/>
    <cellStyle name="Normal 76 3 2 2 2" xfId="5683" xr:uid="{00000000-0005-0000-0000-00001D700000}"/>
    <cellStyle name="Normal 76 3 2 2 2 2" xfId="9577" xr:uid="{00000000-0005-0000-0000-00001E700000}"/>
    <cellStyle name="Normal 76 3 2 2 2 2 2" xfId="18933" xr:uid="{00000000-0005-0000-0000-00001F700000}"/>
    <cellStyle name="Normal 76 3 2 2 2 2 2 2" xfId="35507" xr:uid="{00000000-0005-0000-0000-000020700000}"/>
    <cellStyle name="Normal 76 3 2 2 2 2 3" xfId="27460" xr:uid="{00000000-0005-0000-0000-000021700000}"/>
    <cellStyle name="Normal 76 3 2 2 2 3" xfId="15165" xr:uid="{00000000-0005-0000-0000-000022700000}"/>
    <cellStyle name="Normal 76 3 2 2 2 3 2" xfId="31715" xr:uid="{00000000-0005-0000-0000-000023700000}"/>
    <cellStyle name="Normal 76 3 2 2 2 4" xfId="23672" xr:uid="{00000000-0005-0000-0000-000024700000}"/>
    <cellStyle name="Normal 76 3 2 2 3" xfId="9578" xr:uid="{00000000-0005-0000-0000-000025700000}"/>
    <cellStyle name="Normal 76 3 2 2 3 2" xfId="18934" xr:uid="{00000000-0005-0000-0000-000026700000}"/>
    <cellStyle name="Normal 76 3 2 2 3 2 2" xfId="35508" xr:uid="{00000000-0005-0000-0000-000027700000}"/>
    <cellStyle name="Normal 76 3 2 2 3 3" xfId="27461" xr:uid="{00000000-0005-0000-0000-000028700000}"/>
    <cellStyle name="Normal 76 3 2 2 4" xfId="15164" xr:uid="{00000000-0005-0000-0000-000029700000}"/>
    <cellStyle name="Normal 76 3 2 2 4 2" xfId="31714" xr:uid="{00000000-0005-0000-0000-00002A700000}"/>
    <cellStyle name="Normal 76 3 2 2 5" xfId="23671" xr:uid="{00000000-0005-0000-0000-00002B700000}"/>
    <cellStyle name="Normal 76 3 2 3" xfId="5684" xr:uid="{00000000-0005-0000-0000-00002C700000}"/>
    <cellStyle name="Normal 76 3 2 3 2" xfId="9579" xr:uid="{00000000-0005-0000-0000-00002D700000}"/>
    <cellStyle name="Normal 76 3 2 3 2 2" xfId="18935" xr:uid="{00000000-0005-0000-0000-00002E700000}"/>
    <cellStyle name="Normal 76 3 2 3 2 2 2" xfId="35509" xr:uid="{00000000-0005-0000-0000-00002F700000}"/>
    <cellStyle name="Normal 76 3 2 3 2 3" xfId="27462" xr:uid="{00000000-0005-0000-0000-000030700000}"/>
    <cellStyle name="Normal 76 3 2 3 3" xfId="15166" xr:uid="{00000000-0005-0000-0000-000031700000}"/>
    <cellStyle name="Normal 76 3 2 3 3 2" xfId="31716" xr:uid="{00000000-0005-0000-0000-000032700000}"/>
    <cellStyle name="Normal 76 3 2 3 4" xfId="23673" xr:uid="{00000000-0005-0000-0000-000033700000}"/>
    <cellStyle name="Normal 76 3 2 4" xfId="9580" xr:uid="{00000000-0005-0000-0000-000034700000}"/>
    <cellStyle name="Normal 76 3 2 4 2" xfId="18936" xr:uid="{00000000-0005-0000-0000-000035700000}"/>
    <cellStyle name="Normal 76 3 2 4 2 2" xfId="35510" xr:uid="{00000000-0005-0000-0000-000036700000}"/>
    <cellStyle name="Normal 76 3 2 4 3" xfId="27463" xr:uid="{00000000-0005-0000-0000-000037700000}"/>
    <cellStyle name="Normal 76 3 2 5" xfId="15163" xr:uid="{00000000-0005-0000-0000-000038700000}"/>
    <cellStyle name="Normal 76 3 2 5 2" xfId="31713" xr:uid="{00000000-0005-0000-0000-000039700000}"/>
    <cellStyle name="Normal 76 3 2 6" xfId="23670" xr:uid="{00000000-0005-0000-0000-00003A700000}"/>
    <cellStyle name="Normal 76 3 3" xfId="5685" xr:uid="{00000000-0005-0000-0000-00003B700000}"/>
    <cellStyle name="Normal 76 3 3 2" xfId="5686" xr:uid="{00000000-0005-0000-0000-00003C700000}"/>
    <cellStyle name="Normal 76 3 3 2 2" xfId="9581" xr:uid="{00000000-0005-0000-0000-00003D700000}"/>
    <cellStyle name="Normal 76 3 3 2 2 2" xfId="18937" xr:uid="{00000000-0005-0000-0000-00003E700000}"/>
    <cellStyle name="Normal 76 3 3 2 2 2 2" xfId="35511" xr:uid="{00000000-0005-0000-0000-00003F700000}"/>
    <cellStyle name="Normal 76 3 3 2 2 3" xfId="27464" xr:uid="{00000000-0005-0000-0000-000040700000}"/>
    <cellStyle name="Normal 76 3 3 2 3" xfId="15168" xr:uid="{00000000-0005-0000-0000-000041700000}"/>
    <cellStyle name="Normal 76 3 3 2 3 2" xfId="31718" xr:uid="{00000000-0005-0000-0000-000042700000}"/>
    <cellStyle name="Normal 76 3 3 2 4" xfId="23675" xr:uid="{00000000-0005-0000-0000-000043700000}"/>
    <cellStyle name="Normal 76 3 3 3" xfId="9582" xr:uid="{00000000-0005-0000-0000-000044700000}"/>
    <cellStyle name="Normal 76 3 3 3 2" xfId="18938" xr:uid="{00000000-0005-0000-0000-000045700000}"/>
    <cellStyle name="Normal 76 3 3 3 2 2" xfId="35512" xr:uid="{00000000-0005-0000-0000-000046700000}"/>
    <cellStyle name="Normal 76 3 3 3 3" xfId="27465" xr:uid="{00000000-0005-0000-0000-000047700000}"/>
    <cellStyle name="Normal 76 3 3 4" xfId="15167" xr:uid="{00000000-0005-0000-0000-000048700000}"/>
    <cellStyle name="Normal 76 3 3 4 2" xfId="31717" xr:uid="{00000000-0005-0000-0000-000049700000}"/>
    <cellStyle name="Normal 76 3 3 5" xfId="23674" xr:uid="{00000000-0005-0000-0000-00004A700000}"/>
    <cellStyle name="Normal 76 3 4" xfId="5687" xr:uid="{00000000-0005-0000-0000-00004B700000}"/>
    <cellStyle name="Normal 76 3 4 2" xfId="9583" xr:uid="{00000000-0005-0000-0000-00004C700000}"/>
    <cellStyle name="Normal 76 3 4 2 2" xfId="18939" xr:uid="{00000000-0005-0000-0000-00004D700000}"/>
    <cellStyle name="Normal 76 3 4 2 2 2" xfId="35513" xr:uid="{00000000-0005-0000-0000-00004E700000}"/>
    <cellStyle name="Normal 76 3 4 2 3" xfId="27466" xr:uid="{00000000-0005-0000-0000-00004F700000}"/>
    <cellStyle name="Normal 76 3 4 3" xfId="15169" xr:uid="{00000000-0005-0000-0000-000050700000}"/>
    <cellStyle name="Normal 76 3 4 3 2" xfId="31719" xr:uid="{00000000-0005-0000-0000-000051700000}"/>
    <cellStyle name="Normal 76 3 4 4" xfId="23676" xr:uid="{00000000-0005-0000-0000-000052700000}"/>
    <cellStyle name="Normal 76 3 5" xfId="5688" xr:uid="{00000000-0005-0000-0000-000053700000}"/>
    <cellStyle name="Normal 76 3 5 2" xfId="15170" xr:uid="{00000000-0005-0000-0000-000054700000}"/>
    <cellStyle name="Normal 76 3 5 2 2" xfId="31720" xr:uid="{00000000-0005-0000-0000-000055700000}"/>
    <cellStyle name="Normal 76 3 5 3" xfId="23677" xr:uid="{00000000-0005-0000-0000-000056700000}"/>
    <cellStyle name="Normal 76 4" xfId="5689" xr:uid="{00000000-0005-0000-0000-000057700000}"/>
    <cellStyle name="Normal 76 4 2" xfId="5690" xr:uid="{00000000-0005-0000-0000-000058700000}"/>
    <cellStyle name="Normal 76 4 2 2" xfId="5691" xr:uid="{00000000-0005-0000-0000-000059700000}"/>
    <cellStyle name="Normal 76 4 2 2 2" xfId="5692" xr:uid="{00000000-0005-0000-0000-00005A700000}"/>
    <cellStyle name="Normal 76 4 2 2 2 2" xfId="9584" xr:uid="{00000000-0005-0000-0000-00005B700000}"/>
    <cellStyle name="Normal 76 4 2 2 2 2 2" xfId="18940" xr:uid="{00000000-0005-0000-0000-00005C700000}"/>
    <cellStyle name="Normal 76 4 2 2 2 2 2 2" xfId="35514" xr:uid="{00000000-0005-0000-0000-00005D700000}"/>
    <cellStyle name="Normal 76 4 2 2 2 2 3" xfId="27467" xr:uid="{00000000-0005-0000-0000-00005E700000}"/>
    <cellStyle name="Normal 76 4 2 2 2 3" xfId="15174" xr:uid="{00000000-0005-0000-0000-00005F700000}"/>
    <cellStyle name="Normal 76 4 2 2 2 3 2" xfId="31724" xr:uid="{00000000-0005-0000-0000-000060700000}"/>
    <cellStyle name="Normal 76 4 2 2 2 4" xfId="23681" xr:uid="{00000000-0005-0000-0000-000061700000}"/>
    <cellStyle name="Normal 76 4 2 2 3" xfId="9585" xr:uid="{00000000-0005-0000-0000-000062700000}"/>
    <cellStyle name="Normal 76 4 2 2 3 2" xfId="18941" xr:uid="{00000000-0005-0000-0000-000063700000}"/>
    <cellStyle name="Normal 76 4 2 2 3 2 2" xfId="35515" xr:uid="{00000000-0005-0000-0000-000064700000}"/>
    <cellStyle name="Normal 76 4 2 2 3 3" xfId="27468" xr:uid="{00000000-0005-0000-0000-000065700000}"/>
    <cellStyle name="Normal 76 4 2 2 4" xfId="15173" xr:uid="{00000000-0005-0000-0000-000066700000}"/>
    <cellStyle name="Normal 76 4 2 2 4 2" xfId="31723" xr:uid="{00000000-0005-0000-0000-000067700000}"/>
    <cellStyle name="Normal 76 4 2 2 5" xfId="23680" xr:uid="{00000000-0005-0000-0000-000068700000}"/>
    <cellStyle name="Normal 76 4 2 3" xfId="5693" xr:uid="{00000000-0005-0000-0000-000069700000}"/>
    <cellStyle name="Normal 76 4 2 3 2" xfId="9586" xr:uid="{00000000-0005-0000-0000-00006A700000}"/>
    <cellStyle name="Normal 76 4 2 3 2 2" xfId="18942" xr:uid="{00000000-0005-0000-0000-00006B700000}"/>
    <cellStyle name="Normal 76 4 2 3 2 2 2" xfId="35516" xr:uid="{00000000-0005-0000-0000-00006C700000}"/>
    <cellStyle name="Normal 76 4 2 3 2 3" xfId="27469" xr:uid="{00000000-0005-0000-0000-00006D700000}"/>
    <cellStyle name="Normal 76 4 2 3 3" xfId="15175" xr:uid="{00000000-0005-0000-0000-00006E700000}"/>
    <cellStyle name="Normal 76 4 2 3 3 2" xfId="31725" xr:uid="{00000000-0005-0000-0000-00006F700000}"/>
    <cellStyle name="Normal 76 4 2 3 4" xfId="23682" xr:uid="{00000000-0005-0000-0000-000070700000}"/>
    <cellStyle name="Normal 76 4 2 4" xfId="9587" xr:uid="{00000000-0005-0000-0000-000071700000}"/>
    <cellStyle name="Normal 76 4 2 4 2" xfId="18943" xr:uid="{00000000-0005-0000-0000-000072700000}"/>
    <cellStyle name="Normal 76 4 2 4 2 2" xfId="35517" xr:uid="{00000000-0005-0000-0000-000073700000}"/>
    <cellStyle name="Normal 76 4 2 4 3" xfId="27470" xr:uid="{00000000-0005-0000-0000-000074700000}"/>
    <cellStyle name="Normal 76 4 2 5" xfId="15172" xr:uid="{00000000-0005-0000-0000-000075700000}"/>
    <cellStyle name="Normal 76 4 2 5 2" xfId="31722" xr:uid="{00000000-0005-0000-0000-000076700000}"/>
    <cellStyle name="Normal 76 4 2 6" xfId="23679" xr:uid="{00000000-0005-0000-0000-000077700000}"/>
    <cellStyle name="Normal 76 4 3" xfId="5694" xr:uid="{00000000-0005-0000-0000-000078700000}"/>
    <cellStyle name="Normal 76 4 3 2" xfId="5695" xr:uid="{00000000-0005-0000-0000-000079700000}"/>
    <cellStyle name="Normal 76 4 3 2 2" xfId="9588" xr:uid="{00000000-0005-0000-0000-00007A700000}"/>
    <cellStyle name="Normal 76 4 3 2 2 2" xfId="18944" xr:uid="{00000000-0005-0000-0000-00007B700000}"/>
    <cellStyle name="Normal 76 4 3 2 2 2 2" xfId="35518" xr:uid="{00000000-0005-0000-0000-00007C700000}"/>
    <cellStyle name="Normal 76 4 3 2 2 3" xfId="27471" xr:uid="{00000000-0005-0000-0000-00007D700000}"/>
    <cellStyle name="Normal 76 4 3 2 3" xfId="15177" xr:uid="{00000000-0005-0000-0000-00007E700000}"/>
    <cellStyle name="Normal 76 4 3 2 3 2" xfId="31727" xr:uid="{00000000-0005-0000-0000-00007F700000}"/>
    <cellStyle name="Normal 76 4 3 2 4" xfId="23684" xr:uid="{00000000-0005-0000-0000-000080700000}"/>
    <cellStyle name="Normal 76 4 3 3" xfId="9589" xr:uid="{00000000-0005-0000-0000-000081700000}"/>
    <cellStyle name="Normal 76 4 3 3 2" xfId="18945" xr:uid="{00000000-0005-0000-0000-000082700000}"/>
    <cellStyle name="Normal 76 4 3 3 2 2" xfId="35519" xr:uid="{00000000-0005-0000-0000-000083700000}"/>
    <cellStyle name="Normal 76 4 3 3 3" xfId="27472" xr:uid="{00000000-0005-0000-0000-000084700000}"/>
    <cellStyle name="Normal 76 4 3 4" xfId="15176" xr:uid="{00000000-0005-0000-0000-000085700000}"/>
    <cellStyle name="Normal 76 4 3 4 2" xfId="31726" xr:uid="{00000000-0005-0000-0000-000086700000}"/>
    <cellStyle name="Normal 76 4 3 5" xfId="23683" xr:uid="{00000000-0005-0000-0000-000087700000}"/>
    <cellStyle name="Normal 76 4 4" xfId="5696" xr:uid="{00000000-0005-0000-0000-000088700000}"/>
    <cellStyle name="Normal 76 4 4 2" xfId="9590" xr:uid="{00000000-0005-0000-0000-000089700000}"/>
    <cellStyle name="Normal 76 4 4 2 2" xfId="18946" xr:uid="{00000000-0005-0000-0000-00008A700000}"/>
    <cellStyle name="Normal 76 4 4 2 2 2" xfId="35520" xr:uid="{00000000-0005-0000-0000-00008B700000}"/>
    <cellStyle name="Normal 76 4 4 2 3" xfId="27473" xr:uid="{00000000-0005-0000-0000-00008C700000}"/>
    <cellStyle name="Normal 76 4 4 3" xfId="15178" xr:uid="{00000000-0005-0000-0000-00008D700000}"/>
    <cellStyle name="Normal 76 4 4 3 2" xfId="31728" xr:uid="{00000000-0005-0000-0000-00008E700000}"/>
    <cellStyle name="Normal 76 4 4 4" xfId="23685" xr:uid="{00000000-0005-0000-0000-00008F700000}"/>
    <cellStyle name="Normal 76 4 5" xfId="9591" xr:uid="{00000000-0005-0000-0000-000090700000}"/>
    <cellStyle name="Normal 76 4 5 2" xfId="18947" xr:uid="{00000000-0005-0000-0000-000091700000}"/>
    <cellStyle name="Normal 76 4 5 2 2" xfId="35521" xr:uid="{00000000-0005-0000-0000-000092700000}"/>
    <cellStyle name="Normal 76 4 5 3" xfId="27474" xr:uid="{00000000-0005-0000-0000-000093700000}"/>
    <cellStyle name="Normal 76 4 6" xfId="15171" xr:uid="{00000000-0005-0000-0000-000094700000}"/>
    <cellStyle name="Normal 76 4 6 2" xfId="31721" xr:uid="{00000000-0005-0000-0000-000095700000}"/>
    <cellStyle name="Normal 76 4 7" xfId="23678" xr:uid="{00000000-0005-0000-0000-000096700000}"/>
    <cellStyle name="Normal 76 5" xfId="5697" xr:uid="{00000000-0005-0000-0000-000097700000}"/>
    <cellStyle name="Normal 76 5 2" xfId="5698" xr:uid="{00000000-0005-0000-0000-000098700000}"/>
    <cellStyle name="Normal 76 5 2 2" xfId="5699" xr:uid="{00000000-0005-0000-0000-000099700000}"/>
    <cellStyle name="Normal 76 5 2 2 2" xfId="5700" xr:uid="{00000000-0005-0000-0000-00009A700000}"/>
    <cellStyle name="Normal 76 5 2 2 2 2" xfId="9592" xr:uid="{00000000-0005-0000-0000-00009B700000}"/>
    <cellStyle name="Normal 76 5 2 2 2 2 2" xfId="18948" xr:uid="{00000000-0005-0000-0000-00009C700000}"/>
    <cellStyle name="Normal 76 5 2 2 2 2 2 2" xfId="35522" xr:uid="{00000000-0005-0000-0000-00009D700000}"/>
    <cellStyle name="Normal 76 5 2 2 2 2 3" xfId="27475" xr:uid="{00000000-0005-0000-0000-00009E700000}"/>
    <cellStyle name="Normal 76 5 2 2 2 3" xfId="15182" xr:uid="{00000000-0005-0000-0000-00009F700000}"/>
    <cellStyle name="Normal 76 5 2 2 2 3 2" xfId="31732" xr:uid="{00000000-0005-0000-0000-0000A0700000}"/>
    <cellStyle name="Normal 76 5 2 2 2 4" xfId="23689" xr:uid="{00000000-0005-0000-0000-0000A1700000}"/>
    <cellStyle name="Normal 76 5 2 2 3" xfId="9593" xr:uid="{00000000-0005-0000-0000-0000A2700000}"/>
    <cellStyle name="Normal 76 5 2 2 3 2" xfId="18949" xr:uid="{00000000-0005-0000-0000-0000A3700000}"/>
    <cellStyle name="Normal 76 5 2 2 3 2 2" xfId="35523" xr:uid="{00000000-0005-0000-0000-0000A4700000}"/>
    <cellStyle name="Normal 76 5 2 2 3 3" xfId="27476" xr:uid="{00000000-0005-0000-0000-0000A5700000}"/>
    <cellStyle name="Normal 76 5 2 2 4" xfId="15181" xr:uid="{00000000-0005-0000-0000-0000A6700000}"/>
    <cellStyle name="Normal 76 5 2 2 4 2" xfId="31731" xr:uid="{00000000-0005-0000-0000-0000A7700000}"/>
    <cellStyle name="Normal 76 5 2 2 5" xfId="23688" xr:uid="{00000000-0005-0000-0000-0000A8700000}"/>
    <cellStyle name="Normal 76 5 2 3" xfId="5701" xr:uid="{00000000-0005-0000-0000-0000A9700000}"/>
    <cellStyle name="Normal 76 5 2 3 2" xfId="9594" xr:uid="{00000000-0005-0000-0000-0000AA700000}"/>
    <cellStyle name="Normal 76 5 2 3 2 2" xfId="18950" xr:uid="{00000000-0005-0000-0000-0000AB700000}"/>
    <cellStyle name="Normal 76 5 2 3 2 2 2" xfId="35524" xr:uid="{00000000-0005-0000-0000-0000AC700000}"/>
    <cellStyle name="Normal 76 5 2 3 2 3" xfId="27477" xr:uid="{00000000-0005-0000-0000-0000AD700000}"/>
    <cellStyle name="Normal 76 5 2 3 3" xfId="15183" xr:uid="{00000000-0005-0000-0000-0000AE700000}"/>
    <cellStyle name="Normal 76 5 2 3 3 2" xfId="31733" xr:uid="{00000000-0005-0000-0000-0000AF700000}"/>
    <cellStyle name="Normal 76 5 2 3 4" xfId="23690" xr:uid="{00000000-0005-0000-0000-0000B0700000}"/>
    <cellStyle name="Normal 76 5 2 4" xfId="9595" xr:uid="{00000000-0005-0000-0000-0000B1700000}"/>
    <cellStyle name="Normal 76 5 2 4 2" xfId="18951" xr:uid="{00000000-0005-0000-0000-0000B2700000}"/>
    <cellStyle name="Normal 76 5 2 4 2 2" xfId="35525" xr:uid="{00000000-0005-0000-0000-0000B3700000}"/>
    <cellStyle name="Normal 76 5 2 4 3" xfId="27478" xr:uid="{00000000-0005-0000-0000-0000B4700000}"/>
    <cellStyle name="Normal 76 5 2 5" xfId="15180" xr:uid="{00000000-0005-0000-0000-0000B5700000}"/>
    <cellStyle name="Normal 76 5 2 5 2" xfId="31730" xr:uid="{00000000-0005-0000-0000-0000B6700000}"/>
    <cellStyle name="Normal 76 5 2 6" xfId="23687" xr:uid="{00000000-0005-0000-0000-0000B7700000}"/>
    <cellStyle name="Normal 76 5 3" xfId="5702" xr:uid="{00000000-0005-0000-0000-0000B8700000}"/>
    <cellStyle name="Normal 76 5 3 2" xfId="5703" xr:uid="{00000000-0005-0000-0000-0000B9700000}"/>
    <cellStyle name="Normal 76 5 3 2 2" xfId="9596" xr:uid="{00000000-0005-0000-0000-0000BA700000}"/>
    <cellStyle name="Normal 76 5 3 2 2 2" xfId="18952" xr:uid="{00000000-0005-0000-0000-0000BB700000}"/>
    <cellStyle name="Normal 76 5 3 2 2 2 2" xfId="35526" xr:uid="{00000000-0005-0000-0000-0000BC700000}"/>
    <cellStyle name="Normal 76 5 3 2 2 3" xfId="27479" xr:uid="{00000000-0005-0000-0000-0000BD700000}"/>
    <cellStyle name="Normal 76 5 3 2 3" xfId="15185" xr:uid="{00000000-0005-0000-0000-0000BE700000}"/>
    <cellStyle name="Normal 76 5 3 2 3 2" xfId="31735" xr:uid="{00000000-0005-0000-0000-0000BF700000}"/>
    <cellStyle name="Normal 76 5 3 2 4" xfId="23692" xr:uid="{00000000-0005-0000-0000-0000C0700000}"/>
    <cellStyle name="Normal 76 5 3 3" xfId="9597" xr:uid="{00000000-0005-0000-0000-0000C1700000}"/>
    <cellStyle name="Normal 76 5 3 3 2" xfId="18953" xr:uid="{00000000-0005-0000-0000-0000C2700000}"/>
    <cellStyle name="Normal 76 5 3 3 2 2" xfId="35527" xr:uid="{00000000-0005-0000-0000-0000C3700000}"/>
    <cellStyle name="Normal 76 5 3 3 3" xfId="27480" xr:uid="{00000000-0005-0000-0000-0000C4700000}"/>
    <cellStyle name="Normal 76 5 3 4" xfId="15184" xr:uid="{00000000-0005-0000-0000-0000C5700000}"/>
    <cellStyle name="Normal 76 5 3 4 2" xfId="31734" xr:uid="{00000000-0005-0000-0000-0000C6700000}"/>
    <cellStyle name="Normal 76 5 3 5" xfId="23691" xr:uid="{00000000-0005-0000-0000-0000C7700000}"/>
    <cellStyle name="Normal 76 5 4" xfId="5704" xr:uid="{00000000-0005-0000-0000-0000C8700000}"/>
    <cellStyle name="Normal 76 5 4 2" xfId="9598" xr:uid="{00000000-0005-0000-0000-0000C9700000}"/>
    <cellStyle name="Normal 76 5 4 2 2" xfId="18954" xr:uid="{00000000-0005-0000-0000-0000CA700000}"/>
    <cellStyle name="Normal 76 5 4 2 2 2" xfId="35528" xr:uid="{00000000-0005-0000-0000-0000CB700000}"/>
    <cellStyle name="Normal 76 5 4 2 3" xfId="27481" xr:uid="{00000000-0005-0000-0000-0000CC700000}"/>
    <cellStyle name="Normal 76 5 4 3" xfId="15186" xr:uid="{00000000-0005-0000-0000-0000CD700000}"/>
    <cellStyle name="Normal 76 5 4 3 2" xfId="31736" xr:uid="{00000000-0005-0000-0000-0000CE700000}"/>
    <cellStyle name="Normal 76 5 4 4" xfId="23693" xr:uid="{00000000-0005-0000-0000-0000CF700000}"/>
    <cellStyle name="Normal 76 5 5" xfId="9599" xr:uid="{00000000-0005-0000-0000-0000D0700000}"/>
    <cellStyle name="Normal 76 5 5 2" xfId="18955" xr:uid="{00000000-0005-0000-0000-0000D1700000}"/>
    <cellStyle name="Normal 76 5 5 2 2" xfId="35529" xr:uid="{00000000-0005-0000-0000-0000D2700000}"/>
    <cellStyle name="Normal 76 5 5 3" xfId="27482" xr:uid="{00000000-0005-0000-0000-0000D3700000}"/>
    <cellStyle name="Normal 76 5 6" xfId="15179" xr:uid="{00000000-0005-0000-0000-0000D4700000}"/>
    <cellStyle name="Normal 76 5 6 2" xfId="31729" xr:uid="{00000000-0005-0000-0000-0000D5700000}"/>
    <cellStyle name="Normal 76 5 7" xfId="23686" xr:uid="{00000000-0005-0000-0000-0000D6700000}"/>
    <cellStyle name="Normal 76 6" xfId="5705" xr:uid="{00000000-0005-0000-0000-0000D7700000}"/>
    <cellStyle name="Normal 76 6 2" xfId="5706" xr:uid="{00000000-0005-0000-0000-0000D8700000}"/>
    <cellStyle name="Normal 76 6 2 2" xfId="5707" xr:uid="{00000000-0005-0000-0000-0000D9700000}"/>
    <cellStyle name="Normal 76 6 2 2 2" xfId="9600" xr:uid="{00000000-0005-0000-0000-0000DA700000}"/>
    <cellStyle name="Normal 76 6 2 2 2 2" xfId="18956" xr:uid="{00000000-0005-0000-0000-0000DB700000}"/>
    <cellStyle name="Normal 76 6 2 2 2 2 2" xfId="35530" xr:uid="{00000000-0005-0000-0000-0000DC700000}"/>
    <cellStyle name="Normal 76 6 2 2 2 3" xfId="27483" xr:uid="{00000000-0005-0000-0000-0000DD700000}"/>
    <cellStyle name="Normal 76 6 2 2 3" xfId="15189" xr:uid="{00000000-0005-0000-0000-0000DE700000}"/>
    <cellStyle name="Normal 76 6 2 2 3 2" xfId="31739" xr:uid="{00000000-0005-0000-0000-0000DF700000}"/>
    <cellStyle name="Normal 76 6 2 2 4" xfId="23696" xr:uid="{00000000-0005-0000-0000-0000E0700000}"/>
    <cellStyle name="Normal 76 6 2 3" xfId="9601" xr:uid="{00000000-0005-0000-0000-0000E1700000}"/>
    <cellStyle name="Normal 76 6 2 3 2" xfId="18957" xr:uid="{00000000-0005-0000-0000-0000E2700000}"/>
    <cellStyle name="Normal 76 6 2 3 2 2" xfId="35531" xr:uid="{00000000-0005-0000-0000-0000E3700000}"/>
    <cellStyle name="Normal 76 6 2 3 3" xfId="27484" xr:uid="{00000000-0005-0000-0000-0000E4700000}"/>
    <cellStyle name="Normal 76 6 2 4" xfId="15188" xr:uid="{00000000-0005-0000-0000-0000E5700000}"/>
    <cellStyle name="Normal 76 6 2 4 2" xfId="31738" xr:uid="{00000000-0005-0000-0000-0000E6700000}"/>
    <cellStyle name="Normal 76 6 2 5" xfId="23695" xr:uid="{00000000-0005-0000-0000-0000E7700000}"/>
    <cellStyle name="Normal 76 6 3" xfId="5708" xr:uid="{00000000-0005-0000-0000-0000E8700000}"/>
    <cellStyle name="Normal 76 6 3 2" xfId="9602" xr:uid="{00000000-0005-0000-0000-0000E9700000}"/>
    <cellStyle name="Normal 76 6 3 2 2" xfId="18958" xr:uid="{00000000-0005-0000-0000-0000EA700000}"/>
    <cellStyle name="Normal 76 6 3 2 2 2" xfId="35532" xr:uid="{00000000-0005-0000-0000-0000EB700000}"/>
    <cellStyle name="Normal 76 6 3 2 3" xfId="27485" xr:uid="{00000000-0005-0000-0000-0000EC700000}"/>
    <cellStyle name="Normal 76 6 3 3" xfId="15190" xr:uid="{00000000-0005-0000-0000-0000ED700000}"/>
    <cellStyle name="Normal 76 6 3 3 2" xfId="31740" xr:uid="{00000000-0005-0000-0000-0000EE700000}"/>
    <cellStyle name="Normal 76 6 3 4" xfId="23697" xr:uid="{00000000-0005-0000-0000-0000EF700000}"/>
    <cellStyle name="Normal 76 6 4" xfId="9603" xr:uid="{00000000-0005-0000-0000-0000F0700000}"/>
    <cellStyle name="Normal 76 6 4 2" xfId="18959" xr:uid="{00000000-0005-0000-0000-0000F1700000}"/>
    <cellStyle name="Normal 76 6 4 2 2" xfId="35533" xr:uid="{00000000-0005-0000-0000-0000F2700000}"/>
    <cellStyle name="Normal 76 6 4 3" xfId="27486" xr:uid="{00000000-0005-0000-0000-0000F3700000}"/>
    <cellStyle name="Normal 76 6 5" xfId="15187" xr:uid="{00000000-0005-0000-0000-0000F4700000}"/>
    <cellStyle name="Normal 76 6 5 2" xfId="31737" xr:uid="{00000000-0005-0000-0000-0000F5700000}"/>
    <cellStyle name="Normal 76 6 6" xfId="23694" xr:uid="{00000000-0005-0000-0000-0000F6700000}"/>
    <cellStyle name="Normal 76 7" xfId="5709" xr:uid="{00000000-0005-0000-0000-0000F7700000}"/>
    <cellStyle name="Normal 76 7 2" xfId="5710" xr:uid="{00000000-0005-0000-0000-0000F8700000}"/>
    <cellStyle name="Normal 76 7 2 2" xfId="9604" xr:uid="{00000000-0005-0000-0000-0000F9700000}"/>
    <cellStyle name="Normal 76 7 2 2 2" xfId="18960" xr:uid="{00000000-0005-0000-0000-0000FA700000}"/>
    <cellStyle name="Normal 76 7 2 2 2 2" xfId="35534" xr:uid="{00000000-0005-0000-0000-0000FB700000}"/>
    <cellStyle name="Normal 76 7 2 2 3" xfId="27487" xr:uid="{00000000-0005-0000-0000-0000FC700000}"/>
    <cellStyle name="Normal 76 7 2 3" xfId="15192" xr:uid="{00000000-0005-0000-0000-0000FD700000}"/>
    <cellStyle name="Normal 76 7 2 3 2" xfId="31742" xr:uid="{00000000-0005-0000-0000-0000FE700000}"/>
    <cellStyle name="Normal 76 7 2 4" xfId="23699" xr:uid="{00000000-0005-0000-0000-0000FF700000}"/>
    <cellStyle name="Normal 76 7 3" xfId="9605" xr:uid="{00000000-0005-0000-0000-000000710000}"/>
    <cellStyle name="Normal 76 7 3 2" xfId="18961" xr:uid="{00000000-0005-0000-0000-000001710000}"/>
    <cellStyle name="Normal 76 7 3 2 2" xfId="35535" xr:uid="{00000000-0005-0000-0000-000002710000}"/>
    <cellStyle name="Normal 76 7 3 3" xfId="27488" xr:uid="{00000000-0005-0000-0000-000003710000}"/>
    <cellStyle name="Normal 76 7 4" xfId="15191" xr:uid="{00000000-0005-0000-0000-000004710000}"/>
    <cellStyle name="Normal 76 7 4 2" xfId="31741" xr:uid="{00000000-0005-0000-0000-000005710000}"/>
    <cellStyle name="Normal 76 7 5" xfId="23698" xr:uid="{00000000-0005-0000-0000-000006710000}"/>
    <cellStyle name="Normal 76 8" xfId="5711" xr:uid="{00000000-0005-0000-0000-000007710000}"/>
    <cellStyle name="Normal 76 8 2" xfId="9606" xr:uid="{00000000-0005-0000-0000-000008710000}"/>
    <cellStyle name="Normal 76 8 2 2" xfId="18962" xr:uid="{00000000-0005-0000-0000-000009710000}"/>
    <cellStyle name="Normal 76 8 2 2 2" xfId="35536" xr:uid="{00000000-0005-0000-0000-00000A710000}"/>
    <cellStyle name="Normal 76 8 2 3" xfId="27489" xr:uid="{00000000-0005-0000-0000-00000B710000}"/>
    <cellStyle name="Normal 76 8 3" xfId="15193" xr:uid="{00000000-0005-0000-0000-00000C710000}"/>
    <cellStyle name="Normal 76 8 3 2" xfId="31743" xr:uid="{00000000-0005-0000-0000-00000D710000}"/>
    <cellStyle name="Normal 76 8 4" xfId="23700" xr:uid="{00000000-0005-0000-0000-00000E710000}"/>
    <cellStyle name="Normal 76 9" xfId="9607" xr:uid="{00000000-0005-0000-0000-00000F710000}"/>
    <cellStyle name="Normal 76 9 2" xfId="18963" xr:uid="{00000000-0005-0000-0000-000010710000}"/>
    <cellStyle name="Normal 76 9 2 2" xfId="35537" xr:uid="{00000000-0005-0000-0000-000011710000}"/>
    <cellStyle name="Normal 76 9 3" xfId="27490" xr:uid="{00000000-0005-0000-0000-000012710000}"/>
    <cellStyle name="Normal 77" xfId="5712" xr:uid="{00000000-0005-0000-0000-000013710000}"/>
    <cellStyle name="Normal 77 10" xfId="15194" xr:uid="{00000000-0005-0000-0000-000014710000}"/>
    <cellStyle name="Normal 77 10 2" xfId="31744" xr:uid="{00000000-0005-0000-0000-000015710000}"/>
    <cellStyle name="Normal 77 11" xfId="23701" xr:uid="{00000000-0005-0000-0000-000016710000}"/>
    <cellStyle name="Normal 77 2" xfId="5713" xr:uid="{00000000-0005-0000-0000-000017710000}"/>
    <cellStyle name="Normal 77 2 2" xfId="5714" xr:uid="{00000000-0005-0000-0000-000018710000}"/>
    <cellStyle name="Normal 77 2 3" xfId="15195" xr:uid="{00000000-0005-0000-0000-000019710000}"/>
    <cellStyle name="Normal 77 2 3 2" xfId="31745" xr:uid="{00000000-0005-0000-0000-00001A710000}"/>
    <cellStyle name="Normal 77 2 4" xfId="23702" xr:uid="{00000000-0005-0000-0000-00001B710000}"/>
    <cellStyle name="Normal 77 3" xfId="5715" xr:uid="{00000000-0005-0000-0000-00001C710000}"/>
    <cellStyle name="Normal 77 3 2" xfId="5716" xr:uid="{00000000-0005-0000-0000-00001D710000}"/>
    <cellStyle name="Normal 77 3 2 2" xfId="5717" xr:uid="{00000000-0005-0000-0000-00001E710000}"/>
    <cellStyle name="Normal 77 3 2 2 2" xfId="5718" xr:uid="{00000000-0005-0000-0000-00001F710000}"/>
    <cellStyle name="Normal 77 3 2 2 2 2" xfId="9608" xr:uid="{00000000-0005-0000-0000-000020710000}"/>
    <cellStyle name="Normal 77 3 2 2 2 2 2" xfId="18964" xr:uid="{00000000-0005-0000-0000-000021710000}"/>
    <cellStyle name="Normal 77 3 2 2 2 2 2 2" xfId="35538" xr:uid="{00000000-0005-0000-0000-000022710000}"/>
    <cellStyle name="Normal 77 3 2 2 2 2 3" xfId="27491" xr:uid="{00000000-0005-0000-0000-000023710000}"/>
    <cellStyle name="Normal 77 3 2 2 2 3" xfId="15198" xr:uid="{00000000-0005-0000-0000-000024710000}"/>
    <cellStyle name="Normal 77 3 2 2 2 3 2" xfId="31748" xr:uid="{00000000-0005-0000-0000-000025710000}"/>
    <cellStyle name="Normal 77 3 2 2 2 4" xfId="23705" xr:uid="{00000000-0005-0000-0000-000026710000}"/>
    <cellStyle name="Normal 77 3 2 2 3" xfId="9609" xr:uid="{00000000-0005-0000-0000-000027710000}"/>
    <cellStyle name="Normal 77 3 2 2 3 2" xfId="18965" xr:uid="{00000000-0005-0000-0000-000028710000}"/>
    <cellStyle name="Normal 77 3 2 2 3 2 2" xfId="35539" xr:uid="{00000000-0005-0000-0000-000029710000}"/>
    <cellStyle name="Normal 77 3 2 2 3 3" xfId="27492" xr:uid="{00000000-0005-0000-0000-00002A710000}"/>
    <cellStyle name="Normal 77 3 2 2 4" xfId="15197" xr:uid="{00000000-0005-0000-0000-00002B710000}"/>
    <cellStyle name="Normal 77 3 2 2 4 2" xfId="31747" xr:uid="{00000000-0005-0000-0000-00002C710000}"/>
    <cellStyle name="Normal 77 3 2 2 5" xfId="23704" xr:uid="{00000000-0005-0000-0000-00002D710000}"/>
    <cellStyle name="Normal 77 3 2 3" xfId="5719" xr:uid="{00000000-0005-0000-0000-00002E710000}"/>
    <cellStyle name="Normal 77 3 2 3 2" xfId="9610" xr:uid="{00000000-0005-0000-0000-00002F710000}"/>
    <cellStyle name="Normal 77 3 2 3 2 2" xfId="18966" xr:uid="{00000000-0005-0000-0000-000030710000}"/>
    <cellStyle name="Normal 77 3 2 3 2 2 2" xfId="35540" xr:uid="{00000000-0005-0000-0000-000031710000}"/>
    <cellStyle name="Normal 77 3 2 3 2 3" xfId="27493" xr:uid="{00000000-0005-0000-0000-000032710000}"/>
    <cellStyle name="Normal 77 3 2 3 3" xfId="15199" xr:uid="{00000000-0005-0000-0000-000033710000}"/>
    <cellStyle name="Normal 77 3 2 3 3 2" xfId="31749" xr:uid="{00000000-0005-0000-0000-000034710000}"/>
    <cellStyle name="Normal 77 3 2 3 4" xfId="23706" xr:uid="{00000000-0005-0000-0000-000035710000}"/>
    <cellStyle name="Normal 77 3 2 4" xfId="9611" xr:uid="{00000000-0005-0000-0000-000036710000}"/>
    <cellStyle name="Normal 77 3 2 4 2" xfId="18967" xr:uid="{00000000-0005-0000-0000-000037710000}"/>
    <cellStyle name="Normal 77 3 2 4 2 2" xfId="35541" xr:uid="{00000000-0005-0000-0000-000038710000}"/>
    <cellStyle name="Normal 77 3 2 4 3" xfId="27494" xr:uid="{00000000-0005-0000-0000-000039710000}"/>
    <cellStyle name="Normal 77 3 2 5" xfId="15196" xr:uid="{00000000-0005-0000-0000-00003A710000}"/>
    <cellStyle name="Normal 77 3 2 5 2" xfId="31746" xr:uid="{00000000-0005-0000-0000-00003B710000}"/>
    <cellStyle name="Normal 77 3 2 6" xfId="23703" xr:uid="{00000000-0005-0000-0000-00003C710000}"/>
    <cellStyle name="Normal 77 3 3" xfId="5720" xr:uid="{00000000-0005-0000-0000-00003D710000}"/>
    <cellStyle name="Normal 77 3 3 2" xfId="5721" xr:uid="{00000000-0005-0000-0000-00003E710000}"/>
    <cellStyle name="Normal 77 3 3 2 2" xfId="9612" xr:uid="{00000000-0005-0000-0000-00003F710000}"/>
    <cellStyle name="Normal 77 3 3 2 2 2" xfId="18968" xr:uid="{00000000-0005-0000-0000-000040710000}"/>
    <cellStyle name="Normal 77 3 3 2 2 2 2" xfId="35542" xr:uid="{00000000-0005-0000-0000-000041710000}"/>
    <cellStyle name="Normal 77 3 3 2 2 3" xfId="27495" xr:uid="{00000000-0005-0000-0000-000042710000}"/>
    <cellStyle name="Normal 77 3 3 2 3" xfId="15201" xr:uid="{00000000-0005-0000-0000-000043710000}"/>
    <cellStyle name="Normal 77 3 3 2 3 2" xfId="31751" xr:uid="{00000000-0005-0000-0000-000044710000}"/>
    <cellStyle name="Normal 77 3 3 2 4" xfId="23708" xr:uid="{00000000-0005-0000-0000-000045710000}"/>
    <cellStyle name="Normal 77 3 3 3" xfId="9613" xr:uid="{00000000-0005-0000-0000-000046710000}"/>
    <cellStyle name="Normal 77 3 3 3 2" xfId="18969" xr:uid="{00000000-0005-0000-0000-000047710000}"/>
    <cellStyle name="Normal 77 3 3 3 2 2" xfId="35543" xr:uid="{00000000-0005-0000-0000-000048710000}"/>
    <cellStyle name="Normal 77 3 3 3 3" xfId="27496" xr:uid="{00000000-0005-0000-0000-000049710000}"/>
    <cellStyle name="Normal 77 3 3 4" xfId="15200" xr:uid="{00000000-0005-0000-0000-00004A710000}"/>
    <cellStyle name="Normal 77 3 3 4 2" xfId="31750" xr:uid="{00000000-0005-0000-0000-00004B710000}"/>
    <cellStyle name="Normal 77 3 3 5" xfId="23707" xr:uid="{00000000-0005-0000-0000-00004C710000}"/>
    <cellStyle name="Normal 77 3 4" xfId="5722" xr:uid="{00000000-0005-0000-0000-00004D710000}"/>
    <cellStyle name="Normal 77 3 4 2" xfId="9614" xr:uid="{00000000-0005-0000-0000-00004E710000}"/>
    <cellStyle name="Normal 77 3 4 2 2" xfId="18970" xr:uid="{00000000-0005-0000-0000-00004F710000}"/>
    <cellStyle name="Normal 77 3 4 2 2 2" xfId="35544" xr:uid="{00000000-0005-0000-0000-000050710000}"/>
    <cellStyle name="Normal 77 3 4 2 3" xfId="27497" xr:uid="{00000000-0005-0000-0000-000051710000}"/>
    <cellStyle name="Normal 77 3 4 3" xfId="15202" xr:uid="{00000000-0005-0000-0000-000052710000}"/>
    <cellStyle name="Normal 77 3 4 3 2" xfId="31752" xr:uid="{00000000-0005-0000-0000-000053710000}"/>
    <cellStyle name="Normal 77 3 4 4" xfId="23709" xr:uid="{00000000-0005-0000-0000-000054710000}"/>
    <cellStyle name="Normal 77 3 5" xfId="5723" xr:uid="{00000000-0005-0000-0000-000055710000}"/>
    <cellStyle name="Normal 77 3 5 2" xfId="15203" xr:uid="{00000000-0005-0000-0000-000056710000}"/>
    <cellStyle name="Normal 77 3 5 2 2" xfId="31753" xr:uid="{00000000-0005-0000-0000-000057710000}"/>
    <cellStyle name="Normal 77 3 5 3" xfId="23710" xr:uid="{00000000-0005-0000-0000-000058710000}"/>
    <cellStyle name="Normal 77 4" xfId="5724" xr:uid="{00000000-0005-0000-0000-000059710000}"/>
    <cellStyle name="Normal 77 4 2" xfId="5725" xr:uid="{00000000-0005-0000-0000-00005A710000}"/>
    <cellStyle name="Normal 77 4 2 2" xfId="5726" xr:uid="{00000000-0005-0000-0000-00005B710000}"/>
    <cellStyle name="Normal 77 4 2 2 2" xfId="5727" xr:uid="{00000000-0005-0000-0000-00005C710000}"/>
    <cellStyle name="Normal 77 4 2 2 2 2" xfId="9615" xr:uid="{00000000-0005-0000-0000-00005D710000}"/>
    <cellStyle name="Normal 77 4 2 2 2 2 2" xfId="18971" xr:uid="{00000000-0005-0000-0000-00005E710000}"/>
    <cellStyle name="Normal 77 4 2 2 2 2 2 2" xfId="35545" xr:uid="{00000000-0005-0000-0000-00005F710000}"/>
    <cellStyle name="Normal 77 4 2 2 2 2 3" xfId="27498" xr:uid="{00000000-0005-0000-0000-000060710000}"/>
    <cellStyle name="Normal 77 4 2 2 2 3" xfId="15207" xr:uid="{00000000-0005-0000-0000-000061710000}"/>
    <cellStyle name="Normal 77 4 2 2 2 3 2" xfId="31757" xr:uid="{00000000-0005-0000-0000-000062710000}"/>
    <cellStyle name="Normal 77 4 2 2 2 4" xfId="23714" xr:uid="{00000000-0005-0000-0000-000063710000}"/>
    <cellStyle name="Normal 77 4 2 2 3" xfId="9616" xr:uid="{00000000-0005-0000-0000-000064710000}"/>
    <cellStyle name="Normal 77 4 2 2 3 2" xfId="18972" xr:uid="{00000000-0005-0000-0000-000065710000}"/>
    <cellStyle name="Normal 77 4 2 2 3 2 2" xfId="35546" xr:uid="{00000000-0005-0000-0000-000066710000}"/>
    <cellStyle name="Normal 77 4 2 2 3 3" xfId="27499" xr:uid="{00000000-0005-0000-0000-000067710000}"/>
    <cellStyle name="Normal 77 4 2 2 4" xfId="15206" xr:uid="{00000000-0005-0000-0000-000068710000}"/>
    <cellStyle name="Normal 77 4 2 2 4 2" xfId="31756" xr:uid="{00000000-0005-0000-0000-000069710000}"/>
    <cellStyle name="Normal 77 4 2 2 5" xfId="23713" xr:uid="{00000000-0005-0000-0000-00006A710000}"/>
    <cellStyle name="Normal 77 4 2 3" xfId="5728" xr:uid="{00000000-0005-0000-0000-00006B710000}"/>
    <cellStyle name="Normal 77 4 2 3 2" xfId="9617" xr:uid="{00000000-0005-0000-0000-00006C710000}"/>
    <cellStyle name="Normal 77 4 2 3 2 2" xfId="18973" xr:uid="{00000000-0005-0000-0000-00006D710000}"/>
    <cellStyle name="Normal 77 4 2 3 2 2 2" xfId="35547" xr:uid="{00000000-0005-0000-0000-00006E710000}"/>
    <cellStyle name="Normal 77 4 2 3 2 3" xfId="27500" xr:uid="{00000000-0005-0000-0000-00006F710000}"/>
    <cellStyle name="Normal 77 4 2 3 3" xfId="15208" xr:uid="{00000000-0005-0000-0000-000070710000}"/>
    <cellStyle name="Normal 77 4 2 3 3 2" xfId="31758" xr:uid="{00000000-0005-0000-0000-000071710000}"/>
    <cellStyle name="Normal 77 4 2 3 4" xfId="23715" xr:uid="{00000000-0005-0000-0000-000072710000}"/>
    <cellStyle name="Normal 77 4 2 4" xfId="9618" xr:uid="{00000000-0005-0000-0000-000073710000}"/>
    <cellStyle name="Normal 77 4 2 4 2" xfId="18974" xr:uid="{00000000-0005-0000-0000-000074710000}"/>
    <cellStyle name="Normal 77 4 2 4 2 2" xfId="35548" xr:uid="{00000000-0005-0000-0000-000075710000}"/>
    <cellStyle name="Normal 77 4 2 4 3" xfId="27501" xr:uid="{00000000-0005-0000-0000-000076710000}"/>
    <cellStyle name="Normal 77 4 2 5" xfId="15205" xr:uid="{00000000-0005-0000-0000-000077710000}"/>
    <cellStyle name="Normal 77 4 2 5 2" xfId="31755" xr:uid="{00000000-0005-0000-0000-000078710000}"/>
    <cellStyle name="Normal 77 4 2 6" xfId="23712" xr:uid="{00000000-0005-0000-0000-000079710000}"/>
    <cellStyle name="Normal 77 4 3" xfId="5729" xr:uid="{00000000-0005-0000-0000-00007A710000}"/>
    <cellStyle name="Normal 77 4 3 2" xfId="5730" xr:uid="{00000000-0005-0000-0000-00007B710000}"/>
    <cellStyle name="Normal 77 4 3 2 2" xfId="9619" xr:uid="{00000000-0005-0000-0000-00007C710000}"/>
    <cellStyle name="Normal 77 4 3 2 2 2" xfId="18975" xr:uid="{00000000-0005-0000-0000-00007D710000}"/>
    <cellStyle name="Normal 77 4 3 2 2 2 2" xfId="35549" xr:uid="{00000000-0005-0000-0000-00007E710000}"/>
    <cellStyle name="Normal 77 4 3 2 2 3" xfId="27502" xr:uid="{00000000-0005-0000-0000-00007F710000}"/>
    <cellStyle name="Normal 77 4 3 2 3" xfId="15210" xr:uid="{00000000-0005-0000-0000-000080710000}"/>
    <cellStyle name="Normal 77 4 3 2 3 2" xfId="31760" xr:uid="{00000000-0005-0000-0000-000081710000}"/>
    <cellStyle name="Normal 77 4 3 2 4" xfId="23717" xr:uid="{00000000-0005-0000-0000-000082710000}"/>
    <cellStyle name="Normal 77 4 3 3" xfId="9620" xr:uid="{00000000-0005-0000-0000-000083710000}"/>
    <cellStyle name="Normal 77 4 3 3 2" xfId="18976" xr:uid="{00000000-0005-0000-0000-000084710000}"/>
    <cellStyle name="Normal 77 4 3 3 2 2" xfId="35550" xr:uid="{00000000-0005-0000-0000-000085710000}"/>
    <cellStyle name="Normal 77 4 3 3 3" xfId="27503" xr:uid="{00000000-0005-0000-0000-000086710000}"/>
    <cellStyle name="Normal 77 4 3 4" xfId="15209" xr:uid="{00000000-0005-0000-0000-000087710000}"/>
    <cellStyle name="Normal 77 4 3 4 2" xfId="31759" xr:uid="{00000000-0005-0000-0000-000088710000}"/>
    <cellStyle name="Normal 77 4 3 5" xfId="23716" xr:uid="{00000000-0005-0000-0000-000089710000}"/>
    <cellStyle name="Normal 77 4 4" xfId="5731" xr:uid="{00000000-0005-0000-0000-00008A710000}"/>
    <cellStyle name="Normal 77 4 4 2" xfId="9621" xr:uid="{00000000-0005-0000-0000-00008B710000}"/>
    <cellStyle name="Normal 77 4 4 2 2" xfId="18977" xr:uid="{00000000-0005-0000-0000-00008C710000}"/>
    <cellStyle name="Normal 77 4 4 2 2 2" xfId="35551" xr:uid="{00000000-0005-0000-0000-00008D710000}"/>
    <cellStyle name="Normal 77 4 4 2 3" xfId="27504" xr:uid="{00000000-0005-0000-0000-00008E710000}"/>
    <cellStyle name="Normal 77 4 4 3" xfId="15211" xr:uid="{00000000-0005-0000-0000-00008F710000}"/>
    <cellStyle name="Normal 77 4 4 3 2" xfId="31761" xr:uid="{00000000-0005-0000-0000-000090710000}"/>
    <cellStyle name="Normal 77 4 4 4" xfId="23718" xr:uid="{00000000-0005-0000-0000-000091710000}"/>
    <cellStyle name="Normal 77 4 5" xfId="9622" xr:uid="{00000000-0005-0000-0000-000092710000}"/>
    <cellStyle name="Normal 77 4 5 2" xfId="18978" xr:uid="{00000000-0005-0000-0000-000093710000}"/>
    <cellStyle name="Normal 77 4 5 2 2" xfId="35552" xr:uid="{00000000-0005-0000-0000-000094710000}"/>
    <cellStyle name="Normal 77 4 5 3" xfId="27505" xr:uid="{00000000-0005-0000-0000-000095710000}"/>
    <cellStyle name="Normal 77 4 6" xfId="15204" xr:uid="{00000000-0005-0000-0000-000096710000}"/>
    <cellStyle name="Normal 77 4 6 2" xfId="31754" xr:uid="{00000000-0005-0000-0000-000097710000}"/>
    <cellStyle name="Normal 77 4 7" xfId="23711" xr:uid="{00000000-0005-0000-0000-000098710000}"/>
    <cellStyle name="Normal 77 5" xfId="5732" xr:uid="{00000000-0005-0000-0000-000099710000}"/>
    <cellStyle name="Normal 77 5 2" xfId="5733" xr:uid="{00000000-0005-0000-0000-00009A710000}"/>
    <cellStyle name="Normal 77 5 2 2" xfId="5734" xr:uid="{00000000-0005-0000-0000-00009B710000}"/>
    <cellStyle name="Normal 77 5 2 2 2" xfId="5735" xr:uid="{00000000-0005-0000-0000-00009C710000}"/>
    <cellStyle name="Normal 77 5 2 2 2 2" xfId="9623" xr:uid="{00000000-0005-0000-0000-00009D710000}"/>
    <cellStyle name="Normal 77 5 2 2 2 2 2" xfId="18979" xr:uid="{00000000-0005-0000-0000-00009E710000}"/>
    <cellStyle name="Normal 77 5 2 2 2 2 2 2" xfId="35553" xr:uid="{00000000-0005-0000-0000-00009F710000}"/>
    <cellStyle name="Normal 77 5 2 2 2 2 3" xfId="27506" xr:uid="{00000000-0005-0000-0000-0000A0710000}"/>
    <cellStyle name="Normal 77 5 2 2 2 3" xfId="15215" xr:uid="{00000000-0005-0000-0000-0000A1710000}"/>
    <cellStyle name="Normal 77 5 2 2 2 3 2" xfId="31765" xr:uid="{00000000-0005-0000-0000-0000A2710000}"/>
    <cellStyle name="Normal 77 5 2 2 2 4" xfId="23722" xr:uid="{00000000-0005-0000-0000-0000A3710000}"/>
    <cellStyle name="Normal 77 5 2 2 3" xfId="9624" xr:uid="{00000000-0005-0000-0000-0000A4710000}"/>
    <cellStyle name="Normal 77 5 2 2 3 2" xfId="18980" xr:uid="{00000000-0005-0000-0000-0000A5710000}"/>
    <cellStyle name="Normal 77 5 2 2 3 2 2" xfId="35554" xr:uid="{00000000-0005-0000-0000-0000A6710000}"/>
    <cellStyle name="Normal 77 5 2 2 3 3" xfId="27507" xr:uid="{00000000-0005-0000-0000-0000A7710000}"/>
    <cellStyle name="Normal 77 5 2 2 4" xfId="15214" xr:uid="{00000000-0005-0000-0000-0000A8710000}"/>
    <cellStyle name="Normal 77 5 2 2 4 2" xfId="31764" xr:uid="{00000000-0005-0000-0000-0000A9710000}"/>
    <cellStyle name="Normal 77 5 2 2 5" xfId="23721" xr:uid="{00000000-0005-0000-0000-0000AA710000}"/>
    <cellStyle name="Normal 77 5 2 3" xfId="5736" xr:uid="{00000000-0005-0000-0000-0000AB710000}"/>
    <cellStyle name="Normal 77 5 2 3 2" xfId="9625" xr:uid="{00000000-0005-0000-0000-0000AC710000}"/>
    <cellStyle name="Normal 77 5 2 3 2 2" xfId="18981" xr:uid="{00000000-0005-0000-0000-0000AD710000}"/>
    <cellStyle name="Normal 77 5 2 3 2 2 2" xfId="35555" xr:uid="{00000000-0005-0000-0000-0000AE710000}"/>
    <cellStyle name="Normal 77 5 2 3 2 3" xfId="27508" xr:uid="{00000000-0005-0000-0000-0000AF710000}"/>
    <cellStyle name="Normal 77 5 2 3 3" xfId="15216" xr:uid="{00000000-0005-0000-0000-0000B0710000}"/>
    <cellStyle name="Normal 77 5 2 3 3 2" xfId="31766" xr:uid="{00000000-0005-0000-0000-0000B1710000}"/>
    <cellStyle name="Normal 77 5 2 3 4" xfId="23723" xr:uid="{00000000-0005-0000-0000-0000B2710000}"/>
    <cellStyle name="Normal 77 5 2 4" xfId="9626" xr:uid="{00000000-0005-0000-0000-0000B3710000}"/>
    <cellStyle name="Normal 77 5 2 4 2" xfId="18982" xr:uid="{00000000-0005-0000-0000-0000B4710000}"/>
    <cellStyle name="Normal 77 5 2 4 2 2" xfId="35556" xr:uid="{00000000-0005-0000-0000-0000B5710000}"/>
    <cellStyle name="Normal 77 5 2 4 3" xfId="27509" xr:uid="{00000000-0005-0000-0000-0000B6710000}"/>
    <cellStyle name="Normal 77 5 2 5" xfId="15213" xr:uid="{00000000-0005-0000-0000-0000B7710000}"/>
    <cellStyle name="Normal 77 5 2 5 2" xfId="31763" xr:uid="{00000000-0005-0000-0000-0000B8710000}"/>
    <cellStyle name="Normal 77 5 2 6" xfId="23720" xr:uid="{00000000-0005-0000-0000-0000B9710000}"/>
    <cellStyle name="Normal 77 5 3" xfId="5737" xr:uid="{00000000-0005-0000-0000-0000BA710000}"/>
    <cellStyle name="Normal 77 5 3 2" xfId="5738" xr:uid="{00000000-0005-0000-0000-0000BB710000}"/>
    <cellStyle name="Normal 77 5 3 2 2" xfId="9627" xr:uid="{00000000-0005-0000-0000-0000BC710000}"/>
    <cellStyle name="Normal 77 5 3 2 2 2" xfId="18983" xr:uid="{00000000-0005-0000-0000-0000BD710000}"/>
    <cellStyle name="Normal 77 5 3 2 2 2 2" xfId="35557" xr:uid="{00000000-0005-0000-0000-0000BE710000}"/>
    <cellStyle name="Normal 77 5 3 2 2 3" xfId="27510" xr:uid="{00000000-0005-0000-0000-0000BF710000}"/>
    <cellStyle name="Normal 77 5 3 2 3" xfId="15218" xr:uid="{00000000-0005-0000-0000-0000C0710000}"/>
    <cellStyle name="Normal 77 5 3 2 3 2" xfId="31768" xr:uid="{00000000-0005-0000-0000-0000C1710000}"/>
    <cellStyle name="Normal 77 5 3 2 4" xfId="23725" xr:uid="{00000000-0005-0000-0000-0000C2710000}"/>
    <cellStyle name="Normal 77 5 3 3" xfId="9628" xr:uid="{00000000-0005-0000-0000-0000C3710000}"/>
    <cellStyle name="Normal 77 5 3 3 2" xfId="18984" xr:uid="{00000000-0005-0000-0000-0000C4710000}"/>
    <cellStyle name="Normal 77 5 3 3 2 2" xfId="35558" xr:uid="{00000000-0005-0000-0000-0000C5710000}"/>
    <cellStyle name="Normal 77 5 3 3 3" xfId="27511" xr:uid="{00000000-0005-0000-0000-0000C6710000}"/>
    <cellStyle name="Normal 77 5 3 4" xfId="15217" xr:uid="{00000000-0005-0000-0000-0000C7710000}"/>
    <cellStyle name="Normal 77 5 3 4 2" xfId="31767" xr:uid="{00000000-0005-0000-0000-0000C8710000}"/>
    <cellStyle name="Normal 77 5 3 5" xfId="23724" xr:uid="{00000000-0005-0000-0000-0000C9710000}"/>
    <cellStyle name="Normal 77 5 4" xfId="5739" xr:uid="{00000000-0005-0000-0000-0000CA710000}"/>
    <cellStyle name="Normal 77 5 4 2" xfId="9629" xr:uid="{00000000-0005-0000-0000-0000CB710000}"/>
    <cellStyle name="Normal 77 5 4 2 2" xfId="18985" xr:uid="{00000000-0005-0000-0000-0000CC710000}"/>
    <cellStyle name="Normal 77 5 4 2 2 2" xfId="35559" xr:uid="{00000000-0005-0000-0000-0000CD710000}"/>
    <cellStyle name="Normal 77 5 4 2 3" xfId="27512" xr:uid="{00000000-0005-0000-0000-0000CE710000}"/>
    <cellStyle name="Normal 77 5 4 3" xfId="15219" xr:uid="{00000000-0005-0000-0000-0000CF710000}"/>
    <cellStyle name="Normal 77 5 4 3 2" xfId="31769" xr:uid="{00000000-0005-0000-0000-0000D0710000}"/>
    <cellStyle name="Normal 77 5 4 4" xfId="23726" xr:uid="{00000000-0005-0000-0000-0000D1710000}"/>
    <cellStyle name="Normal 77 5 5" xfId="9630" xr:uid="{00000000-0005-0000-0000-0000D2710000}"/>
    <cellStyle name="Normal 77 5 5 2" xfId="18986" xr:uid="{00000000-0005-0000-0000-0000D3710000}"/>
    <cellStyle name="Normal 77 5 5 2 2" xfId="35560" xr:uid="{00000000-0005-0000-0000-0000D4710000}"/>
    <cellStyle name="Normal 77 5 5 3" xfId="27513" xr:uid="{00000000-0005-0000-0000-0000D5710000}"/>
    <cellStyle name="Normal 77 5 6" xfId="15212" xr:uid="{00000000-0005-0000-0000-0000D6710000}"/>
    <cellStyle name="Normal 77 5 6 2" xfId="31762" xr:uid="{00000000-0005-0000-0000-0000D7710000}"/>
    <cellStyle name="Normal 77 5 7" xfId="23719" xr:uid="{00000000-0005-0000-0000-0000D8710000}"/>
    <cellStyle name="Normal 77 6" xfId="5740" xr:uid="{00000000-0005-0000-0000-0000D9710000}"/>
    <cellStyle name="Normal 77 6 2" xfId="5741" xr:uid="{00000000-0005-0000-0000-0000DA710000}"/>
    <cellStyle name="Normal 77 6 2 2" xfId="5742" xr:uid="{00000000-0005-0000-0000-0000DB710000}"/>
    <cellStyle name="Normal 77 6 2 2 2" xfId="9631" xr:uid="{00000000-0005-0000-0000-0000DC710000}"/>
    <cellStyle name="Normal 77 6 2 2 2 2" xfId="18987" xr:uid="{00000000-0005-0000-0000-0000DD710000}"/>
    <cellStyle name="Normal 77 6 2 2 2 2 2" xfId="35561" xr:uid="{00000000-0005-0000-0000-0000DE710000}"/>
    <cellStyle name="Normal 77 6 2 2 2 3" xfId="27514" xr:uid="{00000000-0005-0000-0000-0000DF710000}"/>
    <cellStyle name="Normal 77 6 2 2 3" xfId="15222" xr:uid="{00000000-0005-0000-0000-0000E0710000}"/>
    <cellStyle name="Normal 77 6 2 2 3 2" xfId="31772" xr:uid="{00000000-0005-0000-0000-0000E1710000}"/>
    <cellStyle name="Normal 77 6 2 2 4" xfId="23729" xr:uid="{00000000-0005-0000-0000-0000E2710000}"/>
    <cellStyle name="Normal 77 6 2 3" xfId="9632" xr:uid="{00000000-0005-0000-0000-0000E3710000}"/>
    <cellStyle name="Normal 77 6 2 3 2" xfId="18988" xr:uid="{00000000-0005-0000-0000-0000E4710000}"/>
    <cellStyle name="Normal 77 6 2 3 2 2" xfId="35562" xr:uid="{00000000-0005-0000-0000-0000E5710000}"/>
    <cellStyle name="Normal 77 6 2 3 3" xfId="27515" xr:uid="{00000000-0005-0000-0000-0000E6710000}"/>
    <cellStyle name="Normal 77 6 2 4" xfId="15221" xr:uid="{00000000-0005-0000-0000-0000E7710000}"/>
    <cellStyle name="Normal 77 6 2 4 2" xfId="31771" xr:uid="{00000000-0005-0000-0000-0000E8710000}"/>
    <cellStyle name="Normal 77 6 2 5" xfId="23728" xr:uid="{00000000-0005-0000-0000-0000E9710000}"/>
    <cellStyle name="Normal 77 6 3" xfId="5743" xr:uid="{00000000-0005-0000-0000-0000EA710000}"/>
    <cellStyle name="Normal 77 6 3 2" xfId="9633" xr:uid="{00000000-0005-0000-0000-0000EB710000}"/>
    <cellStyle name="Normal 77 6 3 2 2" xfId="18989" xr:uid="{00000000-0005-0000-0000-0000EC710000}"/>
    <cellStyle name="Normal 77 6 3 2 2 2" xfId="35563" xr:uid="{00000000-0005-0000-0000-0000ED710000}"/>
    <cellStyle name="Normal 77 6 3 2 3" xfId="27516" xr:uid="{00000000-0005-0000-0000-0000EE710000}"/>
    <cellStyle name="Normal 77 6 3 3" xfId="15223" xr:uid="{00000000-0005-0000-0000-0000EF710000}"/>
    <cellStyle name="Normal 77 6 3 3 2" xfId="31773" xr:uid="{00000000-0005-0000-0000-0000F0710000}"/>
    <cellStyle name="Normal 77 6 3 4" xfId="23730" xr:uid="{00000000-0005-0000-0000-0000F1710000}"/>
    <cellStyle name="Normal 77 6 4" xfId="9634" xr:uid="{00000000-0005-0000-0000-0000F2710000}"/>
    <cellStyle name="Normal 77 6 4 2" xfId="18990" xr:uid="{00000000-0005-0000-0000-0000F3710000}"/>
    <cellStyle name="Normal 77 6 4 2 2" xfId="35564" xr:uid="{00000000-0005-0000-0000-0000F4710000}"/>
    <cellStyle name="Normal 77 6 4 3" xfId="27517" xr:uid="{00000000-0005-0000-0000-0000F5710000}"/>
    <cellStyle name="Normal 77 6 5" xfId="15220" xr:uid="{00000000-0005-0000-0000-0000F6710000}"/>
    <cellStyle name="Normal 77 6 5 2" xfId="31770" xr:uid="{00000000-0005-0000-0000-0000F7710000}"/>
    <cellStyle name="Normal 77 6 6" xfId="23727" xr:uid="{00000000-0005-0000-0000-0000F8710000}"/>
    <cellStyle name="Normal 77 7" xfId="5744" xr:uid="{00000000-0005-0000-0000-0000F9710000}"/>
    <cellStyle name="Normal 77 7 2" xfId="5745" xr:uid="{00000000-0005-0000-0000-0000FA710000}"/>
    <cellStyle name="Normal 77 7 2 2" xfId="9635" xr:uid="{00000000-0005-0000-0000-0000FB710000}"/>
    <cellStyle name="Normal 77 7 2 2 2" xfId="18991" xr:uid="{00000000-0005-0000-0000-0000FC710000}"/>
    <cellStyle name="Normal 77 7 2 2 2 2" xfId="35565" xr:uid="{00000000-0005-0000-0000-0000FD710000}"/>
    <cellStyle name="Normal 77 7 2 2 3" xfId="27518" xr:uid="{00000000-0005-0000-0000-0000FE710000}"/>
    <cellStyle name="Normal 77 7 2 3" xfId="15225" xr:uid="{00000000-0005-0000-0000-0000FF710000}"/>
    <cellStyle name="Normal 77 7 2 3 2" xfId="31775" xr:uid="{00000000-0005-0000-0000-000000720000}"/>
    <cellStyle name="Normal 77 7 2 4" xfId="23732" xr:uid="{00000000-0005-0000-0000-000001720000}"/>
    <cellStyle name="Normal 77 7 3" xfId="9636" xr:uid="{00000000-0005-0000-0000-000002720000}"/>
    <cellStyle name="Normal 77 7 3 2" xfId="18992" xr:uid="{00000000-0005-0000-0000-000003720000}"/>
    <cellStyle name="Normal 77 7 3 2 2" xfId="35566" xr:uid="{00000000-0005-0000-0000-000004720000}"/>
    <cellStyle name="Normal 77 7 3 3" xfId="27519" xr:uid="{00000000-0005-0000-0000-000005720000}"/>
    <cellStyle name="Normal 77 7 4" xfId="15224" xr:uid="{00000000-0005-0000-0000-000006720000}"/>
    <cellStyle name="Normal 77 7 4 2" xfId="31774" xr:uid="{00000000-0005-0000-0000-000007720000}"/>
    <cellStyle name="Normal 77 7 5" xfId="23731" xr:uid="{00000000-0005-0000-0000-000008720000}"/>
    <cellStyle name="Normal 77 8" xfId="5746" xr:uid="{00000000-0005-0000-0000-000009720000}"/>
    <cellStyle name="Normal 77 8 2" xfId="9637" xr:uid="{00000000-0005-0000-0000-00000A720000}"/>
    <cellStyle name="Normal 77 8 2 2" xfId="18993" xr:uid="{00000000-0005-0000-0000-00000B720000}"/>
    <cellStyle name="Normal 77 8 2 2 2" xfId="35567" xr:uid="{00000000-0005-0000-0000-00000C720000}"/>
    <cellStyle name="Normal 77 8 2 3" xfId="27520" xr:uid="{00000000-0005-0000-0000-00000D720000}"/>
    <cellStyle name="Normal 77 8 3" xfId="15226" xr:uid="{00000000-0005-0000-0000-00000E720000}"/>
    <cellStyle name="Normal 77 8 3 2" xfId="31776" xr:uid="{00000000-0005-0000-0000-00000F720000}"/>
    <cellStyle name="Normal 77 8 4" xfId="23733" xr:uid="{00000000-0005-0000-0000-000010720000}"/>
    <cellStyle name="Normal 77 9" xfId="9638" xr:uid="{00000000-0005-0000-0000-000011720000}"/>
    <cellStyle name="Normal 77 9 2" xfId="18994" xr:uid="{00000000-0005-0000-0000-000012720000}"/>
    <cellStyle name="Normal 77 9 2 2" xfId="35568" xr:uid="{00000000-0005-0000-0000-000013720000}"/>
    <cellStyle name="Normal 77 9 3" xfId="27521" xr:uid="{00000000-0005-0000-0000-000014720000}"/>
    <cellStyle name="Normal 78" xfId="5747" xr:uid="{00000000-0005-0000-0000-000015720000}"/>
    <cellStyle name="Normal 78 10" xfId="15227" xr:uid="{00000000-0005-0000-0000-000016720000}"/>
    <cellStyle name="Normal 78 10 2" xfId="31777" xr:uid="{00000000-0005-0000-0000-000017720000}"/>
    <cellStyle name="Normal 78 11" xfId="23734" xr:uid="{00000000-0005-0000-0000-000018720000}"/>
    <cellStyle name="Normal 78 2" xfId="5748" xr:uid="{00000000-0005-0000-0000-000019720000}"/>
    <cellStyle name="Normal 78 2 2" xfId="5749" xr:uid="{00000000-0005-0000-0000-00001A720000}"/>
    <cellStyle name="Normal 78 2 3" xfId="15228" xr:uid="{00000000-0005-0000-0000-00001B720000}"/>
    <cellStyle name="Normal 78 2 3 2" xfId="31778" xr:uid="{00000000-0005-0000-0000-00001C720000}"/>
    <cellStyle name="Normal 78 2 4" xfId="23735" xr:uid="{00000000-0005-0000-0000-00001D720000}"/>
    <cellStyle name="Normal 78 3" xfId="5750" xr:uid="{00000000-0005-0000-0000-00001E720000}"/>
    <cellStyle name="Normal 78 3 2" xfId="5751" xr:uid="{00000000-0005-0000-0000-00001F720000}"/>
    <cellStyle name="Normal 78 3 2 2" xfId="5752" xr:uid="{00000000-0005-0000-0000-000020720000}"/>
    <cellStyle name="Normal 78 3 2 2 2" xfId="5753" xr:uid="{00000000-0005-0000-0000-000021720000}"/>
    <cellStyle name="Normal 78 3 2 2 2 2" xfId="9639" xr:uid="{00000000-0005-0000-0000-000022720000}"/>
    <cellStyle name="Normal 78 3 2 2 2 2 2" xfId="18995" xr:uid="{00000000-0005-0000-0000-000023720000}"/>
    <cellStyle name="Normal 78 3 2 2 2 2 2 2" xfId="35569" xr:uid="{00000000-0005-0000-0000-000024720000}"/>
    <cellStyle name="Normal 78 3 2 2 2 2 3" xfId="27522" xr:uid="{00000000-0005-0000-0000-000025720000}"/>
    <cellStyle name="Normal 78 3 2 2 2 3" xfId="15231" xr:uid="{00000000-0005-0000-0000-000026720000}"/>
    <cellStyle name="Normal 78 3 2 2 2 3 2" xfId="31781" xr:uid="{00000000-0005-0000-0000-000027720000}"/>
    <cellStyle name="Normal 78 3 2 2 2 4" xfId="23738" xr:uid="{00000000-0005-0000-0000-000028720000}"/>
    <cellStyle name="Normal 78 3 2 2 3" xfId="9640" xr:uid="{00000000-0005-0000-0000-000029720000}"/>
    <cellStyle name="Normal 78 3 2 2 3 2" xfId="18996" xr:uid="{00000000-0005-0000-0000-00002A720000}"/>
    <cellStyle name="Normal 78 3 2 2 3 2 2" xfId="35570" xr:uid="{00000000-0005-0000-0000-00002B720000}"/>
    <cellStyle name="Normal 78 3 2 2 3 3" xfId="27523" xr:uid="{00000000-0005-0000-0000-00002C720000}"/>
    <cellStyle name="Normal 78 3 2 2 4" xfId="15230" xr:uid="{00000000-0005-0000-0000-00002D720000}"/>
    <cellStyle name="Normal 78 3 2 2 4 2" xfId="31780" xr:uid="{00000000-0005-0000-0000-00002E720000}"/>
    <cellStyle name="Normal 78 3 2 2 5" xfId="23737" xr:uid="{00000000-0005-0000-0000-00002F720000}"/>
    <cellStyle name="Normal 78 3 2 3" xfId="5754" xr:uid="{00000000-0005-0000-0000-000030720000}"/>
    <cellStyle name="Normal 78 3 2 3 2" xfId="9641" xr:uid="{00000000-0005-0000-0000-000031720000}"/>
    <cellStyle name="Normal 78 3 2 3 2 2" xfId="18997" xr:uid="{00000000-0005-0000-0000-000032720000}"/>
    <cellStyle name="Normal 78 3 2 3 2 2 2" xfId="35571" xr:uid="{00000000-0005-0000-0000-000033720000}"/>
    <cellStyle name="Normal 78 3 2 3 2 3" xfId="27524" xr:uid="{00000000-0005-0000-0000-000034720000}"/>
    <cellStyle name="Normal 78 3 2 3 3" xfId="15232" xr:uid="{00000000-0005-0000-0000-000035720000}"/>
    <cellStyle name="Normal 78 3 2 3 3 2" xfId="31782" xr:uid="{00000000-0005-0000-0000-000036720000}"/>
    <cellStyle name="Normal 78 3 2 3 4" xfId="23739" xr:uid="{00000000-0005-0000-0000-000037720000}"/>
    <cellStyle name="Normal 78 3 2 4" xfId="9642" xr:uid="{00000000-0005-0000-0000-000038720000}"/>
    <cellStyle name="Normal 78 3 2 4 2" xfId="18998" xr:uid="{00000000-0005-0000-0000-000039720000}"/>
    <cellStyle name="Normal 78 3 2 4 2 2" xfId="35572" xr:uid="{00000000-0005-0000-0000-00003A720000}"/>
    <cellStyle name="Normal 78 3 2 4 3" xfId="27525" xr:uid="{00000000-0005-0000-0000-00003B720000}"/>
    <cellStyle name="Normal 78 3 2 5" xfId="15229" xr:uid="{00000000-0005-0000-0000-00003C720000}"/>
    <cellStyle name="Normal 78 3 2 5 2" xfId="31779" xr:uid="{00000000-0005-0000-0000-00003D720000}"/>
    <cellStyle name="Normal 78 3 2 6" xfId="23736" xr:uid="{00000000-0005-0000-0000-00003E720000}"/>
    <cellStyle name="Normal 78 3 3" xfId="5755" xr:uid="{00000000-0005-0000-0000-00003F720000}"/>
    <cellStyle name="Normal 78 3 3 2" xfId="5756" xr:uid="{00000000-0005-0000-0000-000040720000}"/>
    <cellStyle name="Normal 78 3 3 2 2" xfId="9643" xr:uid="{00000000-0005-0000-0000-000041720000}"/>
    <cellStyle name="Normal 78 3 3 2 2 2" xfId="18999" xr:uid="{00000000-0005-0000-0000-000042720000}"/>
    <cellStyle name="Normal 78 3 3 2 2 2 2" xfId="35573" xr:uid="{00000000-0005-0000-0000-000043720000}"/>
    <cellStyle name="Normal 78 3 3 2 2 3" xfId="27526" xr:uid="{00000000-0005-0000-0000-000044720000}"/>
    <cellStyle name="Normal 78 3 3 2 3" xfId="15234" xr:uid="{00000000-0005-0000-0000-000045720000}"/>
    <cellStyle name="Normal 78 3 3 2 3 2" xfId="31784" xr:uid="{00000000-0005-0000-0000-000046720000}"/>
    <cellStyle name="Normal 78 3 3 2 4" xfId="23741" xr:uid="{00000000-0005-0000-0000-000047720000}"/>
    <cellStyle name="Normal 78 3 3 3" xfId="9644" xr:uid="{00000000-0005-0000-0000-000048720000}"/>
    <cellStyle name="Normal 78 3 3 3 2" xfId="19000" xr:uid="{00000000-0005-0000-0000-000049720000}"/>
    <cellStyle name="Normal 78 3 3 3 2 2" xfId="35574" xr:uid="{00000000-0005-0000-0000-00004A720000}"/>
    <cellStyle name="Normal 78 3 3 3 3" xfId="27527" xr:uid="{00000000-0005-0000-0000-00004B720000}"/>
    <cellStyle name="Normal 78 3 3 4" xfId="15233" xr:uid="{00000000-0005-0000-0000-00004C720000}"/>
    <cellStyle name="Normal 78 3 3 4 2" xfId="31783" xr:uid="{00000000-0005-0000-0000-00004D720000}"/>
    <cellStyle name="Normal 78 3 3 5" xfId="23740" xr:uid="{00000000-0005-0000-0000-00004E720000}"/>
    <cellStyle name="Normal 78 3 4" xfId="5757" xr:uid="{00000000-0005-0000-0000-00004F720000}"/>
    <cellStyle name="Normal 78 3 4 2" xfId="9645" xr:uid="{00000000-0005-0000-0000-000050720000}"/>
    <cellStyle name="Normal 78 3 4 2 2" xfId="19001" xr:uid="{00000000-0005-0000-0000-000051720000}"/>
    <cellStyle name="Normal 78 3 4 2 2 2" xfId="35575" xr:uid="{00000000-0005-0000-0000-000052720000}"/>
    <cellStyle name="Normal 78 3 4 2 3" xfId="27528" xr:uid="{00000000-0005-0000-0000-000053720000}"/>
    <cellStyle name="Normal 78 3 4 3" xfId="15235" xr:uid="{00000000-0005-0000-0000-000054720000}"/>
    <cellStyle name="Normal 78 3 4 3 2" xfId="31785" xr:uid="{00000000-0005-0000-0000-000055720000}"/>
    <cellStyle name="Normal 78 3 4 4" xfId="23742" xr:uid="{00000000-0005-0000-0000-000056720000}"/>
    <cellStyle name="Normal 78 3 5" xfId="5758" xr:uid="{00000000-0005-0000-0000-000057720000}"/>
    <cellStyle name="Normal 78 3 5 2" xfId="15236" xr:uid="{00000000-0005-0000-0000-000058720000}"/>
    <cellStyle name="Normal 78 3 5 2 2" xfId="31786" xr:uid="{00000000-0005-0000-0000-000059720000}"/>
    <cellStyle name="Normal 78 3 5 3" xfId="23743" xr:uid="{00000000-0005-0000-0000-00005A720000}"/>
    <cellStyle name="Normal 78 4" xfId="5759" xr:uid="{00000000-0005-0000-0000-00005B720000}"/>
    <cellStyle name="Normal 78 4 2" xfId="5760" xr:uid="{00000000-0005-0000-0000-00005C720000}"/>
    <cellStyle name="Normal 78 4 2 2" xfId="5761" xr:uid="{00000000-0005-0000-0000-00005D720000}"/>
    <cellStyle name="Normal 78 4 2 2 2" xfId="5762" xr:uid="{00000000-0005-0000-0000-00005E720000}"/>
    <cellStyle name="Normal 78 4 2 2 2 2" xfId="9646" xr:uid="{00000000-0005-0000-0000-00005F720000}"/>
    <cellStyle name="Normal 78 4 2 2 2 2 2" xfId="19002" xr:uid="{00000000-0005-0000-0000-000060720000}"/>
    <cellStyle name="Normal 78 4 2 2 2 2 2 2" xfId="35576" xr:uid="{00000000-0005-0000-0000-000061720000}"/>
    <cellStyle name="Normal 78 4 2 2 2 2 3" xfId="27529" xr:uid="{00000000-0005-0000-0000-000062720000}"/>
    <cellStyle name="Normal 78 4 2 2 2 3" xfId="15240" xr:uid="{00000000-0005-0000-0000-000063720000}"/>
    <cellStyle name="Normal 78 4 2 2 2 3 2" xfId="31790" xr:uid="{00000000-0005-0000-0000-000064720000}"/>
    <cellStyle name="Normal 78 4 2 2 2 4" xfId="23747" xr:uid="{00000000-0005-0000-0000-000065720000}"/>
    <cellStyle name="Normal 78 4 2 2 3" xfId="9647" xr:uid="{00000000-0005-0000-0000-000066720000}"/>
    <cellStyle name="Normal 78 4 2 2 3 2" xfId="19003" xr:uid="{00000000-0005-0000-0000-000067720000}"/>
    <cellStyle name="Normal 78 4 2 2 3 2 2" xfId="35577" xr:uid="{00000000-0005-0000-0000-000068720000}"/>
    <cellStyle name="Normal 78 4 2 2 3 3" xfId="27530" xr:uid="{00000000-0005-0000-0000-000069720000}"/>
    <cellStyle name="Normal 78 4 2 2 4" xfId="15239" xr:uid="{00000000-0005-0000-0000-00006A720000}"/>
    <cellStyle name="Normal 78 4 2 2 4 2" xfId="31789" xr:uid="{00000000-0005-0000-0000-00006B720000}"/>
    <cellStyle name="Normal 78 4 2 2 5" xfId="23746" xr:uid="{00000000-0005-0000-0000-00006C720000}"/>
    <cellStyle name="Normal 78 4 2 3" xfId="5763" xr:uid="{00000000-0005-0000-0000-00006D720000}"/>
    <cellStyle name="Normal 78 4 2 3 2" xfId="9648" xr:uid="{00000000-0005-0000-0000-00006E720000}"/>
    <cellStyle name="Normal 78 4 2 3 2 2" xfId="19004" xr:uid="{00000000-0005-0000-0000-00006F720000}"/>
    <cellStyle name="Normal 78 4 2 3 2 2 2" xfId="35578" xr:uid="{00000000-0005-0000-0000-000070720000}"/>
    <cellStyle name="Normal 78 4 2 3 2 3" xfId="27531" xr:uid="{00000000-0005-0000-0000-000071720000}"/>
    <cellStyle name="Normal 78 4 2 3 3" xfId="15241" xr:uid="{00000000-0005-0000-0000-000072720000}"/>
    <cellStyle name="Normal 78 4 2 3 3 2" xfId="31791" xr:uid="{00000000-0005-0000-0000-000073720000}"/>
    <cellStyle name="Normal 78 4 2 3 4" xfId="23748" xr:uid="{00000000-0005-0000-0000-000074720000}"/>
    <cellStyle name="Normal 78 4 2 4" xfId="9649" xr:uid="{00000000-0005-0000-0000-000075720000}"/>
    <cellStyle name="Normal 78 4 2 4 2" xfId="19005" xr:uid="{00000000-0005-0000-0000-000076720000}"/>
    <cellStyle name="Normal 78 4 2 4 2 2" xfId="35579" xr:uid="{00000000-0005-0000-0000-000077720000}"/>
    <cellStyle name="Normal 78 4 2 4 3" xfId="27532" xr:uid="{00000000-0005-0000-0000-000078720000}"/>
    <cellStyle name="Normal 78 4 2 5" xfId="15238" xr:uid="{00000000-0005-0000-0000-000079720000}"/>
    <cellStyle name="Normal 78 4 2 5 2" xfId="31788" xr:uid="{00000000-0005-0000-0000-00007A720000}"/>
    <cellStyle name="Normal 78 4 2 6" xfId="23745" xr:uid="{00000000-0005-0000-0000-00007B720000}"/>
    <cellStyle name="Normal 78 4 3" xfId="5764" xr:uid="{00000000-0005-0000-0000-00007C720000}"/>
    <cellStyle name="Normal 78 4 3 2" xfId="5765" xr:uid="{00000000-0005-0000-0000-00007D720000}"/>
    <cellStyle name="Normal 78 4 3 2 2" xfId="9650" xr:uid="{00000000-0005-0000-0000-00007E720000}"/>
    <cellStyle name="Normal 78 4 3 2 2 2" xfId="19006" xr:uid="{00000000-0005-0000-0000-00007F720000}"/>
    <cellStyle name="Normal 78 4 3 2 2 2 2" xfId="35580" xr:uid="{00000000-0005-0000-0000-000080720000}"/>
    <cellStyle name="Normal 78 4 3 2 2 3" xfId="27533" xr:uid="{00000000-0005-0000-0000-000081720000}"/>
    <cellStyle name="Normal 78 4 3 2 3" xfId="15243" xr:uid="{00000000-0005-0000-0000-000082720000}"/>
    <cellStyle name="Normal 78 4 3 2 3 2" xfId="31793" xr:uid="{00000000-0005-0000-0000-000083720000}"/>
    <cellStyle name="Normal 78 4 3 2 4" xfId="23750" xr:uid="{00000000-0005-0000-0000-000084720000}"/>
    <cellStyle name="Normal 78 4 3 3" xfId="9651" xr:uid="{00000000-0005-0000-0000-000085720000}"/>
    <cellStyle name="Normal 78 4 3 3 2" xfId="19007" xr:uid="{00000000-0005-0000-0000-000086720000}"/>
    <cellStyle name="Normal 78 4 3 3 2 2" xfId="35581" xr:uid="{00000000-0005-0000-0000-000087720000}"/>
    <cellStyle name="Normal 78 4 3 3 3" xfId="27534" xr:uid="{00000000-0005-0000-0000-000088720000}"/>
    <cellStyle name="Normal 78 4 3 4" xfId="15242" xr:uid="{00000000-0005-0000-0000-000089720000}"/>
    <cellStyle name="Normal 78 4 3 4 2" xfId="31792" xr:uid="{00000000-0005-0000-0000-00008A720000}"/>
    <cellStyle name="Normal 78 4 3 5" xfId="23749" xr:uid="{00000000-0005-0000-0000-00008B720000}"/>
    <cellStyle name="Normal 78 4 4" xfId="5766" xr:uid="{00000000-0005-0000-0000-00008C720000}"/>
    <cellStyle name="Normal 78 4 4 2" xfId="9652" xr:uid="{00000000-0005-0000-0000-00008D720000}"/>
    <cellStyle name="Normal 78 4 4 2 2" xfId="19008" xr:uid="{00000000-0005-0000-0000-00008E720000}"/>
    <cellStyle name="Normal 78 4 4 2 2 2" xfId="35582" xr:uid="{00000000-0005-0000-0000-00008F720000}"/>
    <cellStyle name="Normal 78 4 4 2 3" xfId="27535" xr:uid="{00000000-0005-0000-0000-000090720000}"/>
    <cellStyle name="Normal 78 4 4 3" xfId="15244" xr:uid="{00000000-0005-0000-0000-000091720000}"/>
    <cellStyle name="Normal 78 4 4 3 2" xfId="31794" xr:uid="{00000000-0005-0000-0000-000092720000}"/>
    <cellStyle name="Normal 78 4 4 4" xfId="23751" xr:uid="{00000000-0005-0000-0000-000093720000}"/>
    <cellStyle name="Normal 78 4 5" xfId="9653" xr:uid="{00000000-0005-0000-0000-000094720000}"/>
    <cellStyle name="Normal 78 4 5 2" xfId="19009" xr:uid="{00000000-0005-0000-0000-000095720000}"/>
    <cellStyle name="Normal 78 4 5 2 2" xfId="35583" xr:uid="{00000000-0005-0000-0000-000096720000}"/>
    <cellStyle name="Normal 78 4 5 3" xfId="27536" xr:uid="{00000000-0005-0000-0000-000097720000}"/>
    <cellStyle name="Normal 78 4 6" xfId="15237" xr:uid="{00000000-0005-0000-0000-000098720000}"/>
    <cellStyle name="Normal 78 4 6 2" xfId="31787" xr:uid="{00000000-0005-0000-0000-000099720000}"/>
    <cellStyle name="Normal 78 4 7" xfId="23744" xr:uid="{00000000-0005-0000-0000-00009A720000}"/>
    <cellStyle name="Normal 78 5" xfId="5767" xr:uid="{00000000-0005-0000-0000-00009B720000}"/>
    <cellStyle name="Normal 78 5 2" xfId="5768" xr:uid="{00000000-0005-0000-0000-00009C720000}"/>
    <cellStyle name="Normal 78 5 2 2" xfId="5769" xr:uid="{00000000-0005-0000-0000-00009D720000}"/>
    <cellStyle name="Normal 78 5 2 2 2" xfId="5770" xr:uid="{00000000-0005-0000-0000-00009E720000}"/>
    <cellStyle name="Normal 78 5 2 2 2 2" xfId="9654" xr:uid="{00000000-0005-0000-0000-00009F720000}"/>
    <cellStyle name="Normal 78 5 2 2 2 2 2" xfId="19010" xr:uid="{00000000-0005-0000-0000-0000A0720000}"/>
    <cellStyle name="Normal 78 5 2 2 2 2 2 2" xfId="35584" xr:uid="{00000000-0005-0000-0000-0000A1720000}"/>
    <cellStyle name="Normal 78 5 2 2 2 2 3" xfId="27537" xr:uid="{00000000-0005-0000-0000-0000A2720000}"/>
    <cellStyle name="Normal 78 5 2 2 2 3" xfId="15248" xr:uid="{00000000-0005-0000-0000-0000A3720000}"/>
    <cellStyle name="Normal 78 5 2 2 2 3 2" xfId="31798" xr:uid="{00000000-0005-0000-0000-0000A4720000}"/>
    <cellStyle name="Normal 78 5 2 2 2 4" xfId="23755" xr:uid="{00000000-0005-0000-0000-0000A5720000}"/>
    <cellStyle name="Normal 78 5 2 2 3" xfId="9655" xr:uid="{00000000-0005-0000-0000-0000A6720000}"/>
    <cellStyle name="Normal 78 5 2 2 3 2" xfId="19011" xr:uid="{00000000-0005-0000-0000-0000A7720000}"/>
    <cellStyle name="Normal 78 5 2 2 3 2 2" xfId="35585" xr:uid="{00000000-0005-0000-0000-0000A8720000}"/>
    <cellStyle name="Normal 78 5 2 2 3 3" xfId="27538" xr:uid="{00000000-0005-0000-0000-0000A9720000}"/>
    <cellStyle name="Normal 78 5 2 2 4" xfId="15247" xr:uid="{00000000-0005-0000-0000-0000AA720000}"/>
    <cellStyle name="Normal 78 5 2 2 4 2" xfId="31797" xr:uid="{00000000-0005-0000-0000-0000AB720000}"/>
    <cellStyle name="Normal 78 5 2 2 5" xfId="23754" xr:uid="{00000000-0005-0000-0000-0000AC720000}"/>
    <cellStyle name="Normal 78 5 2 3" xfId="5771" xr:uid="{00000000-0005-0000-0000-0000AD720000}"/>
    <cellStyle name="Normal 78 5 2 3 2" xfId="9656" xr:uid="{00000000-0005-0000-0000-0000AE720000}"/>
    <cellStyle name="Normal 78 5 2 3 2 2" xfId="19012" xr:uid="{00000000-0005-0000-0000-0000AF720000}"/>
    <cellStyle name="Normal 78 5 2 3 2 2 2" xfId="35586" xr:uid="{00000000-0005-0000-0000-0000B0720000}"/>
    <cellStyle name="Normal 78 5 2 3 2 3" xfId="27539" xr:uid="{00000000-0005-0000-0000-0000B1720000}"/>
    <cellStyle name="Normal 78 5 2 3 3" xfId="15249" xr:uid="{00000000-0005-0000-0000-0000B2720000}"/>
    <cellStyle name="Normal 78 5 2 3 3 2" xfId="31799" xr:uid="{00000000-0005-0000-0000-0000B3720000}"/>
    <cellStyle name="Normal 78 5 2 3 4" xfId="23756" xr:uid="{00000000-0005-0000-0000-0000B4720000}"/>
    <cellStyle name="Normal 78 5 2 4" xfId="9657" xr:uid="{00000000-0005-0000-0000-0000B5720000}"/>
    <cellStyle name="Normal 78 5 2 4 2" xfId="19013" xr:uid="{00000000-0005-0000-0000-0000B6720000}"/>
    <cellStyle name="Normal 78 5 2 4 2 2" xfId="35587" xr:uid="{00000000-0005-0000-0000-0000B7720000}"/>
    <cellStyle name="Normal 78 5 2 4 3" xfId="27540" xr:uid="{00000000-0005-0000-0000-0000B8720000}"/>
    <cellStyle name="Normal 78 5 2 5" xfId="15246" xr:uid="{00000000-0005-0000-0000-0000B9720000}"/>
    <cellStyle name="Normal 78 5 2 5 2" xfId="31796" xr:uid="{00000000-0005-0000-0000-0000BA720000}"/>
    <cellStyle name="Normal 78 5 2 6" xfId="23753" xr:uid="{00000000-0005-0000-0000-0000BB720000}"/>
    <cellStyle name="Normal 78 5 3" xfId="5772" xr:uid="{00000000-0005-0000-0000-0000BC720000}"/>
    <cellStyle name="Normal 78 5 3 2" xfId="5773" xr:uid="{00000000-0005-0000-0000-0000BD720000}"/>
    <cellStyle name="Normal 78 5 3 2 2" xfId="9658" xr:uid="{00000000-0005-0000-0000-0000BE720000}"/>
    <cellStyle name="Normal 78 5 3 2 2 2" xfId="19014" xr:uid="{00000000-0005-0000-0000-0000BF720000}"/>
    <cellStyle name="Normal 78 5 3 2 2 2 2" xfId="35588" xr:uid="{00000000-0005-0000-0000-0000C0720000}"/>
    <cellStyle name="Normal 78 5 3 2 2 3" xfId="27541" xr:uid="{00000000-0005-0000-0000-0000C1720000}"/>
    <cellStyle name="Normal 78 5 3 2 3" xfId="15251" xr:uid="{00000000-0005-0000-0000-0000C2720000}"/>
    <cellStyle name="Normal 78 5 3 2 3 2" xfId="31801" xr:uid="{00000000-0005-0000-0000-0000C3720000}"/>
    <cellStyle name="Normal 78 5 3 2 4" xfId="23758" xr:uid="{00000000-0005-0000-0000-0000C4720000}"/>
    <cellStyle name="Normal 78 5 3 3" xfId="9659" xr:uid="{00000000-0005-0000-0000-0000C5720000}"/>
    <cellStyle name="Normal 78 5 3 3 2" xfId="19015" xr:uid="{00000000-0005-0000-0000-0000C6720000}"/>
    <cellStyle name="Normal 78 5 3 3 2 2" xfId="35589" xr:uid="{00000000-0005-0000-0000-0000C7720000}"/>
    <cellStyle name="Normal 78 5 3 3 3" xfId="27542" xr:uid="{00000000-0005-0000-0000-0000C8720000}"/>
    <cellStyle name="Normal 78 5 3 4" xfId="15250" xr:uid="{00000000-0005-0000-0000-0000C9720000}"/>
    <cellStyle name="Normal 78 5 3 4 2" xfId="31800" xr:uid="{00000000-0005-0000-0000-0000CA720000}"/>
    <cellStyle name="Normal 78 5 3 5" xfId="23757" xr:uid="{00000000-0005-0000-0000-0000CB720000}"/>
    <cellStyle name="Normal 78 5 4" xfId="5774" xr:uid="{00000000-0005-0000-0000-0000CC720000}"/>
    <cellStyle name="Normal 78 5 4 2" xfId="9660" xr:uid="{00000000-0005-0000-0000-0000CD720000}"/>
    <cellStyle name="Normal 78 5 4 2 2" xfId="19016" xr:uid="{00000000-0005-0000-0000-0000CE720000}"/>
    <cellStyle name="Normal 78 5 4 2 2 2" xfId="35590" xr:uid="{00000000-0005-0000-0000-0000CF720000}"/>
    <cellStyle name="Normal 78 5 4 2 3" xfId="27543" xr:uid="{00000000-0005-0000-0000-0000D0720000}"/>
    <cellStyle name="Normal 78 5 4 3" xfId="15252" xr:uid="{00000000-0005-0000-0000-0000D1720000}"/>
    <cellStyle name="Normal 78 5 4 3 2" xfId="31802" xr:uid="{00000000-0005-0000-0000-0000D2720000}"/>
    <cellStyle name="Normal 78 5 4 4" xfId="23759" xr:uid="{00000000-0005-0000-0000-0000D3720000}"/>
    <cellStyle name="Normal 78 5 5" xfId="9661" xr:uid="{00000000-0005-0000-0000-0000D4720000}"/>
    <cellStyle name="Normal 78 5 5 2" xfId="19017" xr:uid="{00000000-0005-0000-0000-0000D5720000}"/>
    <cellStyle name="Normal 78 5 5 2 2" xfId="35591" xr:uid="{00000000-0005-0000-0000-0000D6720000}"/>
    <cellStyle name="Normal 78 5 5 3" xfId="27544" xr:uid="{00000000-0005-0000-0000-0000D7720000}"/>
    <cellStyle name="Normal 78 5 6" xfId="15245" xr:uid="{00000000-0005-0000-0000-0000D8720000}"/>
    <cellStyle name="Normal 78 5 6 2" xfId="31795" xr:uid="{00000000-0005-0000-0000-0000D9720000}"/>
    <cellStyle name="Normal 78 5 7" xfId="23752" xr:uid="{00000000-0005-0000-0000-0000DA720000}"/>
    <cellStyle name="Normal 78 6" xfId="5775" xr:uid="{00000000-0005-0000-0000-0000DB720000}"/>
    <cellStyle name="Normal 78 6 2" xfId="5776" xr:uid="{00000000-0005-0000-0000-0000DC720000}"/>
    <cellStyle name="Normal 78 6 2 2" xfId="5777" xr:uid="{00000000-0005-0000-0000-0000DD720000}"/>
    <cellStyle name="Normal 78 6 2 2 2" xfId="9662" xr:uid="{00000000-0005-0000-0000-0000DE720000}"/>
    <cellStyle name="Normal 78 6 2 2 2 2" xfId="19018" xr:uid="{00000000-0005-0000-0000-0000DF720000}"/>
    <cellStyle name="Normal 78 6 2 2 2 2 2" xfId="35592" xr:uid="{00000000-0005-0000-0000-0000E0720000}"/>
    <cellStyle name="Normal 78 6 2 2 2 3" xfId="27545" xr:uid="{00000000-0005-0000-0000-0000E1720000}"/>
    <cellStyle name="Normal 78 6 2 2 3" xfId="15255" xr:uid="{00000000-0005-0000-0000-0000E2720000}"/>
    <cellStyle name="Normal 78 6 2 2 3 2" xfId="31805" xr:uid="{00000000-0005-0000-0000-0000E3720000}"/>
    <cellStyle name="Normal 78 6 2 2 4" xfId="23762" xr:uid="{00000000-0005-0000-0000-0000E4720000}"/>
    <cellStyle name="Normal 78 6 2 3" xfId="9663" xr:uid="{00000000-0005-0000-0000-0000E5720000}"/>
    <cellStyle name="Normal 78 6 2 3 2" xfId="19019" xr:uid="{00000000-0005-0000-0000-0000E6720000}"/>
    <cellStyle name="Normal 78 6 2 3 2 2" xfId="35593" xr:uid="{00000000-0005-0000-0000-0000E7720000}"/>
    <cellStyle name="Normal 78 6 2 3 3" xfId="27546" xr:uid="{00000000-0005-0000-0000-0000E8720000}"/>
    <cellStyle name="Normal 78 6 2 4" xfId="15254" xr:uid="{00000000-0005-0000-0000-0000E9720000}"/>
    <cellStyle name="Normal 78 6 2 4 2" xfId="31804" xr:uid="{00000000-0005-0000-0000-0000EA720000}"/>
    <cellStyle name="Normal 78 6 2 5" xfId="23761" xr:uid="{00000000-0005-0000-0000-0000EB720000}"/>
    <cellStyle name="Normal 78 6 3" xfId="5778" xr:uid="{00000000-0005-0000-0000-0000EC720000}"/>
    <cellStyle name="Normal 78 6 3 2" xfId="9664" xr:uid="{00000000-0005-0000-0000-0000ED720000}"/>
    <cellStyle name="Normal 78 6 3 2 2" xfId="19020" xr:uid="{00000000-0005-0000-0000-0000EE720000}"/>
    <cellStyle name="Normal 78 6 3 2 2 2" xfId="35594" xr:uid="{00000000-0005-0000-0000-0000EF720000}"/>
    <cellStyle name="Normal 78 6 3 2 3" xfId="27547" xr:uid="{00000000-0005-0000-0000-0000F0720000}"/>
    <cellStyle name="Normal 78 6 3 3" xfId="15256" xr:uid="{00000000-0005-0000-0000-0000F1720000}"/>
    <cellStyle name="Normal 78 6 3 3 2" xfId="31806" xr:uid="{00000000-0005-0000-0000-0000F2720000}"/>
    <cellStyle name="Normal 78 6 3 4" xfId="23763" xr:uid="{00000000-0005-0000-0000-0000F3720000}"/>
    <cellStyle name="Normal 78 6 4" xfId="9665" xr:uid="{00000000-0005-0000-0000-0000F4720000}"/>
    <cellStyle name="Normal 78 6 4 2" xfId="19021" xr:uid="{00000000-0005-0000-0000-0000F5720000}"/>
    <cellStyle name="Normal 78 6 4 2 2" xfId="35595" xr:uid="{00000000-0005-0000-0000-0000F6720000}"/>
    <cellStyle name="Normal 78 6 4 3" xfId="27548" xr:uid="{00000000-0005-0000-0000-0000F7720000}"/>
    <cellStyle name="Normal 78 6 5" xfId="15253" xr:uid="{00000000-0005-0000-0000-0000F8720000}"/>
    <cellStyle name="Normal 78 6 5 2" xfId="31803" xr:uid="{00000000-0005-0000-0000-0000F9720000}"/>
    <cellStyle name="Normal 78 6 6" xfId="23760" xr:uid="{00000000-0005-0000-0000-0000FA720000}"/>
    <cellStyle name="Normal 78 7" xfId="5779" xr:uid="{00000000-0005-0000-0000-0000FB720000}"/>
    <cellStyle name="Normal 78 7 2" xfId="5780" xr:uid="{00000000-0005-0000-0000-0000FC720000}"/>
    <cellStyle name="Normal 78 7 2 2" xfId="9666" xr:uid="{00000000-0005-0000-0000-0000FD720000}"/>
    <cellStyle name="Normal 78 7 2 2 2" xfId="19022" xr:uid="{00000000-0005-0000-0000-0000FE720000}"/>
    <cellStyle name="Normal 78 7 2 2 2 2" xfId="35596" xr:uid="{00000000-0005-0000-0000-0000FF720000}"/>
    <cellStyle name="Normal 78 7 2 2 3" xfId="27549" xr:uid="{00000000-0005-0000-0000-000000730000}"/>
    <cellStyle name="Normal 78 7 2 3" xfId="15258" xr:uid="{00000000-0005-0000-0000-000001730000}"/>
    <cellStyle name="Normal 78 7 2 3 2" xfId="31808" xr:uid="{00000000-0005-0000-0000-000002730000}"/>
    <cellStyle name="Normal 78 7 2 4" xfId="23765" xr:uid="{00000000-0005-0000-0000-000003730000}"/>
    <cellStyle name="Normal 78 7 3" xfId="9667" xr:uid="{00000000-0005-0000-0000-000004730000}"/>
    <cellStyle name="Normal 78 7 3 2" xfId="19023" xr:uid="{00000000-0005-0000-0000-000005730000}"/>
    <cellStyle name="Normal 78 7 3 2 2" xfId="35597" xr:uid="{00000000-0005-0000-0000-000006730000}"/>
    <cellStyle name="Normal 78 7 3 3" xfId="27550" xr:uid="{00000000-0005-0000-0000-000007730000}"/>
    <cellStyle name="Normal 78 7 4" xfId="15257" xr:uid="{00000000-0005-0000-0000-000008730000}"/>
    <cellStyle name="Normal 78 7 4 2" xfId="31807" xr:uid="{00000000-0005-0000-0000-000009730000}"/>
    <cellStyle name="Normal 78 7 5" xfId="23764" xr:uid="{00000000-0005-0000-0000-00000A730000}"/>
    <cellStyle name="Normal 78 8" xfId="5781" xr:uid="{00000000-0005-0000-0000-00000B730000}"/>
    <cellStyle name="Normal 78 8 2" xfId="9668" xr:uid="{00000000-0005-0000-0000-00000C730000}"/>
    <cellStyle name="Normal 78 8 2 2" xfId="19024" xr:uid="{00000000-0005-0000-0000-00000D730000}"/>
    <cellStyle name="Normal 78 8 2 2 2" xfId="35598" xr:uid="{00000000-0005-0000-0000-00000E730000}"/>
    <cellStyle name="Normal 78 8 2 3" xfId="27551" xr:uid="{00000000-0005-0000-0000-00000F730000}"/>
    <cellStyle name="Normal 78 8 3" xfId="15259" xr:uid="{00000000-0005-0000-0000-000010730000}"/>
    <cellStyle name="Normal 78 8 3 2" xfId="31809" xr:uid="{00000000-0005-0000-0000-000011730000}"/>
    <cellStyle name="Normal 78 8 4" xfId="23766" xr:uid="{00000000-0005-0000-0000-000012730000}"/>
    <cellStyle name="Normal 78 9" xfId="9669" xr:uid="{00000000-0005-0000-0000-000013730000}"/>
    <cellStyle name="Normal 78 9 2" xfId="19025" xr:uid="{00000000-0005-0000-0000-000014730000}"/>
    <cellStyle name="Normal 78 9 2 2" xfId="35599" xr:uid="{00000000-0005-0000-0000-000015730000}"/>
    <cellStyle name="Normal 78 9 3" xfId="27552" xr:uid="{00000000-0005-0000-0000-000016730000}"/>
    <cellStyle name="Normal 79" xfId="5782" xr:uid="{00000000-0005-0000-0000-000017730000}"/>
    <cellStyle name="Normal 79 10" xfId="15260" xr:uid="{00000000-0005-0000-0000-000018730000}"/>
    <cellStyle name="Normal 79 10 2" xfId="31810" xr:uid="{00000000-0005-0000-0000-000019730000}"/>
    <cellStyle name="Normal 79 11" xfId="23767" xr:uid="{00000000-0005-0000-0000-00001A730000}"/>
    <cellStyle name="Normal 79 2" xfId="5783" xr:uid="{00000000-0005-0000-0000-00001B730000}"/>
    <cellStyle name="Normal 79 2 2" xfId="5784" xr:uid="{00000000-0005-0000-0000-00001C730000}"/>
    <cellStyle name="Normal 79 2 3" xfId="15261" xr:uid="{00000000-0005-0000-0000-00001D730000}"/>
    <cellStyle name="Normal 79 2 3 2" xfId="31811" xr:uid="{00000000-0005-0000-0000-00001E730000}"/>
    <cellStyle name="Normal 79 2 4" xfId="23768" xr:uid="{00000000-0005-0000-0000-00001F730000}"/>
    <cellStyle name="Normal 79 3" xfId="5785" xr:uid="{00000000-0005-0000-0000-000020730000}"/>
    <cellStyle name="Normal 79 3 2" xfId="5786" xr:uid="{00000000-0005-0000-0000-000021730000}"/>
    <cellStyle name="Normal 79 3 2 2" xfId="5787" xr:uid="{00000000-0005-0000-0000-000022730000}"/>
    <cellStyle name="Normal 79 3 2 2 2" xfId="5788" xr:uid="{00000000-0005-0000-0000-000023730000}"/>
    <cellStyle name="Normal 79 3 2 2 2 2" xfId="9670" xr:uid="{00000000-0005-0000-0000-000024730000}"/>
    <cellStyle name="Normal 79 3 2 2 2 2 2" xfId="19026" xr:uid="{00000000-0005-0000-0000-000025730000}"/>
    <cellStyle name="Normal 79 3 2 2 2 2 2 2" xfId="35600" xr:uid="{00000000-0005-0000-0000-000026730000}"/>
    <cellStyle name="Normal 79 3 2 2 2 2 3" xfId="27553" xr:uid="{00000000-0005-0000-0000-000027730000}"/>
    <cellStyle name="Normal 79 3 2 2 2 3" xfId="15264" xr:uid="{00000000-0005-0000-0000-000028730000}"/>
    <cellStyle name="Normal 79 3 2 2 2 3 2" xfId="31814" xr:uid="{00000000-0005-0000-0000-000029730000}"/>
    <cellStyle name="Normal 79 3 2 2 2 4" xfId="23771" xr:uid="{00000000-0005-0000-0000-00002A730000}"/>
    <cellStyle name="Normal 79 3 2 2 3" xfId="9671" xr:uid="{00000000-0005-0000-0000-00002B730000}"/>
    <cellStyle name="Normal 79 3 2 2 3 2" xfId="19027" xr:uid="{00000000-0005-0000-0000-00002C730000}"/>
    <cellStyle name="Normal 79 3 2 2 3 2 2" xfId="35601" xr:uid="{00000000-0005-0000-0000-00002D730000}"/>
    <cellStyle name="Normal 79 3 2 2 3 3" xfId="27554" xr:uid="{00000000-0005-0000-0000-00002E730000}"/>
    <cellStyle name="Normal 79 3 2 2 4" xfId="15263" xr:uid="{00000000-0005-0000-0000-00002F730000}"/>
    <cellStyle name="Normal 79 3 2 2 4 2" xfId="31813" xr:uid="{00000000-0005-0000-0000-000030730000}"/>
    <cellStyle name="Normal 79 3 2 2 5" xfId="23770" xr:uid="{00000000-0005-0000-0000-000031730000}"/>
    <cellStyle name="Normal 79 3 2 3" xfId="5789" xr:uid="{00000000-0005-0000-0000-000032730000}"/>
    <cellStyle name="Normal 79 3 2 3 2" xfId="9672" xr:uid="{00000000-0005-0000-0000-000033730000}"/>
    <cellStyle name="Normal 79 3 2 3 2 2" xfId="19028" xr:uid="{00000000-0005-0000-0000-000034730000}"/>
    <cellStyle name="Normal 79 3 2 3 2 2 2" xfId="35602" xr:uid="{00000000-0005-0000-0000-000035730000}"/>
    <cellStyle name="Normal 79 3 2 3 2 3" xfId="27555" xr:uid="{00000000-0005-0000-0000-000036730000}"/>
    <cellStyle name="Normal 79 3 2 3 3" xfId="15265" xr:uid="{00000000-0005-0000-0000-000037730000}"/>
    <cellStyle name="Normal 79 3 2 3 3 2" xfId="31815" xr:uid="{00000000-0005-0000-0000-000038730000}"/>
    <cellStyle name="Normal 79 3 2 3 4" xfId="23772" xr:uid="{00000000-0005-0000-0000-000039730000}"/>
    <cellStyle name="Normal 79 3 2 4" xfId="9673" xr:uid="{00000000-0005-0000-0000-00003A730000}"/>
    <cellStyle name="Normal 79 3 2 4 2" xfId="19029" xr:uid="{00000000-0005-0000-0000-00003B730000}"/>
    <cellStyle name="Normal 79 3 2 4 2 2" xfId="35603" xr:uid="{00000000-0005-0000-0000-00003C730000}"/>
    <cellStyle name="Normal 79 3 2 4 3" xfId="27556" xr:uid="{00000000-0005-0000-0000-00003D730000}"/>
    <cellStyle name="Normal 79 3 2 5" xfId="15262" xr:uid="{00000000-0005-0000-0000-00003E730000}"/>
    <cellStyle name="Normal 79 3 2 5 2" xfId="31812" xr:uid="{00000000-0005-0000-0000-00003F730000}"/>
    <cellStyle name="Normal 79 3 2 6" xfId="23769" xr:uid="{00000000-0005-0000-0000-000040730000}"/>
    <cellStyle name="Normal 79 3 3" xfId="5790" xr:uid="{00000000-0005-0000-0000-000041730000}"/>
    <cellStyle name="Normal 79 3 3 2" xfId="5791" xr:uid="{00000000-0005-0000-0000-000042730000}"/>
    <cellStyle name="Normal 79 3 3 2 2" xfId="9674" xr:uid="{00000000-0005-0000-0000-000043730000}"/>
    <cellStyle name="Normal 79 3 3 2 2 2" xfId="19030" xr:uid="{00000000-0005-0000-0000-000044730000}"/>
    <cellStyle name="Normal 79 3 3 2 2 2 2" xfId="35604" xr:uid="{00000000-0005-0000-0000-000045730000}"/>
    <cellStyle name="Normal 79 3 3 2 2 3" xfId="27557" xr:uid="{00000000-0005-0000-0000-000046730000}"/>
    <cellStyle name="Normal 79 3 3 2 3" xfId="15267" xr:uid="{00000000-0005-0000-0000-000047730000}"/>
    <cellStyle name="Normal 79 3 3 2 3 2" xfId="31817" xr:uid="{00000000-0005-0000-0000-000048730000}"/>
    <cellStyle name="Normal 79 3 3 2 4" xfId="23774" xr:uid="{00000000-0005-0000-0000-000049730000}"/>
    <cellStyle name="Normal 79 3 3 3" xfId="9675" xr:uid="{00000000-0005-0000-0000-00004A730000}"/>
    <cellStyle name="Normal 79 3 3 3 2" xfId="19031" xr:uid="{00000000-0005-0000-0000-00004B730000}"/>
    <cellStyle name="Normal 79 3 3 3 2 2" xfId="35605" xr:uid="{00000000-0005-0000-0000-00004C730000}"/>
    <cellStyle name="Normal 79 3 3 3 3" xfId="27558" xr:uid="{00000000-0005-0000-0000-00004D730000}"/>
    <cellStyle name="Normal 79 3 3 4" xfId="15266" xr:uid="{00000000-0005-0000-0000-00004E730000}"/>
    <cellStyle name="Normal 79 3 3 4 2" xfId="31816" xr:uid="{00000000-0005-0000-0000-00004F730000}"/>
    <cellStyle name="Normal 79 3 3 5" xfId="23773" xr:uid="{00000000-0005-0000-0000-000050730000}"/>
    <cellStyle name="Normal 79 3 4" xfId="5792" xr:uid="{00000000-0005-0000-0000-000051730000}"/>
    <cellStyle name="Normal 79 3 4 2" xfId="9676" xr:uid="{00000000-0005-0000-0000-000052730000}"/>
    <cellStyle name="Normal 79 3 4 2 2" xfId="19032" xr:uid="{00000000-0005-0000-0000-000053730000}"/>
    <cellStyle name="Normal 79 3 4 2 2 2" xfId="35606" xr:uid="{00000000-0005-0000-0000-000054730000}"/>
    <cellStyle name="Normal 79 3 4 2 3" xfId="27559" xr:uid="{00000000-0005-0000-0000-000055730000}"/>
    <cellStyle name="Normal 79 3 4 3" xfId="15268" xr:uid="{00000000-0005-0000-0000-000056730000}"/>
    <cellStyle name="Normal 79 3 4 3 2" xfId="31818" xr:uid="{00000000-0005-0000-0000-000057730000}"/>
    <cellStyle name="Normal 79 3 4 4" xfId="23775" xr:uid="{00000000-0005-0000-0000-000058730000}"/>
    <cellStyle name="Normal 79 3 5" xfId="5793" xr:uid="{00000000-0005-0000-0000-000059730000}"/>
    <cellStyle name="Normal 79 3 5 2" xfId="15269" xr:uid="{00000000-0005-0000-0000-00005A730000}"/>
    <cellStyle name="Normal 79 3 5 2 2" xfId="31819" xr:uid="{00000000-0005-0000-0000-00005B730000}"/>
    <cellStyle name="Normal 79 3 5 3" xfId="23776" xr:uid="{00000000-0005-0000-0000-00005C730000}"/>
    <cellStyle name="Normal 79 4" xfId="5794" xr:uid="{00000000-0005-0000-0000-00005D730000}"/>
    <cellStyle name="Normal 79 4 2" xfId="5795" xr:uid="{00000000-0005-0000-0000-00005E730000}"/>
    <cellStyle name="Normal 79 4 2 2" xfId="5796" xr:uid="{00000000-0005-0000-0000-00005F730000}"/>
    <cellStyle name="Normal 79 4 2 2 2" xfId="5797" xr:uid="{00000000-0005-0000-0000-000060730000}"/>
    <cellStyle name="Normal 79 4 2 2 2 2" xfId="9677" xr:uid="{00000000-0005-0000-0000-000061730000}"/>
    <cellStyle name="Normal 79 4 2 2 2 2 2" xfId="19033" xr:uid="{00000000-0005-0000-0000-000062730000}"/>
    <cellStyle name="Normal 79 4 2 2 2 2 2 2" xfId="35607" xr:uid="{00000000-0005-0000-0000-000063730000}"/>
    <cellStyle name="Normal 79 4 2 2 2 2 3" xfId="27560" xr:uid="{00000000-0005-0000-0000-000064730000}"/>
    <cellStyle name="Normal 79 4 2 2 2 3" xfId="15273" xr:uid="{00000000-0005-0000-0000-000065730000}"/>
    <cellStyle name="Normal 79 4 2 2 2 3 2" xfId="31823" xr:uid="{00000000-0005-0000-0000-000066730000}"/>
    <cellStyle name="Normal 79 4 2 2 2 4" xfId="23780" xr:uid="{00000000-0005-0000-0000-000067730000}"/>
    <cellStyle name="Normal 79 4 2 2 3" xfId="9678" xr:uid="{00000000-0005-0000-0000-000068730000}"/>
    <cellStyle name="Normal 79 4 2 2 3 2" xfId="19034" xr:uid="{00000000-0005-0000-0000-000069730000}"/>
    <cellStyle name="Normal 79 4 2 2 3 2 2" xfId="35608" xr:uid="{00000000-0005-0000-0000-00006A730000}"/>
    <cellStyle name="Normal 79 4 2 2 3 3" xfId="27561" xr:uid="{00000000-0005-0000-0000-00006B730000}"/>
    <cellStyle name="Normal 79 4 2 2 4" xfId="15272" xr:uid="{00000000-0005-0000-0000-00006C730000}"/>
    <cellStyle name="Normal 79 4 2 2 4 2" xfId="31822" xr:uid="{00000000-0005-0000-0000-00006D730000}"/>
    <cellStyle name="Normal 79 4 2 2 5" xfId="23779" xr:uid="{00000000-0005-0000-0000-00006E730000}"/>
    <cellStyle name="Normal 79 4 2 3" xfId="5798" xr:uid="{00000000-0005-0000-0000-00006F730000}"/>
    <cellStyle name="Normal 79 4 2 3 2" xfId="9679" xr:uid="{00000000-0005-0000-0000-000070730000}"/>
    <cellStyle name="Normal 79 4 2 3 2 2" xfId="19035" xr:uid="{00000000-0005-0000-0000-000071730000}"/>
    <cellStyle name="Normal 79 4 2 3 2 2 2" xfId="35609" xr:uid="{00000000-0005-0000-0000-000072730000}"/>
    <cellStyle name="Normal 79 4 2 3 2 3" xfId="27562" xr:uid="{00000000-0005-0000-0000-000073730000}"/>
    <cellStyle name="Normal 79 4 2 3 3" xfId="15274" xr:uid="{00000000-0005-0000-0000-000074730000}"/>
    <cellStyle name="Normal 79 4 2 3 3 2" xfId="31824" xr:uid="{00000000-0005-0000-0000-000075730000}"/>
    <cellStyle name="Normal 79 4 2 3 4" xfId="23781" xr:uid="{00000000-0005-0000-0000-000076730000}"/>
    <cellStyle name="Normal 79 4 2 4" xfId="9680" xr:uid="{00000000-0005-0000-0000-000077730000}"/>
    <cellStyle name="Normal 79 4 2 4 2" xfId="19036" xr:uid="{00000000-0005-0000-0000-000078730000}"/>
    <cellStyle name="Normal 79 4 2 4 2 2" xfId="35610" xr:uid="{00000000-0005-0000-0000-000079730000}"/>
    <cellStyle name="Normal 79 4 2 4 3" xfId="27563" xr:uid="{00000000-0005-0000-0000-00007A730000}"/>
    <cellStyle name="Normal 79 4 2 5" xfId="15271" xr:uid="{00000000-0005-0000-0000-00007B730000}"/>
    <cellStyle name="Normal 79 4 2 5 2" xfId="31821" xr:uid="{00000000-0005-0000-0000-00007C730000}"/>
    <cellStyle name="Normal 79 4 2 6" xfId="23778" xr:uid="{00000000-0005-0000-0000-00007D730000}"/>
    <cellStyle name="Normal 79 4 3" xfId="5799" xr:uid="{00000000-0005-0000-0000-00007E730000}"/>
    <cellStyle name="Normal 79 4 3 2" xfId="5800" xr:uid="{00000000-0005-0000-0000-00007F730000}"/>
    <cellStyle name="Normal 79 4 3 2 2" xfId="9681" xr:uid="{00000000-0005-0000-0000-000080730000}"/>
    <cellStyle name="Normal 79 4 3 2 2 2" xfId="19037" xr:uid="{00000000-0005-0000-0000-000081730000}"/>
    <cellStyle name="Normal 79 4 3 2 2 2 2" xfId="35611" xr:uid="{00000000-0005-0000-0000-000082730000}"/>
    <cellStyle name="Normal 79 4 3 2 2 3" xfId="27564" xr:uid="{00000000-0005-0000-0000-000083730000}"/>
    <cellStyle name="Normal 79 4 3 2 3" xfId="15276" xr:uid="{00000000-0005-0000-0000-000084730000}"/>
    <cellStyle name="Normal 79 4 3 2 3 2" xfId="31826" xr:uid="{00000000-0005-0000-0000-000085730000}"/>
    <cellStyle name="Normal 79 4 3 2 4" xfId="23783" xr:uid="{00000000-0005-0000-0000-000086730000}"/>
    <cellStyle name="Normal 79 4 3 3" xfId="9682" xr:uid="{00000000-0005-0000-0000-000087730000}"/>
    <cellStyle name="Normal 79 4 3 3 2" xfId="19038" xr:uid="{00000000-0005-0000-0000-000088730000}"/>
    <cellStyle name="Normal 79 4 3 3 2 2" xfId="35612" xr:uid="{00000000-0005-0000-0000-000089730000}"/>
    <cellStyle name="Normal 79 4 3 3 3" xfId="27565" xr:uid="{00000000-0005-0000-0000-00008A730000}"/>
    <cellStyle name="Normal 79 4 3 4" xfId="15275" xr:uid="{00000000-0005-0000-0000-00008B730000}"/>
    <cellStyle name="Normal 79 4 3 4 2" xfId="31825" xr:uid="{00000000-0005-0000-0000-00008C730000}"/>
    <cellStyle name="Normal 79 4 3 5" xfId="23782" xr:uid="{00000000-0005-0000-0000-00008D730000}"/>
    <cellStyle name="Normal 79 4 4" xfId="5801" xr:uid="{00000000-0005-0000-0000-00008E730000}"/>
    <cellStyle name="Normal 79 4 4 2" xfId="9683" xr:uid="{00000000-0005-0000-0000-00008F730000}"/>
    <cellStyle name="Normal 79 4 4 2 2" xfId="19039" xr:uid="{00000000-0005-0000-0000-000090730000}"/>
    <cellStyle name="Normal 79 4 4 2 2 2" xfId="35613" xr:uid="{00000000-0005-0000-0000-000091730000}"/>
    <cellStyle name="Normal 79 4 4 2 3" xfId="27566" xr:uid="{00000000-0005-0000-0000-000092730000}"/>
    <cellStyle name="Normal 79 4 4 3" xfId="15277" xr:uid="{00000000-0005-0000-0000-000093730000}"/>
    <cellStyle name="Normal 79 4 4 3 2" xfId="31827" xr:uid="{00000000-0005-0000-0000-000094730000}"/>
    <cellStyle name="Normal 79 4 4 4" xfId="23784" xr:uid="{00000000-0005-0000-0000-000095730000}"/>
    <cellStyle name="Normal 79 4 5" xfId="9684" xr:uid="{00000000-0005-0000-0000-000096730000}"/>
    <cellStyle name="Normal 79 4 5 2" xfId="19040" xr:uid="{00000000-0005-0000-0000-000097730000}"/>
    <cellStyle name="Normal 79 4 5 2 2" xfId="35614" xr:uid="{00000000-0005-0000-0000-000098730000}"/>
    <cellStyle name="Normal 79 4 5 3" xfId="27567" xr:uid="{00000000-0005-0000-0000-000099730000}"/>
    <cellStyle name="Normal 79 4 6" xfId="15270" xr:uid="{00000000-0005-0000-0000-00009A730000}"/>
    <cellStyle name="Normal 79 4 6 2" xfId="31820" xr:uid="{00000000-0005-0000-0000-00009B730000}"/>
    <cellStyle name="Normal 79 4 7" xfId="23777" xr:uid="{00000000-0005-0000-0000-00009C730000}"/>
    <cellStyle name="Normal 79 5" xfId="5802" xr:uid="{00000000-0005-0000-0000-00009D730000}"/>
    <cellStyle name="Normal 79 5 2" xfId="5803" xr:uid="{00000000-0005-0000-0000-00009E730000}"/>
    <cellStyle name="Normal 79 5 2 2" xfId="5804" xr:uid="{00000000-0005-0000-0000-00009F730000}"/>
    <cellStyle name="Normal 79 5 2 2 2" xfId="5805" xr:uid="{00000000-0005-0000-0000-0000A0730000}"/>
    <cellStyle name="Normal 79 5 2 2 2 2" xfId="9685" xr:uid="{00000000-0005-0000-0000-0000A1730000}"/>
    <cellStyle name="Normal 79 5 2 2 2 2 2" xfId="19041" xr:uid="{00000000-0005-0000-0000-0000A2730000}"/>
    <cellStyle name="Normal 79 5 2 2 2 2 2 2" xfId="35615" xr:uid="{00000000-0005-0000-0000-0000A3730000}"/>
    <cellStyle name="Normal 79 5 2 2 2 2 3" xfId="27568" xr:uid="{00000000-0005-0000-0000-0000A4730000}"/>
    <cellStyle name="Normal 79 5 2 2 2 3" xfId="15281" xr:uid="{00000000-0005-0000-0000-0000A5730000}"/>
    <cellStyle name="Normal 79 5 2 2 2 3 2" xfId="31831" xr:uid="{00000000-0005-0000-0000-0000A6730000}"/>
    <cellStyle name="Normal 79 5 2 2 2 4" xfId="23788" xr:uid="{00000000-0005-0000-0000-0000A7730000}"/>
    <cellStyle name="Normal 79 5 2 2 3" xfId="9686" xr:uid="{00000000-0005-0000-0000-0000A8730000}"/>
    <cellStyle name="Normal 79 5 2 2 3 2" xfId="19042" xr:uid="{00000000-0005-0000-0000-0000A9730000}"/>
    <cellStyle name="Normal 79 5 2 2 3 2 2" xfId="35616" xr:uid="{00000000-0005-0000-0000-0000AA730000}"/>
    <cellStyle name="Normal 79 5 2 2 3 3" xfId="27569" xr:uid="{00000000-0005-0000-0000-0000AB730000}"/>
    <cellStyle name="Normal 79 5 2 2 4" xfId="15280" xr:uid="{00000000-0005-0000-0000-0000AC730000}"/>
    <cellStyle name="Normal 79 5 2 2 4 2" xfId="31830" xr:uid="{00000000-0005-0000-0000-0000AD730000}"/>
    <cellStyle name="Normal 79 5 2 2 5" xfId="23787" xr:uid="{00000000-0005-0000-0000-0000AE730000}"/>
    <cellStyle name="Normal 79 5 2 3" xfId="5806" xr:uid="{00000000-0005-0000-0000-0000AF730000}"/>
    <cellStyle name="Normal 79 5 2 3 2" xfId="9687" xr:uid="{00000000-0005-0000-0000-0000B0730000}"/>
    <cellStyle name="Normal 79 5 2 3 2 2" xfId="19043" xr:uid="{00000000-0005-0000-0000-0000B1730000}"/>
    <cellStyle name="Normal 79 5 2 3 2 2 2" xfId="35617" xr:uid="{00000000-0005-0000-0000-0000B2730000}"/>
    <cellStyle name="Normal 79 5 2 3 2 3" xfId="27570" xr:uid="{00000000-0005-0000-0000-0000B3730000}"/>
    <cellStyle name="Normal 79 5 2 3 3" xfId="15282" xr:uid="{00000000-0005-0000-0000-0000B4730000}"/>
    <cellStyle name="Normal 79 5 2 3 3 2" xfId="31832" xr:uid="{00000000-0005-0000-0000-0000B5730000}"/>
    <cellStyle name="Normal 79 5 2 3 4" xfId="23789" xr:uid="{00000000-0005-0000-0000-0000B6730000}"/>
    <cellStyle name="Normal 79 5 2 4" xfId="9688" xr:uid="{00000000-0005-0000-0000-0000B7730000}"/>
    <cellStyle name="Normal 79 5 2 4 2" xfId="19044" xr:uid="{00000000-0005-0000-0000-0000B8730000}"/>
    <cellStyle name="Normal 79 5 2 4 2 2" xfId="35618" xr:uid="{00000000-0005-0000-0000-0000B9730000}"/>
    <cellStyle name="Normal 79 5 2 4 3" xfId="27571" xr:uid="{00000000-0005-0000-0000-0000BA730000}"/>
    <cellStyle name="Normal 79 5 2 5" xfId="15279" xr:uid="{00000000-0005-0000-0000-0000BB730000}"/>
    <cellStyle name="Normal 79 5 2 5 2" xfId="31829" xr:uid="{00000000-0005-0000-0000-0000BC730000}"/>
    <cellStyle name="Normal 79 5 2 6" xfId="23786" xr:uid="{00000000-0005-0000-0000-0000BD730000}"/>
    <cellStyle name="Normal 79 5 3" xfId="5807" xr:uid="{00000000-0005-0000-0000-0000BE730000}"/>
    <cellStyle name="Normal 79 5 3 2" xfId="5808" xr:uid="{00000000-0005-0000-0000-0000BF730000}"/>
    <cellStyle name="Normal 79 5 3 2 2" xfId="9689" xr:uid="{00000000-0005-0000-0000-0000C0730000}"/>
    <cellStyle name="Normal 79 5 3 2 2 2" xfId="19045" xr:uid="{00000000-0005-0000-0000-0000C1730000}"/>
    <cellStyle name="Normal 79 5 3 2 2 2 2" xfId="35619" xr:uid="{00000000-0005-0000-0000-0000C2730000}"/>
    <cellStyle name="Normal 79 5 3 2 2 3" xfId="27572" xr:uid="{00000000-0005-0000-0000-0000C3730000}"/>
    <cellStyle name="Normal 79 5 3 2 3" xfId="15284" xr:uid="{00000000-0005-0000-0000-0000C4730000}"/>
    <cellStyle name="Normal 79 5 3 2 3 2" xfId="31834" xr:uid="{00000000-0005-0000-0000-0000C5730000}"/>
    <cellStyle name="Normal 79 5 3 2 4" xfId="23791" xr:uid="{00000000-0005-0000-0000-0000C6730000}"/>
    <cellStyle name="Normal 79 5 3 3" xfId="9690" xr:uid="{00000000-0005-0000-0000-0000C7730000}"/>
    <cellStyle name="Normal 79 5 3 3 2" xfId="19046" xr:uid="{00000000-0005-0000-0000-0000C8730000}"/>
    <cellStyle name="Normal 79 5 3 3 2 2" xfId="35620" xr:uid="{00000000-0005-0000-0000-0000C9730000}"/>
    <cellStyle name="Normal 79 5 3 3 3" xfId="27573" xr:uid="{00000000-0005-0000-0000-0000CA730000}"/>
    <cellStyle name="Normal 79 5 3 4" xfId="15283" xr:uid="{00000000-0005-0000-0000-0000CB730000}"/>
    <cellStyle name="Normal 79 5 3 4 2" xfId="31833" xr:uid="{00000000-0005-0000-0000-0000CC730000}"/>
    <cellStyle name="Normal 79 5 3 5" xfId="23790" xr:uid="{00000000-0005-0000-0000-0000CD730000}"/>
    <cellStyle name="Normal 79 5 4" xfId="5809" xr:uid="{00000000-0005-0000-0000-0000CE730000}"/>
    <cellStyle name="Normal 79 5 4 2" xfId="9691" xr:uid="{00000000-0005-0000-0000-0000CF730000}"/>
    <cellStyle name="Normal 79 5 4 2 2" xfId="19047" xr:uid="{00000000-0005-0000-0000-0000D0730000}"/>
    <cellStyle name="Normal 79 5 4 2 2 2" xfId="35621" xr:uid="{00000000-0005-0000-0000-0000D1730000}"/>
    <cellStyle name="Normal 79 5 4 2 3" xfId="27574" xr:uid="{00000000-0005-0000-0000-0000D2730000}"/>
    <cellStyle name="Normal 79 5 4 3" xfId="15285" xr:uid="{00000000-0005-0000-0000-0000D3730000}"/>
    <cellStyle name="Normal 79 5 4 3 2" xfId="31835" xr:uid="{00000000-0005-0000-0000-0000D4730000}"/>
    <cellStyle name="Normal 79 5 4 4" xfId="23792" xr:uid="{00000000-0005-0000-0000-0000D5730000}"/>
    <cellStyle name="Normal 79 5 5" xfId="9692" xr:uid="{00000000-0005-0000-0000-0000D6730000}"/>
    <cellStyle name="Normal 79 5 5 2" xfId="19048" xr:uid="{00000000-0005-0000-0000-0000D7730000}"/>
    <cellStyle name="Normal 79 5 5 2 2" xfId="35622" xr:uid="{00000000-0005-0000-0000-0000D8730000}"/>
    <cellStyle name="Normal 79 5 5 3" xfId="27575" xr:uid="{00000000-0005-0000-0000-0000D9730000}"/>
    <cellStyle name="Normal 79 5 6" xfId="15278" xr:uid="{00000000-0005-0000-0000-0000DA730000}"/>
    <cellStyle name="Normal 79 5 6 2" xfId="31828" xr:uid="{00000000-0005-0000-0000-0000DB730000}"/>
    <cellStyle name="Normal 79 5 7" xfId="23785" xr:uid="{00000000-0005-0000-0000-0000DC730000}"/>
    <cellStyle name="Normal 79 6" xfId="5810" xr:uid="{00000000-0005-0000-0000-0000DD730000}"/>
    <cellStyle name="Normal 79 6 2" xfId="5811" xr:uid="{00000000-0005-0000-0000-0000DE730000}"/>
    <cellStyle name="Normal 79 6 2 2" xfId="5812" xr:uid="{00000000-0005-0000-0000-0000DF730000}"/>
    <cellStyle name="Normal 79 6 2 2 2" xfId="9693" xr:uid="{00000000-0005-0000-0000-0000E0730000}"/>
    <cellStyle name="Normal 79 6 2 2 2 2" xfId="19049" xr:uid="{00000000-0005-0000-0000-0000E1730000}"/>
    <cellStyle name="Normal 79 6 2 2 2 2 2" xfId="35623" xr:uid="{00000000-0005-0000-0000-0000E2730000}"/>
    <cellStyle name="Normal 79 6 2 2 2 3" xfId="27576" xr:uid="{00000000-0005-0000-0000-0000E3730000}"/>
    <cellStyle name="Normal 79 6 2 2 3" xfId="15288" xr:uid="{00000000-0005-0000-0000-0000E4730000}"/>
    <cellStyle name="Normal 79 6 2 2 3 2" xfId="31838" xr:uid="{00000000-0005-0000-0000-0000E5730000}"/>
    <cellStyle name="Normal 79 6 2 2 4" xfId="23795" xr:uid="{00000000-0005-0000-0000-0000E6730000}"/>
    <cellStyle name="Normal 79 6 2 3" xfId="9694" xr:uid="{00000000-0005-0000-0000-0000E7730000}"/>
    <cellStyle name="Normal 79 6 2 3 2" xfId="19050" xr:uid="{00000000-0005-0000-0000-0000E8730000}"/>
    <cellStyle name="Normal 79 6 2 3 2 2" xfId="35624" xr:uid="{00000000-0005-0000-0000-0000E9730000}"/>
    <cellStyle name="Normal 79 6 2 3 3" xfId="27577" xr:uid="{00000000-0005-0000-0000-0000EA730000}"/>
    <cellStyle name="Normal 79 6 2 4" xfId="15287" xr:uid="{00000000-0005-0000-0000-0000EB730000}"/>
    <cellStyle name="Normal 79 6 2 4 2" xfId="31837" xr:uid="{00000000-0005-0000-0000-0000EC730000}"/>
    <cellStyle name="Normal 79 6 2 5" xfId="23794" xr:uid="{00000000-0005-0000-0000-0000ED730000}"/>
    <cellStyle name="Normal 79 6 3" xfId="5813" xr:uid="{00000000-0005-0000-0000-0000EE730000}"/>
    <cellStyle name="Normal 79 6 3 2" xfId="9695" xr:uid="{00000000-0005-0000-0000-0000EF730000}"/>
    <cellStyle name="Normal 79 6 3 2 2" xfId="19051" xr:uid="{00000000-0005-0000-0000-0000F0730000}"/>
    <cellStyle name="Normal 79 6 3 2 2 2" xfId="35625" xr:uid="{00000000-0005-0000-0000-0000F1730000}"/>
    <cellStyle name="Normal 79 6 3 2 3" xfId="27578" xr:uid="{00000000-0005-0000-0000-0000F2730000}"/>
    <cellStyle name="Normal 79 6 3 3" xfId="15289" xr:uid="{00000000-0005-0000-0000-0000F3730000}"/>
    <cellStyle name="Normal 79 6 3 3 2" xfId="31839" xr:uid="{00000000-0005-0000-0000-0000F4730000}"/>
    <cellStyle name="Normal 79 6 3 4" xfId="23796" xr:uid="{00000000-0005-0000-0000-0000F5730000}"/>
    <cellStyle name="Normal 79 6 4" xfId="9696" xr:uid="{00000000-0005-0000-0000-0000F6730000}"/>
    <cellStyle name="Normal 79 6 4 2" xfId="19052" xr:uid="{00000000-0005-0000-0000-0000F7730000}"/>
    <cellStyle name="Normal 79 6 4 2 2" xfId="35626" xr:uid="{00000000-0005-0000-0000-0000F8730000}"/>
    <cellStyle name="Normal 79 6 4 3" xfId="27579" xr:uid="{00000000-0005-0000-0000-0000F9730000}"/>
    <cellStyle name="Normal 79 6 5" xfId="15286" xr:uid="{00000000-0005-0000-0000-0000FA730000}"/>
    <cellStyle name="Normal 79 6 5 2" xfId="31836" xr:uid="{00000000-0005-0000-0000-0000FB730000}"/>
    <cellStyle name="Normal 79 6 6" xfId="23793" xr:uid="{00000000-0005-0000-0000-0000FC730000}"/>
    <cellStyle name="Normal 79 7" xfId="5814" xr:uid="{00000000-0005-0000-0000-0000FD730000}"/>
    <cellStyle name="Normal 79 7 2" xfId="5815" xr:uid="{00000000-0005-0000-0000-0000FE730000}"/>
    <cellStyle name="Normal 79 7 2 2" xfId="9697" xr:uid="{00000000-0005-0000-0000-0000FF730000}"/>
    <cellStyle name="Normal 79 7 2 2 2" xfId="19053" xr:uid="{00000000-0005-0000-0000-000000740000}"/>
    <cellStyle name="Normal 79 7 2 2 2 2" xfId="35627" xr:uid="{00000000-0005-0000-0000-000001740000}"/>
    <cellStyle name="Normal 79 7 2 2 3" xfId="27580" xr:uid="{00000000-0005-0000-0000-000002740000}"/>
    <cellStyle name="Normal 79 7 2 3" xfId="15291" xr:uid="{00000000-0005-0000-0000-000003740000}"/>
    <cellStyle name="Normal 79 7 2 3 2" xfId="31841" xr:uid="{00000000-0005-0000-0000-000004740000}"/>
    <cellStyle name="Normal 79 7 2 4" xfId="23798" xr:uid="{00000000-0005-0000-0000-000005740000}"/>
    <cellStyle name="Normal 79 7 3" xfId="9698" xr:uid="{00000000-0005-0000-0000-000006740000}"/>
    <cellStyle name="Normal 79 7 3 2" xfId="19054" xr:uid="{00000000-0005-0000-0000-000007740000}"/>
    <cellStyle name="Normal 79 7 3 2 2" xfId="35628" xr:uid="{00000000-0005-0000-0000-000008740000}"/>
    <cellStyle name="Normal 79 7 3 3" xfId="27581" xr:uid="{00000000-0005-0000-0000-000009740000}"/>
    <cellStyle name="Normal 79 7 4" xfId="15290" xr:uid="{00000000-0005-0000-0000-00000A740000}"/>
    <cellStyle name="Normal 79 7 4 2" xfId="31840" xr:uid="{00000000-0005-0000-0000-00000B740000}"/>
    <cellStyle name="Normal 79 7 5" xfId="23797" xr:uid="{00000000-0005-0000-0000-00000C740000}"/>
    <cellStyle name="Normal 79 8" xfId="5816" xr:uid="{00000000-0005-0000-0000-00000D740000}"/>
    <cellStyle name="Normal 79 8 2" xfId="9699" xr:uid="{00000000-0005-0000-0000-00000E740000}"/>
    <cellStyle name="Normal 79 8 2 2" xfId="19055" xr:uid="{00000000-0005-0000-0000-00000F740000}"/>
    <cellStyle name="Normal 79 8 2 2 2" xfId="35629" xr:uid="{00000000-0005-0000-0000-000010740000}"/>
    <cellStyle name="Normal 79 8 2 3" xfId="27582" xr:uid="{00000000-0005-0000-0000-000011740000}"/>
    <cellStyle name="Normal 79 8 3" xfId="15292" xr:uid="{00000000-0005-0000-0000-000012740000}"/>
    <cellStyle name="Normal 79 8 3 2" xfId="31842" xr:uid="{00000000-0005-0000-0000-000013740000}"/>
    <cellStyle name="Normal 79 8 4" xfId="23799" xr:uid="{00000000-0005-0000-0000-000014740000}"/>
    <cellStyle name="Normal 79 9" xfId="9700" xr:uid="{00000000-0005-0000-0000-000015740000}"/>
    <cellStyle name="Normal 79 9 2" xfId="19056" xr:uid="{00000000-0005-0000-0000-000016740000}"/>
    <cellStyle name="Normal 79 9 2 2" xfId="35630" xr:uid="{00000000-0005-0000-0000-000017740000}"/>
    <cellStyle name="Normal 79 9 3" xfId="27583" xr:uid="{00000000-0005-0000-0000-000018740000}"/>
    <cellStyle name="Normal 8" xfId="11" xr:uid="{00000000-0005-0000-0000-000019740000}"/>
    <cellStyle name="Normal 8 10" xfId="15293" xr:uid="{00000000-0005-0000-0000-00001A740000}"/>
    <cellStyle name="Normal 8 10 2" xfId="31843" xr:uid="{00000000-0005-0000-0000-00001B740000}"/>
    <cellStyle name="Normal 8 11" xfId="23800" xr:uid="{00000000-0005-0000-0000-00001C740000}"/>
    <cellStyle name="Normal 8 2" xfId="14" xr:uid="{00000000-0005-0000-0000-00001D740000}"/>
    <cellStyle name="Normal 8 2 2" xfId="290" xr:uid="{00000000-0005-0000-0000-00001E740000}"/>
    <cellStyle name="Normal 8 2 2 2" xfId="5817" xr:uid="{00000000-0005-0000-0000-00001F740000}"/>
    <cellStyle name="Normal 8 2 3" xfId="289" xr:uid="{00000000-0005-0000-0000-000020740000}"/>
    <cellStyle name="Normal 8 2 3 2" xfId="31844" xr:uid="{00000000-0005-0000-0000-000021740000}"/>
    <cellStyle name="Normal 8 2 4" xfId="23801" xr:uid="{00000000-0005-0000-0000-000022740000}"/>
    <cellStyle name="Normal 8 3" xfId="291" xr:uid="{00000000-0005-0000-0000-000023740000}"/>
    <cellStyle name="Normal 8 3 2" xfId="5819" xr:uid="{00000000-0005-0000-0000-000024740000}"/>
    <cellStyle name="Normal 8 3 2 2" xfId="5820" xr:uid="{00000000-0005-0000-0000-000025740000}"/>
    <cellStyle name="Normal 8 3 2 2 2" xfId="5821" xr:uid="{00000000-0005-0000-0000-000026740000}"/>
    <cellStyle name="Normal 8 3 2 2 2 2" xfId="9701" xr:uid="{00000000-0005-0000-0000-000027740000}"/>
    <cellStyle name="Normal 8 3 2 2 2 2 2" xfId="19057" xr:uid="{00000000-0005-0000-0000-000028740000}"/>
    <cellStyle name="Normal 8 3 2 2 2 2 2 2" xfId="35631" xr:uid="{00000000-0005-0000-0000-000029740000}"/>
    <cellStyle name="Normal 8 3 2 2 2 2 3" xfId="27584" xr:uid="{00000000-0005-0000-0000-00002A740000}"/>
    <cellStyle name="Normal 8 3 2 2 2 3" xfId="15296" xr:uid="{00000000-0005-0000-0000-00002B740000}"/>
    <cellStyle name="Normal 8 3 2 2 2 3 2" xfId="31847" xr:uid="{00000000-0005-0000-0000-00002C740000}"/>
    <cellStyle name="Normal 8 3 2 2 2 4" xfId="23804" xr:uid="{00000000-0005-0000-0000-00002D740000}"/>
    <cellStyle name="Normal 8 3 2 2 3" xfId="9702" xr:uid="{00000000-0005-0000-0000-00002E740000}"/>
    <cellStyle name="Normal 8 3 2 2 3 2" xfId="19058" xr:uid="{00000000-0005-0000-0000-00002F740000}"/>
    <cellStyle name="Normal 8 3 2 2 3 2 2" xfId="35632" xr:uid="{00000000-0005-0000-0000-000030740000}"/>
    <cellStyle name="Normal 8 3 2 2 3 3" xfId="27585" xr:uid="{00000000-0005-0000-0000-000031740000}"/>
    <cellStyle name="Normal 8 3 2 2 4" xfId="15295" xr:uid="{00000000-0005-0000-0000-000032740000}"/>
    <cellStyle name="Normal 8 3 2 2 4 2" xfId="31846" xr:uid="{00000000-0005-0000-0000-000033740000}"/>
    <cellStyle name="Normal 8 3 2 2 5" xfId="23803" xr:uid="{00000000-0005-0000-0000-000034740000}"/>
    <cellStyle name="Normal 8 3 2 3" xfId="5822" xr:uid="{00000000-0005-0000-0000-000035740000}"/>
    <cellStyle name="Normal 8 3 2 3 2" xfId="9703" xr:uid="{00000000-0005-0000-0000-000036740000}"/>
    <cellStyle name="Normal 8 3 2 3 2 2" xfId="19059" xr:uid="{00000000-0005-0000-0000-000037740000}"/>
    <cellStyle name="Normal 8 3 2 3 2 2 2" xfId="35633" xr:uid="{00000000-0005-0000-0000-000038740000}"/>
    <cellStyle name="Normal 8 3 2 3 2 3" xfId="27586" xr:uid="{00000000-0005-0000-0000-000039740000}"/>
    <cellStyle name="Normal 8 3 2 3 3" xfId="15297" xr:uid="{00000000-0005-0000-0000-00003A740000}"/>
    <cellStyle name="Normal 8 3 2 3 3 2" xfId="31848" xr:uid="{00000000-0005-0000-0000-00003B740000}"/>
    <cellStyle name="Normal 8 3 2 3 4" xfId="23805" xr:uid="{00000000-0005-0000-0000-00003C740000}"/>
    <cellStyle name="Normal 8 3 2 4" xfId="9704" xr:uid="{00000000-0005-0000-0000-00003D740000}"/>
    <cellStyle name="Normal 8 3 2 4 2" xfId="19060" xr:uid="{00000000-0005-0000-0000-00003E740000}"/>
    <cellStyle name="Normal 8 3 2 4 2 2" xfId="35634" xr:uid="{00000000-0005-0000-0000-00003F740000}"/>
    <cellStyle name="Normal 8 3 2 4 3" xfId="27587" xr:uid="{00000000-0005-0000-0000-000040740000}"/>
    <cellStyle name="Normal 8 3 2 5" xfId="15294" xr:uid="{00000000-0005-0000-0000-000041740000}"/>
    <cellStyle name="Normal 8 3 2 5 2" xfId="31845" xr:uid="{00000000-0005-0000-0000-000042740000}"/>
    <cellStyle name="Normal 8 3 2 6" xfId="23802" xr:uid="{00000000-0005-0000-0000-000043740000}"/>
    <cellStyle name="Normal 8 3 3" xfId="5823" xr:uid="{00000000-0005-0000-0000-000044740000}"/>
    <cellStyle name="Normal 8 3 3 2" xfId="5824" xr:uid="{00000000-0005-0000-0000-000045740000}"/>
    <cellStyle name="Normal 8 3 3 2 2" xfId="9705" xr:uid="{00000000-0005-0000-0000-000046740000}"/>
    <cellStyle name="Normal 8 3 3 2 2 2" xfId="19061" xr:uid="{00000000-0005-0000-0000-000047740000}"/>
    <cellStyle name="Normal 8 3 3 2 2 2 2" xfId="35635" xr:uid="{00000000-0005-0000-0000-000048740000}"/>
    <cellStyle name="Normal 8 3 3 2 2 3" xfId="27588" xr:uid="{00000000-0005-0000-0000-000049740000}"/>
    <cellStyle name="Normal 8 3 3 2 3" xfId="15299" xr:uid="{00000000-0005-0000-0000-00004A740000}"/>
    <cellStyle name="Normal 8 3 3 2 3 2" xfId="31850" xr:uid="{00000000-0005-0000-0000-00004B740000}"/>
    <cellStyle name="Normal 8 3 3 2 4" xfId="23807" xr:uid="{00000000-0005-0000-0000-00004C740000}"/>
    <cellStyle name="Normal 8 3 3 3" xfId="9706" xr:uid="{00000000-0005-0000-0000-00004D740000}"/>
    <cellStyle name="Normal 8 3 3 3 2" xfId="19062" xr:uid="{00000000-0005-0000-0000-00004E740000}"/>
    <cellStyle name="Normal 8 3 3 3 2 2" xfId="35636" xr:uid="{00000000-0005-0000-0000-00004F740000}"/>
    <cellStyle name="Normal 8 3 3 3 3" xfId="27589" xr:uid="{00000000-0005-0000-0000-000050740000}"/>
    <cellStyle name="Normal 8 3 3 4" xfId="15298" xr:uid="{00000000-0005-0000-0000-000051740000}"/>
    <cellStyle name="Normal 8 3 3 4 2" xfId="31849" xr:uid="{00000000-0005-0000-0000-000052740000}"/>
    <cellStyle name="Normal 8 3 3 5" xfId="23806" xr:uid="{00000000-0005-0000-0000-000053740000}"/>
    <cellStyle name="Normal 8 3 4" xfId="5825" xr:uid="{00000000-0005-0000-0000-000054740000}"/>
    <cellStyle name="Normal 8 3 4 2" xfId="9707" xr:uid="{00000000-0005-0000-0000-000055740000}"/>
    <cellStyle name="Normal 8 3 4 2 2" xfId="19063" xr:uid="{00000000-0005-0000-0000-000056740000}"/>
    <cellStyle name="Normal 8 3 4 2 2 2" xfId="35637" xr:uid="{00000000-0005-0000-0000-000057740000}"/>
    <cellStyle name="Normal 8 3 4 2 3" xfId="27590" xr:uid="{00000000-0005-0000-0000-000058740000}"/>
    <cellStyle name="Normal 8 3 4 3" xfId="15300" xr:uid="{00000000-0005-0000-0000-000059740000}"/>
    <cellStyle name="Normal 8 3 4 3 2" xfId="31851" xr:uid="{00000000-0005-0000-0000-00005A740000}"/>
    <cellStyle name="Normal 8 3 4 4" xfId="23808" xr:uid="{00000000-0005-0000-0000-00005B740000}"/>
    <cellStyle name="Normal 8 3 5" xfId="5826" xr:uid="{00000000-0005-0000-0000-00005C740000}"/>
    <cellStyle name="Normal 8 3 5 2" xfId="15301" xr:uid="{00000000-0005-0000-0000-00005D740000}"/>
    <cellStyle name="Normal 8 3 5 2 2" xfId="31852" xr:uid="{00000000-0005-0000-0000-00005E740000}"/>
    <cellStyle name="Normal 8 3 5 3" xfId="23809" xr:uid="{00000000-0005-0000-0000-00005F740000}"/>
    <cellStyle name="Normal 8 3 6" xfId="5818" xr:uid="{00000000-0005-0000-0000-000060740000}"/>
    <cellStyle name="Normal 8 4" xfId="288" xr:uid="{00000000-0005-0000-0000-000061740000}"/>
    <cellStyle name="Normal 8 4 2" xfId="5827" xr:uid="{00000000-0005-0000-0000-000062740000}"/>
    <cellStyle name="Normal 8 4 2 2" xfId="5828" xr:uid="{00000000-0005-0000-0000-000063740000}"/>
    <cellStyle name="Normal 8 4 2 2 2" xfId="5829" xr:uid="{00000000-0005-0000-0000-000064740000}"/>
    <cellStyle name="Normal 8 4 2 2 2 2" xfId="9708" xr:uid="{00000000-0005-0000-0000-000065740000}"/>
    <cellStyle name="Normal 8 4 2 2 2 2 2" xfId="19064" xr:uid="{00000000-0005-0000-0000-000066740000}"/>
    <cellStyle name="Normal 8 4 2 2 2 2 2 2" xfId="35638" xr:uid="{00000000-0005-0000-0000-000067740000}"/>
    <cellStyle name="Normal 8 4 2 2 2 2 3" xfId="27591" xr:uid="{00000000-0005-0000-0000-000068740000}"/>
    <cellStyle name="Normal 8 4 2 2 2 3" xfId="15305" xr:uid="{00000000-0005-0000-0000-000069740000}"/>
    <cellStyle name="Normal 8 4 2 2 2 3 2" xfId="31856" xr:uid="{00000000-0005-0000-0000-00006A740000}"/>
    <cellStyle name="Normal 8 4 2 2 2 4" xfId="23813" xr:uid="{00000000-0005-0000-0000-00006B740000}"/>
    <cellStyle name="Normal 8 4 2 2 3" xfId="9709" xr:uid="{00000000-0005-0000-0000-00006C740000}"/>
    <cellStyle name="Normal 8 4 2 2 3 2" xfId="19065" xr:uid="{00000000-0005-0000-0000-00006D740000}"/>
    <cellStyle name="Normal 8 4 2 2 3 2 2" xfId="35639" xr:uid="{00000000-0005-0000-0000-00006E740000}"/>
    <cellStyle name="Normal 8 4 2 2 3 3" xfId="27592" xr:uid="{00000000-0005-0000-0000-00006F740000}"/>
    <cellStyle name="Normal 8 4 2 2 4" xfId="15304" xr:uid="{00000000-0005-0000-0000-000070740000}"/>
    <cellStyle name="Normal 8 4 2 2 4 2" xfId="31855" xr:uid="{00000000-0005-0000-0000-000071740000}"/>
    <cellStyle name="Normal 8 4 2 2 5" xfId="23812" xr:uid="{00000000-0005-0000-0000-000072740000}"/>
    <cellStyle name="Normal 8 4 2 3" xfId="5830" xr:uid="{00000000-0005-0000-0000-000073740000}"/>
    <cellStyle name="Normal 8 4 2 3 2" xfId="9710" xr:uid="{00000000-0005-0000-0000-000074740000}"/>
    <cellStyle name="Normal 8 4 2 3 2 2" xfId="19066" xr:uid="{00000000-0005-0000-0000-000075740000}"/>
    <cellStyle name="Normal 8 4 2 3 2 2 2" xfId="35640" xr:uid="{00000000-0005-0000-0000-000076740000}"/>
    <cellStyle name="Normal 8 4 2 3 2 3" xfId="27593" xr:uid="{00000000-0005-0000-0000-000077740000}"/>
    <cellStyle name="Normal 8 4 2 3 3" xfId="15306" xr:uid="{00000000-0005-0000-0000-000078740000}"/>
    <cellStyle name="Normal 8 4 2 3 3 2" xfId="31857" xr:uid="{00000000-0005-0000-0000-000079740000}"/>
    <cellStyle name="Normal 8 4 2 3 4" xfId="23814" xr:uid="{00000000-0005-0000-0000-00007A740000}"/>
    <cellStyle name="Normal 8 4 2 4" xfId="9711" xr:uid="{00000000-0005-0000-0000-00007B740000}"/>
    <cellStyle name="Normal 8 4 2 4 2" xfId="19067" xr:uid="{00000000-0005-0000-0000-00007C740000}"/>
    <cellStyle name="Normal 8 4 2 4 2 2" xfId="35641" xr:uid="{00000000-0005-0000-0000-00007D740000}"/>
    <cellStyle name="Normal 8 4 2 4 3" xfId="27594" xr:uid="{00000000-0005-0000-0000-00007E740000}"/>
    <cellStyle name="Normal 8 4 2 5" xfId="15303" xr:uid="{00000000-0005-0000-0000-00007F740000}"/>
    <cellStyle name="Normal 8 4 2 5 2" xfId="31854" xr:uid="{00000000-0005-0000-0000-000080740000}"/>
    <cellStyle name="Normal 8 4 2 6" xfId="23811" xr:uid="{00000000-0005-0000-0000-000081740000}"/>
    <cellStyle name="Normal 8 4 3" xfId="5831" xr:uid="{00000000-0005-0000-0000-000082740000}"/>
    <cellStyle name="Normal 8 4 3 2" xfId="5832" xr:uid="{00000000-0005-0000-0000-000083740000}"/>
    <cellStyle name="Normal 8 4 3 2 2" xfId="9712" xr:uid="{00000000-0005-0000-0000-000084740000}"/>
    <cellStyle name="Normal 8 4 3 2 2 2" xfId="19068" xr:uid="{00000000-0005-0000-0000-000085740000}"/>
    <cellStyle name="Normal 8 4 3 2 2 2 2" xfId="35642" xr:uid="{00000000-0005-0000-0000-000086740000}"/>
    <cellStyle name="Normal 8 4 3 2 2 3" xfId="27595" xr:uid="{00000000-0005-0000-0000-000087740000}"/>
    <cellStyle name="Normal 8 4 3 2 3" xfId="15308" xr:uid="{00000000-0005-0000-0000-000088740000}"/>
    <cellStyle name="Normal 8 4 3 2 3 2" xfId="31859" xr:uid="{00000000-0005-0000-0000-000089740000}"/>
    <cellStyle name="Normal 8 4 3 2 4" xfId="23816" xr:uid="{00000000-0005-0000-0000-00008A740000}"/>
    <cellStyle name="Normal 8 4 3 3" xfId="9713" xr:uid="{00000000-0005-0000-0000-00008B740000}"/>
    <cellStyle name="Normal 8 4 3 3 2" xfId="19069" xr:uid="{00000000-0005-0000-0000-00008C740000}"/>
    <cellStyle name="Normal 8 4 3 3 2 2" xfId="35643" xr:uid="{00000000-0005-0000-0000-00008D740000}"/>
    <cellStyle name="Normal 8 4 3 3 3" xfId="27596" xr:uid="{00000000-0005-0000-0000-00008E740000}"/>
    <cellStyle name="Normal 8 4 3 4" xfId="15307" xr:uid="{00000000-0005-0000-0000-00008F740000}"/>
    <cellStyle name="Normal 8 4 3 4 2" xfId="31858" xr:uid="{00000000-0005-0000-0000-000090740000}"/>
    <cellStyle name="Normal 8 4 3 5" xfId="23815" xr:uid="{00000000-0005-0000-0000-000091740000}"/>
    <cellStyle name="Normal 8 4 4" xfId="5833" xr:uid="{00000000-0005-0000-0000-000092740000}"/>
    <cellStyle name="Normal 8 4 4 2" xfId="9714" xr:uid="{00000000-0005-0000-0000-000093740000}"/>
    <cellStyle name="Normal 8 4 4 2 2" xfId="19070" xr:uid="{00000000-0005-0000-0000-000094740000}"/>
    <cellStyle name="Normal 8 4 4 2 2 2" xfId="35644" xr:uid="{00000000-0005-0000-0000-000095740000}"/>
    <cellStyle name="Normal 8 4 4 2 3" xfId="27597" xr:uid="{00000000-0005-0000-0000-000096740000}"/>
    <cellStyle name="Normal 8 4 4 3" xfId="15309" xr:uid="{00000000-0005-0000-0000-000097740000}"/>
    <cellStyle name="Normal 8 4 4 3 2" xfId="31860" xr:uid="{00000000-0005-0000-0000-000098740000}"/>
    <cellStyle name="Normal 8 4 4 4" xfId="23817" xr:uid="{00000000-0005-0000-0000-000099740000}"/>
    <cellStyle name="Normal 8 4 5" xfId="9715" xr:uid="{00000000-0005-0000-0000-00009A740000}"/>
    <cellStyle name="Normal 8 4 5 2" xfId="19071" xr:uid="{00000000-0005-0000-0000-00009B740000}"/>
    <cellStyle name="Normal 8 4 5 2 2" xfId="35645" xr:uid="{00000000-0005-0000-0000-00009C740000}"/>
    <cellStyle name="Normal 8 4 5 3" xfId="27598" xr:uid="{00000000-0005-0000-0000-00009D740000}"/>
    <cellStyle name="Normal 8 4 6" xfId="15302" xr:uid="{00000000-0005-0000-0000-00009E740000}"/>
    <cellStyle name="Normal 8 4 6 2" xfId="31853" xr:uid="{00000000-0005-0000-0000-00009F740000}"/>
    <cellStyle name="Normal 8 4 7" xfId="23810" xr:uid="{00000000-0005-0000-0000-0000A0740000}"/>
    <cellStyle name="Normal 8 5" xfId="384" xr:uid="{00000000-0005-0000-0000-0000A1740000}"/>
    <cellStyle name="Normal 8 5 2" xfId="5835" xr:uid="{00000000-0005-0000-0000-0000A2740000}"/>
    <cellStyle name="Normal 8 5 2 2" xfId="5836" xr:uid="{00000000-0005-0000-0000-0000A3740000}"/>
    <cellStyle name="Normal 8 5 2 2 2" xfId="5837" xr:uid="{00000000-0005-0000-0000-0000A4740000}"/>
    <cellStyle name="Normal 8 5 2 2 2 2" xfId="9716" xr:uid="{00000000-0005-0000-0000-0000A5740000}"/>
    <cellStyle name="Normal 8 5 2 2 2 2 2" xfId="19072" xr:uid="{00000000-0005-0000-0000-0000A6740000}"/>
    <cellStyle name="Normal 8 5 2 2 2 2 2 2" xfId="35646" xr:uid="{00000000-0005-0000-0000-0000A7740000}"/>
    <cellStyle name="Normal 8 5 2 2 2 2 3" xfId="27599" xr:uid="{00000000-0005-0000-0000-0000A8740000}"/>
    <cellStyle name="Normal 8 5 2 2 2 3" xfId="15312" xr:uid="{00000000-0005-0000-0000-0000A9740000}"/>
    <cellStyle name="Normal 8 5 2 2 2 3 2" xfId="31864" xr:uid="{00000000-0005-0000-0000-0000AA740000}"/>
    <cellStyle name="Normal 8 5 2 2 2 4" xfId="23821" xr:uid="{00000000-0005-0000-0000-0000AB740000}"/>
    <cellStyle name="Normal 8 5 2 2 3" xfId="9717" xr:uid="{00000000-0005-0000-0000-0000AC740000}"/>
    <cellStyle name="Normal 8 5 2 2 3 2" xfId="19073" xr:uid="{00000000-0005-0000-0000-0000AD740000}"/>
    <cellStyle name="Normal 8 5 2 2 3 2 2" xfId="35647" xr:uid="{00000000-0005-0000-0000-0000AE740000}"/>
    <cellStyle name="Normal 8 5 2 2 3 3" xfId="27600" xr:uid="{00000000-0005-0000-0000-0000AF740000}"/>
    <cellStyle name="Normal 8 5 2 2 4" xfId="15311" xr:uid="{00000000-0005-0000-0000-0000B0740000}"/>
    <cellStyle name="Normal 8 5 2 2 4 2" xfId="31863" xr:uid="{00000000-0005-0000-0000-0000B1740000}"/>
    <cellStyle name="Normal 8 5 2 2 5" xfId="23820" xr:uid="{00000000-0005-0000-0000-0000B2740000}"/>
    <cellStyle name="Normal 8 5 2 3" xfId="5838" xr:uid="{00000000-0005-0000-0000-0000B3740000}"/>
    <cellStyle name="Normal 8 5 2 3 2" xfId="9718" xr:uid="{00000000-0005-0000-0000-0000B4740000}"/>
    <cellStyle name="Normal 8 5 2 3 2 2" xfId="19074" xr:uid="{00000000-0005-0000-0000-0000B5740000}"/>
    <cellStyle name="Normal 8 5 2 3 2 2 2" xfId="35648" xr:uid="{00000000-0005-0000-0000-0000B6740000}"/>
    <cellStyle name="Normal 8 5 2 3 2 3" xfId="27601" xr:uid="{00000000-0005-0000-0000-0000B7740000}"/>
    <cellStyle name="Normal 8 5 2 3 3" xfId="15313" xr:uid="{00000000-0005-0000-0000-0000B8740000}"/>
    <cellStyle name="Normal 8 5 2 3 3 2" xfId="31865" xr:uid="{00000000-0005-0000-0000-0000B9740000}"/>
    <cellStyle name="Normal 8 5 2 3 4" xfId="23822" xr:uid="{00000000-0005-0000-0000-0000BA740000}"/>
    <cellStyle name="Normal 8 5 2 4" xfId="9719" xr:uid="{00000000-0005-0000-0000-0000BB740000}"/>
    <cellStyle name="Normal 8 5 2 4 2" xfId="19075" xr:uid="{00000000-0005-0000-0000-0000BC740000}"/>
    <cellStyle name="Normal 8 5 2 4 2 2" xfId="35649" xr:uid="{00000000-0005-0000-0000-0000BD740000}"/>
    <cellStyle name="Normal 8 5 2 4 3" xfId="27602" xr:uid="{00000000-0005-0000-0000-0000BE740000}"/>
    <cellStyle name="Normal 8 5 2 5" xfId="15310" xr:uid="{00000000-0005-0000-0000-0000BF740000}"/>
    <cellStyle name="Normal 8 5 2 5 2" xfId="31862" xr:uid="{00000000-0005-0000-0000-0000C0740000}"/>
    <cellStyle name="Normal 8 5 2 6" xfId="23819" xr:uid="{00000000-0005-0000-0000-0000C1740000}"/>
    <cellStyle name="Normal 8 5 3" xfId="5839" xr:uid="{00000000-0005-0000-0000-0000C2740000}"/>
    <cellStyle name="Normal 8 5 3 2" xfId="5840" xr:uid="{00000000-0005-0000-0000-0000C3740000}"/>
    <cellStyle name="Normal 8 5 3 2 2" xfId="9720" xr:uid="{00000000-0005-0000-0000-0000C4740000}"/>
    <cellStyle name="Normal 8 5 3 2 2 2" xfId="19076" xr:uid="{00000000-0005-0000-0000-0000C5740000}"/>
    <cellStyle name="Normal 8 5 3 2 2 2 2" xfId="35650" xr:uid="{00000000-0005-0000-0000-0000C6740000}"/>
    <cellStyle name="Normal 8 5 3 2 2 3" xfId="27603" xr:uid="{00000000-0005-0000-0000-0000C7740000}"/>
    <cellStyle name="Normal 8 5 3 2 3" xfId="15315" xr:uid="{00000000-0005-0000-0000-0000C8740000}"/>
    <cellStyle name="Normal 8 5 3 2 3 2" xfId="31867" xr:uid="{00000000-0005-0000-0000-0000C9740000}"/>
    <cellStyle name="Normal 8 5 3 2 4" xfId="23824" xr:uid="{00000000-0005-0000-0000-0000CA740000}"/>
    <cellStyle name="Normal 8 5 3 3" xfId="9721" xr:uid="{00000000-0005-0000-0000-0000CB740000}"/>
    <cellStyle name="Normal 8 5 3 3 2" xfId="19077" xr:uid="{00000000-0005-0000-0000-0000CC740000}"/>
    <cellStyle name="Normal 8 5 3 3 2 2" xfId="35651" xr:uid="{00000000-0005-0000-0000-0000CD740000}"/>
    <cellStyle name="Normal 8 5 3 3 3" xfId="27604" xr:uid="{00000000-0005-0000-0000-0000CE740000}"/>
    <cellStyle name="Normal 8 5 3 4" xfId="15314" xr:uid="{00000000-0005-0000-0000-0000CF740000}"/>
    <cellStyle name="Normal 8 5 3 4 2" xfId="31866" xr:uid="{00000000-0005-0000-0000-0000D0740000}"/>
    <cellStyle name="Normal 8 5 3 5" xfId="23823" xr:uid="{00000000-0005-0000-0000-0000D1740000}"/>
    <cellStyle name="Normal 8 5 4" xfId="5841" xr:uid="{00000000-0005-0000-0000-0000D2740000}"/>
    <cellStyle name="Normal 8 5 4 2" xfId="9722" xr:uid="{00000000-0005-0000-0000-0000D3740000}"/>
    <cellStyle name="Normal 8 5 4 2 2" xfId="19078" xr:uid="{00000000-0005-0000-0000-0000D4740000}"/>
    <cellStyle name="Normal 8 5 4 2 2 2" xfId="35652" xr:uid="{00000000-0005-0000-0000-0000D5740000}"/>
    <cellStyle name="Normal 8 5 4 2 3" xfId="27605" xr:uid="{00000000-0005-0000-0000-0000D6740000}"/>
    <cellStyle name="Normal 8 5 4 3" xfId="15316" xr:uid="{00000000-0005-0000-0000-0000D7740000}"/>
    <cellStyle name="Normal 8 5 4 3 2" xfId="31868" xr:uid="{00000000-0005-0000-0000-0000D8740000}"/>
    <cellStyle name="Normal 8 5 4 4" xfId="23825" xr:uid="{00000000-0005-0000-0000-0000D9740000}"/>
    <cellStyle name="Normal 8 5 5" xfId="9723" xr:uid="{00000000-0005-0000-0000-0000DA740000}"/>
    <cellStyle name="Normal 8 5 5 2" xfId="19079" xr:uid="{00000000-0005-0000-0000-0000DB740000}"/>
    <cellStyle name="Normal 8 5 5 2 2" xfId="35653" xr:uid="{00000000-0005-0000-0000-0000DC740000}"/>
    <cellStyle name="Normal 8 5 5 3" xfId="27606" xr:uid="{00000000-0005-0000-0000-0000DD740000}"/>
    <cellStyle name="Normal 8 5 6" xfId="5834" xr:uid="{00000000-0005-0000-0000-0000DE740000}"/>
    <cellStyle name="Normal 8 5 6 2" xfId="31861" xr:uid="{00000000-0005-0000-0000-0000DF740000}"/>
    <cellStyle name="Normal 8 5 7" xfId="23818" xr:uid="{00000000-0005-0000-0000-0000E0740000}"/>
    <cellStyle name="Normal 8 6" xfId="1723" xr:uid="{00000000-0005-0000-0000-0000E1740000}"/>
    <cellStyle name="Normal 8 6 2" xfId="5843" xr:uid="{00000000-0005-0000-0000-0000E2740000}"/>
    <cellStyle name="Normal 8 6 2 2" xfId="5844" xr:uid="{00000000-0005-0000-0000-0000E3740000}"/>
    <cellStyle name="Normal 8 6 2 2 2" xfId="9724" xr:uid="{00000000-0005-0000-0000-0000E4740000}"/>
    <cellStyle name="Normal 8 6 2 2 2 2" xfId="19080" xr:uid="{00000000-0005-0000-0000-0000E5740000}"/>
    <cellStyle name="Normal 8 6 2 2 2 2 2" xfId="35654" xr:uid="{00000000-0005-0000-0000-0000E6740000}"/>
    <cellStyle name="Normal 8 6 2 2 2 3" xfId="27607" xr:uid="{00000000-0005-0000-0000-0000E7740000}"/>
    <cellStyle name="Normal 8 6 2 2 3" xfId="15318" xr:uid="{00000000-0005-0000-0000-0000E8740000}"/>
    <cellStyle name="Normal 8 6 2 2 3 2" xfId="31871" xr:uid="{00000000-0005-0000-0000-0000E9740000}"/>
    <cellStyle name="Normal 8 6 2 2 4" xfId="23828" xr:uid="{00000000-0005-0000-0000-0000EA740000}"/>
    <cellStyle name="Normal 8 6 2 3" xfId="9725" xr:uid="{00000000-0005-0000-0000-0000EB740000}"/>
    <cellStyle name="Normal 8 6 2 3 2" xfId="19081" xr:uid="{00000000-0005-0000-0000-0000EC740000}"/>
    <cellStyle name="Normal 8 6 2 3 2 2" xfId="35655" xr:uid="{00000000-0005-0000-0000-0000ED740000}"/>
    <cellStyle name="Normal 8 6 2 3 3" xfId="27608" xr:uid="{00000000-0005-0000-0000-0000EE740000}"/>
    <cellStyle name="Normal 8 6 2 4" xfId="15317" xr:uid="{00000000-0005-0000-0000-0000EF740000}"/>
    <cellStyle name="Normal 8 6 2 4 2" xfId="31870" xr:uid="{00000000-0005-0000-0000-0000F0740000}"/>
    <cellStyle name="Normal 8 6 2 5" xfId="23827" xr:uid="{00000000-0005-0000-0000-0000F1740000}"/>
    <cellStyle name="Normal 8 6 3" xfId="5845" xr:uid="{00000000-0005-0000-0000-0000F2740000}"/>
    <cellStyle name="Normal 8 6 3 2" xfId="9726" xr:uid="{00000000-0005-0000-0000-0000F3740000}"/>
    <cellStyle name="Normal 8 6 3 2 2" xfId="19082" xr:uid="{00000000-0005-0000-0000-0000F4740000}"/>
    <cellStyle name="Normal 8 6 3 2 2 2" xfId="35656" xr:uid="{00000000-0005-0000-0000-0000F5740000}"/>
    <cellStyle name="Normal 8 6 3 2 3" xfId="27609" xr:uid="{00000000-0005-0000-0000-0000F6740000}"/>
    <cellStyle name="Normal 8 6 3 3" xfId="15319" xr:uid="{00000000-0005-0000-0000-0000F7740000}"/>
    <cellStyle name="Normal 8 6 3 3 2" xfId="31872" xr:uid="{00000000-0005-0000-0000-0000F8740000}"/>
    <cellStyle name="Normal 8 6 3 4" xfId="23829" xr:uid="{00000000-0005-0000-0000-0000F9740000}"/>
    <cellStyle name="Normal 8 6 4" xfId="9727" xr:uid="{00000000-0005-0000-0000-0000FA740000}"/>
    <cellStyle name="Normal 8 6 4 2" xfId="19083" xr:uid="{00000000-0005-0000-0000-0000FB740000}"/>
    <cellStyle name="Normal 8 6 4 2 2" xfId="35657" xr:uid="{00000000-0005-0000-0000-0000FC740000}"/>
    <cellStyle name="Normal 8 6 4 3" xfId="27610" xr:uid="{00000000-0005-0000-0000-0000FD740000}"/>
    <cellStyle name="Normal 8 6 5" xfId="5842" xr:uid="{00000000-0005-0000-0000-0000FE740000}"/>
    <cellStyle name="Normal 8 6 5 2" xfId="31869" xr:uid="{00000000-0005-0000-0000-0000FF740000}"/>
    <cellStyle name="Normal 8 6 6" xfId="23826" xr:uid="{00000000-0005-0000-0000-000000750000}"/>
    <cellStyle name="Normal 8 7" xfId="1679" xr:uid="{00000000-0005-0000-0000-000001750000}"/>
    <cellStyle name="Normal 8 7 2" xfId="5847" xr:uid="{00000000-0005-0000-0000-000002750000}"/>
    <cellStyle name="Normal 8 7 2 2" xfId="9728" xr:uid="{00000000-0005-0000-0000-000003750000}"/>
    <cellStyle name="Normal 8 7 2 2 2" xfId="19084" xr:uid="{00000000-0005-0000-0000-000004750000}"/>
    <cellStyle name="Normal 8 7 2 2 2 2" xfId="35658" xr:uid="{00000000-0005-0000-0000-000005750000}"/>
    <cellStyle name="Normal 8 7 2 2 3" xfId="27611" xr:uid="{00000000-0005-0000-0000-000006750000}"/>
    <cellStyle name="Normal 8 7 2 3" xfId="15320" xr:uid="{00000000-0005-0000-0000-000007750000}"/>
    <cellStyle name="Normal 8 7 2 3 2" xfId="31874" xr:uid="{00000000-0005-0000-0000-000008750000}"/>
    <cellStyle name="Normal 8 7 2 4" xfId="23831" xr:uid="{00000000-0005-0000-0000-000009750000}"/>
    <cellStyle name="Normal 8 7 3" xfId="9729" xr:uid="{00000000-0005-0000-0000-00000A750000}"/>
    <cellStyle name="Normal 8 7 3 2" xfId="19085" xr:uid="{00000000-0005-0000-0000-00000B750000}"/>
    <cellStyle name="Normal 8 7 3 2 2" xfId="35659" xr:uid="{00000000-0005-0000-0000-00000C750000}"/>
    <cellStyle name="Normal 8 7 3 3" xfId="27612" xr:uid="{00000000-0005-0000-0000-00000D750000}"/>
    <cellStyle name="Normal 8 7 4" xfId="5846" xr:uid="{00000000-0005-0000-0000-00000E750000}"/>
    <cellStyle name="Normal 8 7 4 2" xfId="31873" xr:uid="{00000000-0005-0000-0000-00000F750000}"/>
    <cellStyle name="Normal 8 7 5" xfId="23830" xr:uid="{00000000-0005-0000-0000-000010750000}"/>
    <cellStyle name="Normal 8 8" xfId="5848" xr:uid="{00000000-0005-0000-0000-000011750000}"/>
    <cellStyle name="Normal 8 8 2" xfId="9730" xr:uid="{00000000-0005-0000-0000-000012750000}"/>
    <cellStyle name="Normal 8 8 2 2" xfId="19086" xr:uid="{00000000-0005-0000-0000-000013750000}"/>
    <cellStyle name="Normal 8 8 2 2 2" xfId="35660" xr:uid="{00000000-0005-0000-0000-000014750000}"/>
    <cellStyle name="Normal 8 8 2 3" xfId="27613" xr:uid="{00000000-0005-0000-0000-000015750000}"/>
    <cellStyle name="Normal 8 8 3" xfId="15321" xr:uid="{00000000-0005-0000-0000-000016750000}"/>
    <cellStyle name="Normal 8 8 3 2" xfId="31875" xr:uid="{00000000-0005-0000-0000-000017750000}"/>
    <cellStyle name="Normal 8 8 4" xfId="23832" xr:uid="{00000000-0005-0000-0000-000018750000}"/>
    <cellStyle name="Normal 8 9" xfId="9731" xr:uid="{00000000-0005-0000-0000-000019750000}"/>
    <cellStyle name="Normal 8 9 2" xfId="19087" xr:uid="{00000000-0005-0000-0000-00001A750000}"/>
    <cellStyle name="Normal 8 9 2 2" xfId="35661" xr:uid="{00000000-0005-0000-0000-00001B750000}"/>
    <cellStyle name="Normal 8 9 3" xfId="27614" xr:uid="{00000000-0005-0000-0000-00001C750000}"/>
    <cellStyle name="Normal 80" xfId="5849" xr:uid="{00000000-0005-0000-0000-00001D750000}"/>
    <cellStyle name="Normal 80 10" xfId="15322" xr:uid="{00000000-0005-0000-0000-00001E750000}"/>
    <cellStyle name="Normal 80 10 2" xfId="31876" xr:uid="{00000000-0005-0000-0000-00001F750000}"/>
    <cellStyle name="Normal 80 11" xfId="23833" xr:uid="{00000000-0005-0000-0000-000020750000}"/>
    <cellStyle name="Normal 80 2" xfId="5850" xr:uid="{00000000-0005-0000-0000-000021750000}"/>
    <cellStyle name="Normal 80 2 2" xfId="5851" xr:uid="{00000000-0005-0000-0000-000022750000}"/>
    <cellStyle name="Normal 80 2 3" xfId="15323" xr:uid="{00000000-0005-0000-0000-000023750000}"/>
    <cellStyle name="Normal 80 2 3 2" xfId="31877" xr:uid="{00000000-0005-0000-0000-000024750000}"/>
    <cellStyle name="Normal 80 2 4" xfId="23834" xr:uid="{00000000-0005-0000-0000-000025750000}"/>
    <cellStyle name="Normal 80 3" xfId="5852" xr:uid="{00000000-0005-0000-0000-000026750000}"/>
    <cellStyle name="Normal 80 3 2" xfId="5853" xr:uid="{00000000-0005-0000-0000-000027750000}"/>
    <cellStyle name="Normal 80 3 2 2" xfId="5854" xr:uid="{00000000-0005-0000-0000-000028750000}"/>
    <cellStyle name="Normal 80 3 2 2 2" xfId="5855" xr:uid="{00000000-0005-0000-0000-000029750000}"/>
    <cellStyle name="Normal 80 3 2 2 2 2" xfId="9732" xr:uid="{00000000-0005-0000-0000-00002A750000}"/>
    <cellStyle name="Normal 80 3 2 2 2 2 2" xfId="19088" xr:uid="{00000000-0005-0000-0000-00002B750000}"/>
    <cellStyle name="Normal 80 3 2 2 2 2 2 2" xfId="35662" xr:uid="{00000000-0005-0000-0000-00002C750000}"/>
    <cellStyle name="Normal 80 3 2 2 2 2 3" xfId="27615" xr:uid="{00000000-0005-0000-0000-00002D750000}"/>
    <cellStyle name="Normal 80 3 2 2 2 3" xfId="15326" xr:uid="{00000000-0005-0000-0000-00002E750000}"/>
    <cellStyle name="Normal 80 3 2 2 2 3 2" xfId="31880" xr:uid="{00000000-0005-0000-0000-00002F750000}"/>
    <cellStyle name="Normal 80 3 2 2 2 4" xfId="23837" xr:uid="{00000000-0005-0000-0000-000030750000}"/>
    <cellStyle name="Normal 80 3 2 2 3" xfId="9733" xr:uid="{00000000-0005-0000-0000-000031750000}"/>
    <cellStyle name="Normal 80 3 2 2 3 2" xfId="19089" xr:uid="{00000000-0005-0000-0000-000032750000}"/>
    <cellStyle name="Normal 80 3 2 2 3 2 2" xfId="35663" xr:uid="{00000000-0005-0000-0000-000033750000}"/>
    <cellStyle name="Normal 80 3 2 2 3 3" xfId="27616" xr:uid="{00000000-0005-0000-0000-000034750000}"/>
    <cellStyle name="Normal 80 3 2 2 4" xfId="15325" xr:uid="{00000000-0005-0000-0000-000035750000}"/>
    <cellStyle name="Normal 80 3 2 2 4 2" xfId="31879" xr:uid="{00000000-0005-0000-0000-000036750000}"/>
    <cellStyle name="Normal 80 3 2 2 5" xfId="23836" xr:uid="{00000000-0005-0000-0000-000037750000}"/>
    <cellStyle name="Normal 80 3 2 3" xfId="5856" xr:uid="{00000000-0005-0000-0000-000038750000}"/>
    <cellStyle name="Normal 80 3 2 3 2" xfId="9734" xr:uid="{00000000-0005-0000-0000-000039750000}"/>
    <cellStyle name="Normal 80 3 2 3 2 2" xfId="19090" xr:uid="{00000000-0005-0000-0000-00003A750000}"/>
    <cellStyle name="Normal 80 3 2 3 2 2 2" xfId="35664" xr:uid="{00000000-0005-0000-0000-00003B750000}"/>
    <cellStyle name="Normal 80 3 2 3 2 3" xfId="27617" xr:uid="{00000000-0005-0000-0000-00003C750000}"/>
    <cellStyle name="Normal 80 3 2 3 3" xfId="15327" xr:uid="{00000000-0005-0000-0000-00003D750000}"/>
    <cellStyle name="Normal 80 3 2 3 3 2" xfId="31881" xr:uid="{00000000-0005-0000-0000-00003E750000}"/>
    <cellStyle name="Normal 80 3 2 3 4" xfId="23838" xr:uid="{00000000-0005-0000-0000-00003F750000}"/>
    <cellStyle name="Normal 80 3 2 4" xfId="9735" xr:uid="{00000000-0005-0000-0000-000040750000}"/>
    <cellStyle name="Normal 80 3 2 4 2" xfId="19091" xr:uid="{00000000-0005-0000-0000-000041750000}"/>
    <cellStyle name="Normal 80 3 2 4 2 2" xfId="35665" xr:uid="{00000000-0005-0000-0000-000042750000}"/>
    <cellStyle name="Normal 80 3 2 4 3" xfId="27618" xr:uid="{00000000-0005-0000-0000-000043750000}"/>
    <cellStyle name="Normal 80 3 2 5" xfId="15324" xr:uid="{00000000-0005-0000-0000-000044750000}"/>
    <cellStyle name="Normal 80 3 2 5 2" xfId="31878" xr:uid="{00000000-0005-0000-0000-000045750000}"/>
    <cellStyle name="Normal 80 3 2 6" xfId="23835" xr:uid="{00000000-0005-0000-0000-000046750000}"/>
    <cellStyle name="Normal 80 3 3" xfId="5857" xr:uid="{00000000-0005-0000-0000-000047750000}"/>
    <cellStyle name="Normal 80 3 3 2" xfId="5858" xr:uid="{00000000-0005-0000-0000-000048750000}"/>
    <cellStyle name="Normal 80 3 3 2 2" xfId="9736" xr:uid="{00000000-0005-0000-0000-000049750000}"/>
    <cellStyle name="Normal 80 3 3 2 2 2" xfId="19092" xr:uid="{00000000-0005-0000-0000-00004A750000}"/>
    <cellStyle name="Normal 80 3 3 2 2 2 2" xfId="35666" xr:uid="{00000000-0005-0000-0000-00004B750000}"/>
    <cellStyle name="Normal 80 3 3 2 2 3" xfId="27619" xr:uid="{00000000-0005-0000-0000-00004C750000}"/>
    <cellStyle name="Normal 80 3 3 2 3" xfId="15329" xr:uid="{00000000-0005-0000-0000-00004D750000}"/>
    <cellStyle name="Normal 80 3 3 2 3 2" xfId="31883" xr:uid="{00000000-0005-0000-0000-00004E750000}"/>
    <cellStyle name="Normal 80 3 3 2 4" xfId="23840" xr:uid="{00000000-0005-0000-0000-00004F750000}"/>
    <cellStyle name="Normal 80 3 3 3" xfId="9737" xr:uid="{00000000-0005-0000-0000-000050750000}"/>
    <cellStyle name="Normal 80 3 3 3 2" xfId="19093" xr:uid="{00000000-0005-0000-0000-000051750000}"/>
    <cellStyle name="Normal 80 3 3 3 2 2" xfId="35667" xr:uid="{00000000-0005-0000-0000-000052750000}"/>
    <cellStyle name="Normal 80 3 3 3 3" xfId="27620" xr:uid="{00000000-0005-0000-0000-000053750000}"/>
    <cellStyle name="Normal 80 3 3 4" xfId="15328" xr:uid="{00000000-0005-0000-0000-000054750000}"/>
    <cellStyle name="Normal 80 3 3 4 2" xfId="31882" xr:uid="{00000000-0005-0000-0000-000055750000}"/>
    <cellStyle name="Normal 80 3 3 5" xfId="23839" xr:uid="{00000000-0005-0000-0000-000056750000}"/>
    <cellStyle name="Normal 80 3 4" xfId="5859" xr:uid="{00000000-0005-0000-0000-000057750000}"/>
    <cellStyle name="Normal 80 3 4 2" xfId="9738" xr:uid="{00000000-0005-0000-0000-000058750000}"/>
    <cellStyle name="Normal 80 3 4 2 2" xfId="19094" xr:uid="{00000000-0005-0000-0000-000059750000}"/>
    <cellStyle name="Normal 80 3 4 2 2 2" xfId="35668" xr:uid="{00000000-0005-0000-0000-00005A750000}"/>
    <cellStyle name="Normal 80 3 4 2 3" xfId="27621" xr:uid="{00000000-0005-0000-0000-00005B750000}"/>
    <cellStyle name="Normal 80 3 4 3" xfId="15330" xr:uid="{00000000-0005-0000-0000-00005C750000}"/>
    <cellStyle name="Normal 80 3 4 3 2" xfId="31884" xr:uid="{00000000-0005-0000-0000-00005D750000}"/>
    <cellStyle name="Normal 80 3 4 4" xfId="23841" xr:uid="{00000000-0005-0000-0000-00005E750000}"/>
    <cellStyle name="Normal 80 3 5" xfId="5860" xr:uid="{00000000-0005-0000-0000-00005F750000}"/>
    <cellStyle name="Normal 80 3 5 2" xfId="15331" xr:uid="{00000000-0005-0000-0000-000060750000}"/>
    <cellStyle name="Normal 80 3 5 2 2" xfId="31885" xr:uid="{00000000-0005-0000-0000-000061750000}"/>
    <cellStyle name="Normal 80 3 5 3" xfId="23842" xr:uid="{00000000-0005-0000-0000-000062750000}"/>
    <cellStyle name="Normal 80 4" xfId="5861" xr:uid="{00000000-0005-0000-0000-000063750000}"/>
    <cellStyle name="Normal 80 4 2" xfId="5862" xr:uid="{00000000-0005-0000-0000-000064750000}"/>
    <cellStyle name="Normal 80 4 2 2" xfId="5863" xr:uid="{00000000-0005-0000-0000-000065750000}"/>
    <cellStyle name="Normal 80 4 2 2 2" xfId="5864" xr:uid="{00000000-0005-0000-0000-000066750000}"/>
    <cellStyle name="Normal 80 4 2 2 2 2" xfId="9739" xr:uid="{00000000-0005-0000-0000-000067750000}"/>
    <cellStyle name="Normal 80 4 2 2 2 2 2" xfId="19095" xr:uid="{00000000-0005-0000-0000-000068750000}"/>
    <cellStyle name="Normal 80 4 2 2 2 2 2 2" xfId="35669" xr:uid="{00000000-0005-0000-0000-000069750000}"/>
    <cellStyle name="Normal 80 4 2 2 2 2 3" xfId="27622" xr:uid="{00000000-0005-0000-0000-00006A750000}"/>
    <cellStyle name="Normal 80 4 2 2 2 3" xfId="15335" xr:uid="{00000000-0005-0000-0000-00006B750000}"/>
    <cellStyle name="Normal 80 4 2 2 2 3 2" xfId="31889" xr:uid="{00000000-0005-0000-0000-00006C750000}"/>
    <cellStyle name="Normal 80 4 2 2 2 4" xfId="23846" xr:uid="{00000000-0005-0000-0000-00006D750000}"/>
    <cellStyle name="Normal 80 4 2 2 3" xfId="9740" xr:uid="{00000000-0005-0000-0000-00006E750000}"/>
    <cellStyle name="Normal 80 4 2 2 3 2" xfId="19096" xr:uid="{00000000-0005-0000-0000-00006F750000}"/>
    <cellStyle name="Normal 80 4 2 2 3 2 2" xfId="35670" xr:uid="{00000000-0005-0000-0000-000070750000}"/>
    <cellStyle name="Normal 80 4 2 2 3 3" xfId="27623" xr:uid="{00000000-0005-0000-0000-000071750000}"/>
    <cellStyle name="Normal 80 4 2 2 4" xfId="15334" xr:uid="{00000000-0005-0000-0000-000072750000}"/>
    <cellStyle name="Normal 80 4 2 2 4 2" xfId="31888" xr:uid="{00000000-0005-0000-0000-000073750000}"/>
    <cellStyle name="Normal 80 4 2 2 5" xfId="23845" xr:uid="{00000000-0005-0000-0000-000074750000}"/>
    <cellStyle name="Normal 80 4 2 3" xfId="5865" xr:uid="{00000000-0005-0000-0000-000075750000}"/>
    <cellStyle name="Normal 80 4 2 3 2" xfId="9741" xr:uid="{00000000-0005-0000-0000-000076750000}"/>
    <cellStyle name="Normal 80 4 2 3 2 2" xfId="19097" xr:uid="{00000000-0005-0000-0000-000077750000}"/>
    <cellStyle name="Normal 80 4 2 3 2 2 2" xfId="35671" xr:uid="{00000000-0005-0000-0000-000078750000}"/>
    <cellStyle name="Normal 80 4 2 3 2 3" xfId="27624" xr:uid="{00000000-0005-0000-0000-000079750000}"/>
    <cellStyle name="Normal 80 4 2 3 3" xfId="15336" xr:uid="{00000000-0005-0000-0000-00007A750000}"/>
    <cellStyle name="Normal 80 4 2 3 3 2" xfId="31890" xr:uid="{00000000-0005-0000-0000-00007B750000}"/>
    <cellStyle name="Normal 80 4 2 3 4" xfId="23847" xr:uid="{00000000-0005-0000-0000-00007C750000}"/>
    <cellStyle name="Normal 80 4 2 4" xfId="9742" xr:uid="{00000000-0005-0000-0000-00007D750000}"/>
    <cellStyle name="Normal 80 4 2 4 2" xfId="19098" xr:uid="{00000000-0005-0000-0000-00007E750000}"/>
    <cellStyle name="Normal 80 4 2 4 2 2" xfId="35672" xr:uid="{00000000-0005-0000-0000-00007F750000}"/>
    <cellStyle name="Normal 80 4 2 4 3" xfId="27625" xr:uid="{00000000-0005-0000-0000-000080750000}"/>
    <cellStyle name="Normal 80 4 2 5" xfId="15333" xr:uid="{00000000-0005-0000-0000-000081750000}"/>
    <cellStyle name="Normal 80 4 2 5 2" xfId="31887" xr:uid="{00000000-0005-0000-0000-000082750000}"/>
    <cellStyle name="Normal 80 4 2 6" xfId="23844" xr:uid="{00000000-0005-0000-0000-000083750000}"/>
    <cellStyle name="Normal 80 4 3" xfId="5866" xr:uid="{00000000-0005-0000-0000-000084750000}"/>
    <cellStyle name="Normal 80 4 3 2" xfId="5867" xr:uid="{00000000-0005-0000-0000-000085750000}"/>
    <cellStyle name="Normal 80 4 3 2 2" xfId="9743" xr:uid="{00000000-0005-0000-0000-000086750000}"/>
    <cellStyle name="Normal 80 4 3 2 2 2" xfId="19099" xr:uid="{00000000-0005-0000-0000-000087750000}"/>
    <cellStyle name="Normal 80 4 3 2 2 2 2" xfId="35673" xr:uid="{00000000-0005-0000-0000-000088750000}"/>
    <cellStyle name="Normal 80 4 3 2 2 3" xfId="27626" xr:uid="{00000000-0005-0000-0000-000089750000}"/>
    <cellStyle name="Normal 80 4 3 2 3" xfId="15338" xr:uid="{00000000-0005-0000-0000-00008A750000}"/>
    <cellStyle name="Normal 80 4 3 2 3 2" xfId="31892" xr:uid="{00000000-0005-0000-0000-00008B750000}"/>
    <cellStyle name="Normal 80 4 3 2 4" xfId="23849" xr:uid="{00000000-0005-0000-0000-00008C750000}"/>
    <cellStyle name="Normal 80 4 3 3" xfId="9744" xr:uid="{00000000-0005-0000-0000-00008D750000}"/>
    <cellStyle name="Normal 80 4 3 3 2" xfId="19100" xr:uid="{00000000-0005-0000-0000-00008E750000}"/>
    <cellStyle name="Normal 80 4 3 3 2 2" xfId="35674" xr:uid="{00000000-0005-0000-0000-00008F750000}"/>
    <cellStyle name="Normal 80 4 3 3 3" xfId="27627" xr:uid="{00000000-0005-0000-0000-000090750000}"/>
    <cellStyle name="Normal 80 4 3 4" xfId="15337" xr:uid="{00000000-0005-0000-0000-000091750000}"/>
    <cellStyle name="Normal 80 4 3 4 2" xfId="31891" xr:uid="{00000000-0005-0000-0000-000092750000}"/>
    <cellStyle name="Normal 80 4 3 5" xfId="23848" xr:uid="{00000000-0005-0000-0000-000093750000}"/>
    <cellStyle name="Normal 80 4 4" xfId="5868" xr:uid="{00000000-0005-0000-0000-000094750000}"/>
    <cellStyle name="Normal 80 4 4 2" xfId="9745" xr:uid="{00000000-0005-0000-0000-000095750000}"/>
    <cellStyle name="Normal 80 4 4 2 2" xfId="19101" xr:uid="{00000000-0005-0000-0000-000096750000}"/>
    <cellStyle name="Normal 80 4 4 2 2 2" xfId="35675" xr:uid="{00000000-0005-0000-0000-000097750000}"/>
    <cellStyle name="Normal 80 4 4 2 3" xfId="27628" xr:uid="{00000000-0005-0000-0000-000098750000}"/>
    <cellStyle name="Normal 80 4 4 3" xfId="15339" xr:uid="{00000000-0005-0000-0000-000099750000}"/>
    <cellStyle name="Normal 80 4 4 3 2" xfId="31893" xr:uid="{00000000-0005-0000-0000-00009A750000}"/>
    <cellStyle name="Normal 80 4 4 4" xfId="23850" xr:uid="{00000000-0005-0000-0000-00009B750000}"/>
    <cellStyle name="Normal 80 4 5" xfId="9746" xr:uid="{00000000-0005-0000-0000-00009C750000}"/>
    <cellStyle name="Normal 80 4 5 2" xfId="19102" xr:uid="{00000000-0005-0000-0000-00009D750000}"/>
    <cellStyle name="Normal 80 4 5 2 2" xfId="35676" xr:uid="{00000000-0005-0000-0000-00009E750000}"/>
    <cellStyle name="Normal 80 4 5 3" xfId="27629" xr:uid="{00000000-0005-0000-0000-00009F750000}"/>
    <cellStyle name="Normal 80 4 6" xfId="15332" xr:uid="{00000000-0005-0000-0000-0000A0750000}"/>
    <cellStyle name="Normal 80 4 6 2" xfId="31886" xr:uid="{00000000-0005-0000-0000-0000A1750000}"/>
    <cellStyle name="Normal 80 4 7" xfId="23843" xr:uid="{00000000-0005-0000-0000-0000A2750000}"/>
    <cellStyle name="Normal 80 5" xfId="5869" xr:uid="{00000000-0005-0000-0000-0000A3750000}"/>
    <cellStyle name="Normal 80 5 2" xfId="5870" xr:uid="{00000000-0005-0000-0000-0000A4750000}"/>
    <cellStyle name="Normal 80 5 2 2" xfId="5871" xr:uid="{00000000-0005-0000-0000-0000A5750000}"/>
    <cellStyle name="Normal 80 5 2 2 2" xfId="5872" xr:uid="{00000000-0005-0000-0000-0000A6750000}"/>
    <cellStyle name="Normal 80 5 2 2 2 2" xfId="9747" xr:uid="{00000000-0005-0000-0000-0000A7750000}"/>
    <cellStyle name="Normal 80 5 2 2 2 2 2" xfId="19103" xr:uid="{00000000-0005-0000-0000-0000A8750000}"/>
    <cellStyle name="Normal 80 5 2 2 2 2 2 2" xfId="35677" xr:uid="{00000000-0005-0000-0000-0000A9750000}"/>
    <cellStyle name="Normal 80 5 2 2 2 2 3" xfId="27630" xr:uid="{00000000-0005-0000-0000-0000AA750000}"/>
    <cellStyle name="Normal 80 5 2 2 2 3" xfId="15343" xr:uid="{00000000-0005-0000-0000-0000AB750000}"/>
    <cellStyle name="Normal 80 5 2 2 2 3 2" xfId="31897" xr:uid="{00000000-0005-0000-0000-0000AC750000}"/>
    <cellStyle name="Normal 80 5 2 2 2 4" xfId="23854" xr:uid="{00000000-0005-0000-0000-0000AD750000}"/>
    <cellStyle name="Normal 80 5 2 2 3" xfId="9748" xr:uid="{00000000-0005-0000-0000-0000AE750000}"/>
    <cellStyle name="Normal 80 5 2 2 3 2" xfId="19104" xr:uid="{00000000-0005-0000-0000-0000AF750000}"/>
    <cellStyle name="Normal 80 5 2 2 3 2 2" xfId="35678" xr:uid="{00000000-0005-0000-0000-0000B0750000}"/>
    <cellStyle name="Normal 80 5 2 2 3 3" xfId="27631" xr:uid="{00000000-0005-0000-0000-0000B1750000}"/>
    <cellStyle name="Normal 80 5 2 2 4" xfId="15342" xr:uid="{00000000-0005-0000-0000-0000B2750000}"/>
    <cellStyle name="Normal 80 5 2 2 4 2" xfId="31896" xr:uid="{00000000-0005-0000-0000-0000B3750000}"/>
    <cellStyle name="Normal 80 5 2 2 5" xfId="23853" xr:uid="{00000000-0005-0000-0000-0000B4750000}"/>
    <cellStyle name="Normal 80 5 2 3" xfId="5873" xr:uid="{00000000-0005-0000-0000-0000B5750000}"/>
    <cellStyle name="Normal 80 5 2 3 2" xfId="9749" xr:uid="{00000000-0005-0000-0000-0000B6750000}"/>
    <cellStyle name="Normal 80 5 2 3 2 2" xfId="19105" xr:uid="{00000000-0005-0000-0000-0000B7750000}"/>
    <cellStyle name="Normal 80 5 2 3 2 2 2" xfId="35679" xr:uid="{00000000-0005-0000-0000-0000B8750000}"/>
    <cellStyle name="Normal 80 5 2 3 2 3" xfId="27632" xr:uid="{00000000-0005-0000-0000-0000B9750000}"/>
    <cellStyle name="Normal 80 5 2 3 3" xfId="15344" xr:uid="{00000000-0005-0000-0000-0000BA750000}"/>
    <cellStyle name="Normal 80 5 2 3 3 2" xfId="31898" xr:uid="{00000000-0005-0000-0000-0000BB750000}"/>
    <cellStyle name="Normal 80 5 2 3 4" xfId="23855" xr:uid="{00000000-0005-0000-0000-0000BC750000}"/>
    <cellStyle name="Normal 80 5 2 4" xfId="9750" xr:uid="{00000000-0005-0000-0000-0000BD750000}"/>
    <cellStyle name="Normal 80 5 2 4 2" xfId="19106" xr:uid="{00000000-0005-0000-0000-0000BE750000}"/>
    <cellStyle name="Normal 80 5 2 4 2 2" xfId="35680" xr:uid="{00000000-0005-0000-0000-0000BF750000}"/>
    <cellStyle name="Normal 80 5 2 4 3" xfId="27633" xr:uid="{00000000-0005-0000-0000-0000C0750000}"/>
    <cellStyle name="Normal 80 5 2 5" xfId="15341" xr:uid="{00000000-0005-0000-0000-0000C1750000}"/>
    <cellStyle name="Normal 80 5 2 5 2" xfId="31895" xr:uid="{00000000-0005-0000-0000-0000C2750000}"/>
    <cellStyle name="Normal 80 5 2 6" xfId="23852" xr:uid="{00000000-0005-0000-0000-0000C3750000}"/>
    <cellStyle name="Normal 80 5 3" xfId="5874" xr:uid="{00000000-0005-0000-0000-0000C4750000}"/>
    <cellStyle name="Normal 80 5 3 2" xfId="5875" xr:uid="{00000000-0005-0000-0000-0000C5750000}"/>
    <cellStyle name="Normal 80 5 3 2 2" xfId="9751" xr:uid="{00000000-0005-0000-0000-0000C6750000}"/>
    <cellStyle name="Normal 80 5 3 2 2 2" xfId="19107" xr:uid="{00000000-0005-0000-0000-0000C7750000}"/>
    <cellStyle name="Normal 80 5 3 2 2 2 2" xfId="35681" xr:uid="{00000000-0005-0000-0000-0000C8750000}"/>
    <cellStyle name="Normal 80 5 3 2 2 3" xfId="27634" xr:uid="{00000000-0005-0000-0000-0000C9750000}"/>
    <cellStyle name="Normal 80 5 3 2 3" xfId="15346" xr:uid="{00000000-0005-0000-0000-0000CA750000}"/>
    <cellStyle name="Normal 80 5 3 2 3 2" xfId="31900" xr:uid="{00000000-0005-0000-0000-0000CB750000}"/>
    <cellStyle name="Normal 80 5 3 2 4" xfId="23857" xr:uid="{00000000-0005-0000-0000-0000CC750000}"/>
    <cellStyle name="Normal 80 5 3 3" xfId="9752" xr:uid="{00000000-0005-0000-0000-0000CD750000}"/>
    <cellStyle name="Normal 80 5 3 3 2" xfId="19108" xr:uid="{00000000-0005-0000-0000-0000CE750000}"/>
    <cellStyle name="Normal 80 5 3 3 2 2" xfId="35682" xr:uid="{00000000-0005-0000-0000-0000CF750000}"/>
    <cellStyle name="Normal 80 5 3 3 3" xfId="27635" xr:uid="{00000000-0005-0000-0000-0000D0750000}"/>
    <cellStyle name="Normal 80 5 3 4" xfId="15345" xr:uid="{00000000-0005-0000-0000-0000D1750000}"/>
    <cellStyle name="Normal 80 5 3 4 2" xfId="31899" xr:uid="{00000000-0005-0000-0000-0000D2750000}"/>
    <cellStyle name="Normal 80 5 3 5" xfId="23856" xr:uid="{00000000-0005-0000-0000-0000D3750000}"/>
    <cellStyle name="Normal 80 5 4" xfId="5876" xr:uid="{00000000-0005-0000-0000-0000D4750000}"/>
    <cellStyle name="Normal 80 5 4 2" xfId="9753" xr:uid="{00000000-0005-0000-0000-0000D5750000}"/>
    <cellStyle name="Normal 80 5 4 2 2" xfId="19109" xr:uid="{00000000-0005-0000-0000-0000D6750000}"/>
    <cellStyle name="Normal 80 5 4 2 2 2" xfId="35683" xr:uid="{00000000-0005-0000-0000-0000D7750000}"/>
    <cellStyle name="Normal 80 5 4 2 3" xfId="27636" xr:uid="{00000000-0005-0000-0000-0000D8750000}"/>
    <cellStyle name="Normal 80 5 4 3" xfId="15347" xr:uid="{00000000-0005-0000-0000-0000D9750000}"/>
    <cellStyle name="Normal 80 5 4 3 2" xfId="31901" xr:uid="{00000000-0005-0000-0000-0000DA750000}"/>
    <cellStyle name="Normal 80 5 4 4" xfId="23858" xr:uid="{00000000-0005-0000-0000-0000DB750000}"/>
    <cellStyle name="Normal 80 5 5" xfId="9754" xr:uid="{00000000-0005-0000-0000-0000DC750000}"/>
    <cellStyle name="Normal 80 5 5 2" xfId="19110" xr:uid="{00000000-0005-0000-0000-0000DD750000}"/>
    <cellStyle name="Normal 80 5 5 2 2" xfId="35684" xr:uid="{00000000-0005-0000-0000-0000DE750000}"/>
    <cellStyle name="Normal 80 5 5 3" xfId="27637" xr:uid="{00000000-0005-0000-0000-0000DF750000}"/>
    <cellStyle name="Normal 80 5 6" xfId="15340" xr:uid="{00000000-0005-0000-0000-0000E0750000}"/>
    <cellStyle name="Normal 80 5 6 2" xfId="31894" xr:uid="{00000000-0005-0000-0000-0000E1750000}"/>
    <cellStyle name="Normal 80 5 7" xfId="23851" xr:uid="{00000000-0005-0000-0000-0000E2750000}"/>
    <cellStyle name="Normal 80 6" xfId="5877" xr:uid="{00000000-0005-0000-0000-0000E3750000}"/>
    <cellStyle name="Normal 80 6 2" xfId="5878" xr:uid="{00000000-0005-0000-0000-0000E4750000}"/>
    <cellStyle name="Normal 80 6 2 2" xfId="5879" xr:uid="{00000000-0005-0000-0000-0000E5750000}"/>
    <cellStyle name="Normal 80 6 2 2 2" xfId="9755" xr:uid="{00000000-0005-0000-0000-0000E6750000}"/>
    <cellStyle name="Normal 80 6 2 2 2 2" xfId="19111" xr:uid="{00000000-0005-0000-0000-0000E7750000}"/>
    <cellStyle name="Normal 80 6 2 2 2 2 2" xfId="35685" xr:uid="{00000000-0005-0000-0000-0000E8750000}"/>
    <cellStyle name="Normal 80 6 2 2 2 3" xfId="27638" xr:uid="{00000000-0005-0000-0000-0000E9750000}"/>
    <cellStyle name="Normal 80 6 2 2 3" xfId="15350" xr:uid="{00000000-0005-0000-0000-0000EA750000}"/>
    <cellStyle name="Normal 80 6 2 2 3 2" xfId="31904" xr:uid="{00000000-0005-0000-0000-0000EB750000}"/>
    <cellStyle name="Normal 80 6 2 2 4" xfId="23861" xr:uid="{00000000-0005-0000-0000-0000EC750000}"/>
    <cellStyle name="Normal 80 6 2 3" xfId="9756" xr:uid="{00000000-0005-0000-0000-0000ED750000}"/>
    <cellStyle name="Normal 80 6 2 3 2" xfId="19112" xr:uid="{00000000-0005-0000-0000-0000EE750000}"/>
    <cellStyle name="Normal 80 6 2 3 2 2" xfId="35686" xr:uid="{00000000-0005-0000-0000-0000EF750000}"/>
    <cellStyle name="Normal 80 6 2 3 3" xfId="27639" xr:uid="{00000000-0005-0000-0000-0000F0750000}"/>
    <cellStyle name="Normal 80 6 2 4" xfId="15349" xr:uid="{00000000-0005-0000-0000-0000F1750000}"/>
    <cellStyle name="Normal 80 6 2 4 2" xfId="31903" xr:uid="{00000000-0005-0000-0000-0000F2750000}"/>
    <cellStyle name="Normal 80 6 2 5" xfId="23860" xr:uid="{00000000-0005-0000-0000-0000F3750000}"/>
    <cellStyle name="Normal 80 6 3" xfId="5880" xr:uid="{00000000-0005-0000-0000-0000F4750000}"/>
    <cellStyle name="Normal 80 6 3 2" xfId="9757" xr:uid="{00000000-0005-0000-0000-0000F5750000}"/>
    <cellStyle name="Normal 80 6 3 2 2" xfId="19113" xr:uid="{00000000-0005-0000-0000-0000F6750000}"/>
    <cellStyle name="Normal 80 6 3 2 2 2" xfId="35687" xr:uid="{00000000-0005-0000-0000-0000F7750000}"/>
    <cellStyle name="Normal 80 6 3 2 3" xfId="27640" xr:uid="{00000000-0005-0000-0000-0000F8750000}"/>
    <cellStyle name="Normal 80 6 3 3" xfId="15351" xr:uid="{00000000-0005-0000-0000-0000F9750000}"/>
    <cellStyle name="Normal 80 6 3 3 2" xfId="31905" xr:uid="{00000000-0005-0000-0000-0000FA750000}"/>
    <cellStyle name="Normal 80 6 3 4" xfId="23862" xr:uid="{00000000-0005-0000-0000-0000FB750000}"/>
    <cellStyle name="Normal 80 6 4" xfId="9758" xr:uid="{00000000-0005-0000-0000-0000FC750000}"/>
    <cellStyle name="Normal 80 6 4 2" xfId="19114" xr:uid="{00000000-0005-0000-0000-0000FD750000}"/>
    <cellStyle name="Normal 80 6 4 2 2" xfId="35688" xr:uid="{00000000-0005-0000-0000-0000FE750000}"/>
    <cellStyle name="Normal 80 6 4 3" xfId="27641" xr:uid="{00000000-0005-0000-0000-0000FF750000}"/>
    <cellStyle name="Normal 80 6 5" xfId="15348" xr:uid="{00000000-0005-0000-0000-000000760000}"/>
    <cellStyle name="Normal 80 6 5 2" xfId="31902" xr:uid="{00000000-0005-0000-0000-000001760000}"/>
    <cellStyle name="Normal 80 6 6" xfId="23859" xr:uid="{00000000-0005-0000-0000-000002760000}"/>
    <cellStyle name="Normal 80 7" xfId="5881" xr:uid="{00000000-0005-0000-0000-000003760000}"/>
    <cellStyle name="Normal 80 7 2" xfId="5882" xr:uid="{00000000-0005-0000-0000-000004760000}"/>
    <cellStyle name="Normal 80 7 2 2" xfId="9759" xr:uid="{00000000-0005-0000-0000-000005760000}"/>
    <cellStyle name="Normal 80 7 2 2 2" xfId="19115" xr:uid="{00000000-0005-0000-0000-000006760000}"/>
    <cellStyle name="Normal 80 7 2 2 2 2" xfId="35689" xr:uid="{00000000-0005-0000-0000-000007760000}"/>
    <cellStyle name="Normal 80 7 2 2 3" xfId="27642" xr:uid="{00000000-0005-0000-0000-000008760000}"/>
    <cellStyle name="Normal 80 7 2 3" xfId="15353" xr:uid="{00000000-0005-0000-0000-000009760000}"/>
    <cellStyle name="Normal 80 7 2 3 2" xfId="31907" xr:uid="{00000000-0005-0000-0000-00000A760000}"/>
    <cellStyle name="Normal 80 7 2 4" xfId="23864" xr:uid="{00000000-0005-0000-0000-00000B760000}"/>
    <cellStyle name="Normal 80 7 3" xfId="9760" xr:uid="{00000000-0005-0000-0000-00000C760000}"/>
    <cellStyle name="Normal 80 7 3 2" xfId="19116" xr:uid="{00000000-0005-0000-0000-00000D760000}"/>
    <cellStyle name="Normal 80 7 3 2 2" xfId="35690" xr:uid="{00000000-0005-0000-0000-00000E760000}"/>
    <cellStyle name="Normal 80 7 3 3" xfId="27643" xr:uid="{00000000-0005-0000-0000-00000F760000}"/>
    <cellStyle name="Normal 80 7 4" xfId="15352" xr:uid="{00000000-0005-0000-0000-000010760000}"/>
    <cellStyle name="Normal 80 7 4 2" xfId="31906" xr:uid="{00000000-0005-0000-0000-000011760000}"/>
    <cellStyle name="Normal 80 7 5" xfId="23863" xr:uid="{00000000-0005-0000-0000-000012760000}"/>
    <cellStyle name="Normal 80 8" xfId="5883" xr:uid="{00000000-0005-0000-0000-000013760000}"/>
    <cellStyle name="Normal 80 8 2" xfId="9761" xr:uid="{00000000-0005-0000-0000-000014760000}"/>
    <cellStyle name="Normal 80 8 2 2" xfId="19117" xr:uid="{00000000-0005-0000-0000-000015760000}"/>
    <cellStyle name="Normal 80 8 2 2 2" xfId="35691" xr:uid="{00000000-0005-0000-0000-000016760000}"/>
    <cellStyle name="Normal 80 8 2 3" xfId="27644" xr:uid="{00000000-0005-0000-0000-000017760000}"/>
    <cellStyle name="Normal 80 8 3" xfId="15354" xr:uid="{00000000-0005-0000-0000-000018760000}"/>
    <cellStyle name="Normal 80 8 3 2" xfId="31908" xr:uid="{00000000-0005-0000-0000-000019760000}"/>
    <cellStyle name="Normal 80 8 4" xfId="23865" xr:uid="{00000000-0005-0000-0000-00001A760000}"/>
    <cellStyle name="Normal 80 9" xfId="9762" xr:uid="{00000000-0005-0000-0000-00001B760000}"/>
    <cellStyle name="Normal 80 9 2" xfId="19118" xr:uid="{00000000-0005-0000-0000-00001C760000}"/>
    <cellStyle name="Normal 80 9 2 2" xfId="35692" xr:uid="{00000000-0005-0000-0000-00001D760000}"/>
    <cellStyle name="Normal 80 9 3" xfId="27645" xr:uid="{00000000-0005-0000-0000-00001E760000}"/>
    <cellStyle name="Normal 81" xfId="5884" xr:uid="{00000000-0005-0000-0000-00001F760000}"/>
    <cellStyle name="Normal 81 10" xfId="15355" xr:uid="{00000000-0005-0000-0000-000020760000}"/>
    <cellStyle name="Normal 81 10 2" xfId="31909" xr:uid="{00000000-0005-0000-0000-000021760000}"/>
    <cellStyle name="Normal 81 11" xfId="23866" xr:uid="{00000000-0005-0000-0000-000022760000}"/>
    <cellStyle name="Normal 81 2" xfId="5885" xr:uid="{00000000-0005-0000-0000-000023760000}"/>
    <cellStyle name="Normal 81 2 2" xfId="5886" xr:uid="{00000000-0005-0000-0000-000024760000}"/>
    <cellStyle name="Normal 81 2 3" xfId="15356" xr:uid="{00000000-0005-0000-0000-000025760000}"/>
    <cellStyle name="Normal 81 2 3 2" xfId="31910" xr:uid="{00000000-0005-0000-0000-000026760000}"/>
    <cellStyle name="Normal 81 2 4" xfId="23867" xr:uid="{00000000-0005-0000-0000-000027760000}"/>
    <cellStyle name="Normal 81 3" xfId="5887" xr:uid="{00000000-0005-0000-0000-000028760000}"/>
    <cellStyle name="Normal 81 3 2" xfId="5888" xr:uid="{00000000-0005-0000-0000-000029760000}"/>
    <cellStyle name="Normal 81 3 2 2" xfId="5889" xr:uid="{00000000-0005-0000-0000-00002A760000}"/>
    <cellStyle name="Normal 81 3 2 2 2" xfId="5890" xr:uid="{00000000-0005-0000-0000-00002B760000}"/>
    <cellStyle name="Normal 81 3 2 2 2 2" xfId="9763" xr:uid="{00000000-0005-0000-0000-00002C760000}"/>
    <cellStyle name="Normal 81 3 2 2 2 2 2" xfId="19119" xr:uid="{00000000-0005-0000-0000-00002D760000}"/>
    <cellStyle name="Normal 81 3 2 2 2 2 2 2" xfId="35693" xr:uid="{00000000-0005-0000-0000-00002E760000}"/>
    <cellStyle name="Normal 81 3 2 2 2 2 3" xfId="27646" xr:uid="{00000000-0005-0000-0000-00002F760000}"/>
    <cellStyle name="Normal 81 3 2 2 2 3" xfId="15359" xr:uid="{00000000-0005-0000-0000-000030760000}"/>
    <cellStyle name="Normal 81 3 2 2 2 3 2" xfId="31913" xr:uid="{00000000-0005-0000-0000-000031760000}"/>
    <cellStyle name="Normal 81 3 2 2 2 4" xfId="23870" xr:uid="{00000000-0005-0000-0000-000032760000}"/>
    <cellStyle name="Normal 81 3 2 2 3" xfId="9764" xr:uid="{00000000-0005-0000-0000-000033760000}"/>
    <cellStyle name="Normal 81 3 2 2 3 2" xfId="19120" xr:uid="{00000000-0005-0000-0000-000034760000}"/>
    <cellStyle name="Normal 81 3 2 2 3 2 2" xfId="35694" xr:uid="{00000000-0005-0000-0000-000035760000}"/>
    <cellStyle name="Normal 81 3 2 2 3 3" xfId="27647" xr:uid="{00000000-0005-0000-0000-000036760000}"/>
    <cellStyle name="Normal 81 3 2 2 4" xfId="15358" xr:uid="{00000000-0005-0000-0000-000037760000}"/>
    <cellStyle name="Normal 81 3 2 2 4 2" xfId="31912" xr:uid="{00000000-0005-0000-0000-000038760000}"/>
    <cellStyle name="Normal 81 3 2 2 5" xfId="23869" xr:uid="{00000000-0005-0000-0000-000039760000}"/>
    <cellStyle name="Normal 81 3 2 3" xfId="5891" xr:uid="{00000000-0005-0000-0000-00003A760000}"/>
    <cellStyle name="Normal 81 3 2 3 2" xfId="9765" xr:uid="{00000000-0005-0000-0000-00003B760000}"/>
    <cellStyle name="Normal 81 3 2 3 2 2" xfId="19121" xr:uid="{00000000-0005-0000-0000-00003C760000}"/>
    <cellStyle name="Normal 81 3 2 3 2 2 2" xfId="35695" xr:uid="{00000000-0005-0000-0000-00003D760000}"/>
    <cellStyle name="Normal 81 3 2 3 2 3" xfId="27648" xr:uid="{00000000-0005-0000-0000-00003E760000}"/>
    <cellStyle name="Normal 81 3 2 3 3" xfId="15360" xr:uid="{00000000-0005-0000-0000-00003F760000}"/>
    <cellStyle name="Normal 81 3 2 3 3 2" xfId="31914" xr:uid="{00000000-0005-0000-0000-000040760000}"/>
    <cellStyle name="Normal 81 3 2 3 4" xfId="23871" xr:uid="{00000000-0005-0000-0000-000041760000}"/>
    <cellStyle name="Normal 81 3 2 4" xfId="9766" xr:uid="{00000000-0005-0000-0000-000042760000}"/>
    <cellStyle name="Normal 81 3 2 4 2" xfId="19122" xr:uid="{00000000-0005-0000-0000-000043760000}"/>
    <cellStyle name="Normal 81 3 2 4 2 2" xfId="35696" xr:uid="{00000000-0005-0000-0000-000044760000}"/>
    <cellStyle name="Normal 81 3 2 4 3" xfId="27649" xr:uid="{00000000-0005-0000-0000-000045760000}"/>
    <cellStyle name="Normal 81 3 2 5" xfId="15357" xr:uid="{00000000-0005-0000-0000-000046760000}"/>
    <cellStyle name="Normal 81 3 2 5 2" xfId="31911" xr:uid="{00000000-0005-0000-0000-000047760000}"/>
    <cellStyle name="Normal 81 3 2 6" xfId="23868" xr:uid="{00000000-0005-0000-0000-000048760000}"/>
    <cellStyle name="Normal 81 3 3" xfId="5892" xr:uid="{00000000-0005-0000-0000-000049760000}"/>
    <cellStyle name="Normal 81 3 3 2" xfId="5893" xr:uid="{00000000-0005-0000-0000-00004A760000}"/>
    <cellStyle name="Normal 81 3 3 2 2" xfId="9767" xr:uid="{00000000-0005-0000-0000-00004B760000}"/>
    <cellStyle name="Normal 81 3 3 2 2 2" xfId="19123" xr:uid="{00000000-0005-0000-0000-00004C760000}"/>
    <cellStyle name="Normal 81 3 3 2 2 2 2" xfId="35697" xr:uid="{00000000-0005-0000-0000-00004D760000}"/>
    <cellStyle name="Normal 81 3 3 2 2 3" xfId="27650" xr:uid="{00000000-0005-0000-0000-00004E760000}"/>
    <cellStyle name="Normal 81 3 3 2 3" xfId="15362" xr:uid="{00000000-0005-0000-0000-00004F760000}"/>
    <cellStyle name="Normal 81 3 3 2 3 2" xfId="31916" xr:uid="{00000000-0005-0000-0000-000050760000}"/>
    <cellStyle name="Normal 81 3 3 2 4" xfId="23873" xr:uid="{00000000-0005-0000-0000-000051760000}"/>
    <cellStyle name="Normal 81 3 3 3" xfId="9768" xr:uid="{00000000-0005-0000-0000-000052760000}"/>
    <cellStyle name="Normal 81 3 3 3 2" xfId="19124" xr:uid="{00000000-0005-0000-0000-000053760000}"/>
    <cellStyle name="Normal 81 3 3 3 2 2" xfId="35698" xr:uid="{00000000-0005-0000-0000-000054760000}"/>
    <cellStyle name="Normal 81 3 3 3 3" xfId="27651" xr:uid="{00000000-0005-0000-0000-000055760000}"/>
    <cellStyle name="Normal 81 3 3 4" xfId="15361" xr:uid="{00000000-0005-0000-0000-000056760000}"/>
    <cellStyle name="Normal 81 3 3 4 2" xfId="31915" xr:uid="{00000000-0005-0000-0000-000057760000}"/>
    <cellStyle name="Normal 81 3 3 5" xfId="23872" xr:uid="{00000000-0005-0000-0000-000058760000}"/>
    <cellStyle name="Normal 81 3 4" xfId="5894" xr:uid="{00000000-0005-0000-0000-000059760000}"/>
    <cellStyle name="Normal 81 3 4 2" xfId="9769" xr:uid="{00000000-0005-0000-0000-00005A760000}"/>
    <cellStyle name="Normal 81 3 4 2 2" xfId="19125" xr:uid="{00000000-0005-0000-0000-00005B760000}"/>
    <cellStyle name="Normal 81 3 4 2 2 2" xfId="35699" xr:uid="{00000000-0005-0000-0000-00005C760000}"/>
    <cellStyle name="Normal 81 3 4 2 3" xfId="27652" xr:uid="{00000000-0005-0000-0000-00005D760000}"/>
    <cellStyle name="Normal 81 3 4 3" xfId="15363" xr:uid="{00000000-0005-0000-0000-00005E760000}"/>
    <cellStyle name="Normal 81 3 4 3 2" xfId="31917" xr:uid="{00000000-0005-0000-0000-00005F760000}"/>
    <cellStyle name="Normal 81 3 4 4" xfId="23874" xr:uid="{00000000-0005-0000-0000-000060760000}"/>
    <cellStyle name="Normal 81 3 5" xfId="5895" xr:uid="{00000000-0005-0000-0000-000061760000}"/>
    <cellStyle name="Normal 81 3 5 2" xfId="15364" xr:uid="{00000000-0005-0000-0000-000062760000}"/>
    <cellStyle name="Normal 81 3 5 2 2" xfId="31918" xr:uid="{00000000-0005-0000-0000-000063760000}"/>
    <cellStyle name="Normal 81 3 5 3" xfId="23875" xr:uid="{00000000-0005-0000-0000-000064760000}"/>
    <cellStyle name="Normal 81 4" xfId="5896" xr:uid="{00000000-0005-0000-0000-000065760000}"/>
    <cellStyle name="Normal 81 4 2" xfId="5897" xr:uid="{00000000-0005-0000-0000-000066760000}"/>
    <cellStyle name="Normal 81 4 2 2" xfId="5898" xr:uid="{00000000-0005-0000-0000-000067760000}"/>
    <cellStyle name="Normal 81 4 2 2 2" xfId="5899" xr:uid="{00000000-0005-0000-0000-000068760000}"/>
    <cellStyle name="Normal 81 4 2 2 2 2" xfId="9770" xr:uid="{00000000-0005-0000-0000-000069760000}"/>
    <cellStyle name="Normal 81 4 2 2 2 2 2" xfId="19126" xr:uid="{00000000-0005-0000-0000-00006A760000}"/>
    <cellStyle name="Normal 81 4 2 2 2 2 2 2" xfId="35700" xr:uid="{00000000-0005-0000-0000-00006B760000}"/>
    <cellStyle name="Normal 81 4 2 2 2 2 3" xfId="27653" xr:uid="{00000000-0005-0000-0000-00006C760000}"/>
    <cellStyle name="Normal 81 4 2 2 2 3" xfId="15368" xr:uid="{00000000-0005-0000-0000-00006D760000}"/>
    <cellStyle name="Normal 81 4 2 2 2 3 2" xfId="31922" xr:uid="{00000000-0005-0000-0000-00006E760000}"/>
    <cellStyle name="Normal 81 4 2 2 2 4" xfId="23879" xr:uid="{00000000-0005-0000-0000-00006F760000}"/>
    <cellStyle name="Normal 81 4 2 2 3" xfId="9771" xr:uid="{00000000-0005-0000-0000-000070760000}"/>
    <cellStyle name="Normal 81 4 2 2 3 2" xfId="19127" xr:uid="{00000000-0005-0000-0000-000071760000}"/>
    <cellStyle name="Normal 81 4 2 2 3 2 2" xfId="35701" xr:uid="{00000000-0005-0000-0000-000072760000}"/>
    <cellStyle name="Normal 81 4 2 2 3 3" xfId="27654" xr:uid="{00000000-0005-0000-0000-000073760000}"/>
    <cellStyle name="Normal 81 4 2 2 4" xfId="15367" xr:uid="{00000000-0005-0000-0000-000074760000}"/>
    <cellStyle name="Normal 81 4 2 2 4 2" xfId="31921" xr:uid="{00000000-0005-0000-0000-000075760000}"/>
    <cellStyle name="Normal 81 4 2 2 5" xfId="23878" xr:uid="{00000000-0005-0000-0000-000076760000}"/>
    <cellStyle name="Normal 81 4 2 3" xfId="5900" xr:uid="{00000000-0005-0000-0000-000077760000}"/>
    <cellStyle name="Normal 81 4 2 3 2" xfId="9772" xr:uid="{00000000-0005-0000-0000-000078760000}"/>
    <cellStyle name="Normal 81 4 2 3 2 2" xfId="19128" xr:uid="{00000000-0005-0000-0000-000079760000}"/>
    <cellStyle name="Normal 81 4 2 3 2 2 2" xfId="35702" xr:uid="{00000000-0005-0000-0000-00007A760000}"/>
    <cellStyle name="Normal 81 4 2 3 2 3" xfId="27655" xr:uid="{00000000-0005-0000-0000-00007B760000}"/>
    <cellStyle name="Normal 81 4 2 3 3" xfId="15369" xr:uid="{00000000-0005-0000-0000-00007C760000}"/>
    <cellStyle name="Normal 81 4 2 3 3 2" xfId="31923" xr:uid="{00000000-0005-0000-0000-00007D760000}"/>
    <cellStyle name="Normal 81 4 2 3 4" xfId="23880" xr:uid="{00000000-0005-0000-0000-00007E760000}"/>
    <cellStyle name="Normal 81 4 2 4" xfId="9773" xr:uid="{00000000-0005-0000-0000-00007F760000}"/>
    <cellStyle name="Normal 81 4 2 4 2" xfId="19129" xr:uid="{00000000-0005-0000-0000-000080760000}"/>
    <cellStyle name="Normal 81 4 2 4 2 2" xfId="35703" xr:uid="{00000000-0005-0000-0000-000081760000}"/>
    <cellStyle name="Normal 81 4 2 4 3" xfId="27656" xr:uid="{00000000-0005-0000-0000-000082760000}"/>
    <cellStyle name="Normal 81 4 2 5" xfId="15366" xr:uid="{00000000-0005-0000-0000-000083760000}"/>
    <cellStyle name="Normal 81 4 2 5 2" xfId="31920" xr:uid="{00000000-0005-0000-0000-000084760000}"/>
    <cellStyle name="Normal 81 4 2 6" xfId="23877" xr:uid="{00000000-0005-0000-0000-000085760000}"/>
    <cellStyle name="Normal 81 4 3" xfId="5901" xr:uid="{00000000-0005-0000-0000-000086760000}"/>
    <cellStyle name="Normal 81 4 3 2" xfId="5902" xr:uid="{00000000-0005-0000-0000-000087760000}"/>
    <cellStyle name="Normal 81 4 3 2 2" xfId="9774" xr:uid="{00000000-0005-0000-0000-000088760000}"/>
    <cellStyle name="Normal 81 4 3 2 2 2" xfId="19130" xr:uid="{00000000-0005-0000-0000-000089760000}"/>
    <cellStyle name="Normal 81 4 3 2 2 2 2" xfId="35704" xr:uid="{00000000-0005-0000-0000-00008A760000}"/>
    <cellStyle name="Normal 81 4 3 2 2 3" xfId="27657" xr:uid="{00000000-0005-0000-0000-00008B760000}"/>
    <cellStyle name="Normal 81 4 3 2 3" xfId="15371" xr:uid="{00000000-0005-0000-0000-00008C760000}"/>
    <cellStyle name="Normal 81 4 3 2 3 2" xfId="31925" xr:uid="{00000000-0005-0000-0000-00008D760000}"/>
    <cellStyle name="Normal 81 4 3 2 4" xfId="23882" xr:uid="{00000000-0005-0000-0000-00008E760000}"/>
    <cellStyle name="Normal 81 4 3 3" xfId="9775" xr:uid="{00000000-0005-0000-0000-00008F760000}"/>
    <cellStyle name="Normal 81 4 3 3 2" xfId="19131" xr:uid="{00000000-0005-0000-0000-000090760000}"/>
    <cellStyle name="Normal 81 4 3 3 2 2" xfId="35705" xr:uid="{00000000-0005-0000-0000-000091760000}"/>
    <cellStyle name="Normal 81 4 3 3 3" xfId="27658" xr:uid="{00000000-0005-0000-0000-000092760000}"/>
    <cellStyle name="Normal 81 4 3 4" xfId="15370" xr:uid="{00000000-0005-0000-0000-000093760000}"/>
    <cellStyle name="Normal 81 4 3 4 2" xfId="31924" xr:uid="{00000000-0005-0000-0000-000094760000}"/>
    <cellStyle name="Normal 81 4 3 5" xfId="23881" xr:uid="{00000000-0005-0000-0000-000095760000}"/>
    <cellStyle name="Normal 81 4 4" xfId="5903" xr:uid="{00000000-0005-0000-0000-000096760000}"/>
    <cellStyle name="Normal 81 4 4 2" xfId="9776" xr:uid="{00000000-0005-0000-0000-000097760000}"/>
    <cellStyle name="Normal 81 4 4 2 2" xfId="19132" xr:uid="{00000000-0005-0000-0000-000098760000}"/>
    <cellStyle name="Normal 81 4 4 2 2 2" xfId="35706" xr:uid="{00000000-0005-0000-0000-000099760000}"/>
    <cellStyle name="Normal 81 4 4 2 3" xfId="27659" xr:uid="{00000000-0005-0000-0000-00009A760000}"/>
    <cellStyle name="Normal 81 4 4 3" xfId="15372" xr:uid="{00000000-0005-0000-0000-00009B760000}"/>
    <cellStyle name="Normal 81 4 4 3 2" xfId="31926" xr:uid="{00000000-0005-0000-0000-00009C760000}"/>
    <cellStyle name="Normal 81 4 4 4" xfId="23883" xr:uid="{00000000-0005-0000-0000-00009D760000}"/>
    <cellStyle name="Normal 81 4 5" xfId="9777" xr:uid="{00000000-0005-0000-0000-00009E760000}"/>
    <cellStyle name="Normal 81 4 5 2" xfId="19133" xr:uid="{00000000-0005-0000-0000-00009F760000}"/>
    <cellStyle name="Normal 81 4 5 2 2" xfId="35707" xr:uid="{00000000-0005-0000-0000-0000A0760000}"/>
    <cellStyle name="Normal 81 4 5 3" xfId="27660" xr:uid="{00000000-0005-0000-0000-0000A1760000}"/>
    <cellStyle name="Normal 81 4 6" xfId="15365" xr:uid="{00000000-0005-0000-0000-0000A2760000}"/>
    <cellStyle name="Normal 81 4 6 2" xfId="31919" xr:uid="{00000000-0005-0000-0000-0000A3760000}"/>
    <cellStyle name="Normal 81 4 7" xfId="23876" xr:uid="{00000000-0005-0000-0000-0000A4760000}"/>
    <cellStyle name="Normal 81 5" xfId="5904" xr:uid="{00000000-0005-0000-0000-0000A5760000}"/>
    <cellStyle name="Normal 81 5 2" xfId="5905" xr:uid="{00000000-0005-0000-0000-0000A6760000}"/>
    <cellStyle name="Normal 81 5 2 2" xfId="5906" xr:uid="{00000000-0005-0000-0000-0000A7760000}"/>
    <cellStyle name="Normal 81 5 2 2 2" xfId="5907" xr:uid="{00000000-0005-0000-0000-0000A8760000}"/>
    <cellStyle name="Normal 81 5 2 2 2 2" xfId="9778" xr:uid="{00000000-0005-0000-0000-0000A9760000}"/>
    <cellStyle name="Normal 81 5 2 2 2 2 2" xfId="19134" xr:uid="{00000000-0005-0000-0000-0000AA760000}"/>
    <cellStyle name="Normal 81 5 2 2 2 2 2 2" xfId="35708" xr:uid="{00000000-0005-0000-0000-0000AB760000}"/>
    <cellStyle name="Normal 81 5 2 2 2 2 3" xfId="27661" xr:uid="{00000000-0005-0000-0000-0000AC760000}"/>
    <cellStyle name="Normal 81 5 2 2 2 3" xfId="15376" xr:uid="{00000000-0005-0000-0000-0000AD760000}"/>
    <cellStyle name="Normal 81 5 2 2 2 3 2" xfId="31930" xr:uid="{00000000-0005-0000-0000-0000AE760000}"/>
    <cellStyle name="Normal 81 5 2 2 2 4" xfId="23887" xr:uid="{00000000-0005-0000-0000-0000AF760000}"/>
    <cellStyle name="Normal 81 5 2 2 3" xfId="9779" xr:uid="{00000000-0005-0000-0000-0000B0760000}"/>
    <cellStyle name="Normal 81 5 2 2 3 2" xfId="19135" xr:uid="{00000000-0005-0000-0000-0000B1760000}"/>
    <cellStyle name="Normal 81 5 2 2 3 2 2" xfId="35709" xr:uid="{00000000-0005-0000-0000-0000B2760000}"/>
    <cellStyle name="Normal 81 5 2 2 3 3" xfId="27662" xr:uid="{00000000-0005-0000-0000-0000B3760000}"/>
    <cellStyle name="Normal 81 5 2 2 4" xfId="15375" xr:uid="{00000000-0005-0000-0000-0000B4760000}"/>
    <cellStyle name="Normal 81 5 2 2 4 2" xfId="31929" xr:uid="{00000000-0005-0000-0000-0000B5760000}"/>
    <cellStyle name="Normal 81 5 2 2 5" xfId="23886" xr:uid="{00000000-0005-0000-0000-0000B6760000}"/>
    <cellStyle name="Normal 81 5 2 3" xfId="5908" xr:uid="{00000000-0005-0000-0000-0000B7760000}"/>
    <cellStyle name="Normal 81 5 2 3 2" xfId="9780" xr:uid="{00000000-0005-0000-0000-0000B8760000}"/>
    <cellStyle name="Normal 81 5 2 3 2 2" xfId="19136" xr:uid="{00000000-0005-0000-0000-0000B9760000}"/>
    <cellStyle name="Normal 81 5 2 3 2 2 2" xfId="35710" xr:uid="{00000000-0005-0000-0000-0000BA760000}"/>
    <cellStyle name="Normal 81 5 2 3 2 3" xfId="27663" xr:uid="{00000000-0005-0000-0000-0000BB760000}"/>
    <cellStyle name="Normal 81 5 2 3 3" xfId="15377" xr:uid="{00000000-0005-0000-0000-0000BC760000}"/>
    <cellStyle name="Normal 81 5 2 3 3 2" xfId="31931" xr:uid="{00000000-0005-0000-0000-0000BD760000}"/>
    <cellStyle name="Normal 81 5 2 3 4" xfId="23888" xr:uid="{00000000-0005-0000-0000-0000BE760000}"/>
    <cellStyle name="Normal 81 5 2 4" xfId="9781" xr:uid="{00000000-0005-0000-0000-0000BF760000}"/>
    <cellStyle name="Normal 81 5 2 4 2" xfId="19137" xr:uid="{00000000-0005-0000-0000-0000C0760000}"/>
    <cellStyle name="Normal 81 5 2 4 2 2" xfId="35711" xr:uid="{00000000-0005-0000-0000-0000C1760000}"/>
    <cellStyle name="Normal 81 5 2 4 3" xfId="27664" xr:uid="{00000000-0005-0000-0000-0000C2760000}"/>
    <cellStyle name="Normal 81 5 2 5" xfId="15374" xr:uid="{00000000-0005-0000-0000-0000C3760000}"/>
    <cellStyle name="Normal 81 5 2 5 2" xfId="31928" xr:uid="{00000000-0005-0000-0000-0000C4760000}"/>
    <cellStyle name="Normal 81 5 2 6" xfId="23885" xr:uid="{00000000-0005-0000-0000-0000C5760000}"/>
    <cellStyle name="Normal 81 5 3" xfId="5909" xr:uid="{00000000-0005-0000-0000-0000C6760000}"/>
    <cellStyle name="Normal 81 5 3 2" xfId="5910" xr:uid="{00000000-0005-0000-0000-0000C7760000}"/>
    <cellStyle name="Normal 81 5 3 2 2" xfId="9782" xr:uid="{00000000-0005-0000-0000-0000C8760000}"/>
    <cellStyle name="Normal 81 5 3 2 2 2" xfId="19138" xr:uid="{00000000-0005-0000-0000-0000C9760000}"/>
    <cellStyle name="Normal 81 5 3 2 2 2 2" xfId="35712" xr:uid="{00000000-0005-0000-0000-0000CA760000}"/>
    <cellStyle name="Normal 81 5 3 2 2 3" xfId="27665" xr:uid="{00000000-0005-0000-0000-0000CB760000}"/>
    <cellStyle name="Normal 81 5 3 2 3" xfId="15379" xr:uid="{00000000-0005-0000-0000-0000CC760000}"/>
    <cellStyle name="Normal 81 5 3 2 3 2" xfId="31933" xr:uid="{00000000-0005-0000-0000-0000CD760000}"/>
    <cellStyle name="Normal 81 5 3 2 4" xfId="23890" xr:uid="{00000000-0005-0000-0000-0000CE760000}"/>
    <cellStyle name="Normal 81 5 3 3" xfId="9783" xr:uid="{00000000-0005-0000-0000-0000CF760000}"/>
    <cellStyle name="Normal 81 5 3 3 2" xfId="19139" xr:uid="{00000000-0005-0000-0000-0000D0760000}"/>
    <cellStyle name="Normal 81 5 3 3 2 2" xfId="35713" xr:uid="{00000000-0005-0000-0000-0000D1760000}"/>
    <cellStyle name="Normal 81 5 3 3 3" xfId="27666" xr:uid="{00000000-0005-0000-0000-0000D2760000}"/>
    <cellStyle name="Normal 81 5 3 4" xfId="15378" xr:uid="{00000000-0005-0000-0000-0000D3760000}"/>
    <cellStyle name="Normal 81 5 3 4 2" xfId="31932" xr:uid="{00000000-0005-0000-0000-0000D4760000}"/>
    <cellStyle name="Normal 81 5 3 5" xfId="23889" xr:uid="{00000000-0005-0000-0000-0000D5760000}"/>
    <cellStyle name="Normal 81 5 4" xfId="5911" xr:uid="{00000000-0005-0000-0000-0000D6760000}"/>
    <cellStyle name="Normal 81 5 4 2" xfId="9784" xr:uid="{00000000-0005-0000-0000-0000D7760000}"/>
    <cellStyle name="Normal 81 5 4 2 2" xfId="19140" xr:uid="{00000000-0005-0000-0000-0000D8760000}"/>
    <cellStyle name="Normal 81 5 4 2 2 2" xfId="35714" xr:uid="{00000000-0005-0000-0000-0000D9760000}"/>
    <cellStyle name="Normal 81 5 4 2 3" xfId="27667" xr:uid="{00000000-0005-0000-0000-0000DA760000}"/>
    <cellStyle name="Normal 81 5 4 3" xfId="15380" xr:uid="{00000000-0005-0000-0000-0000DB760000}"/>
    <cellStyle name="Normal 81 5 4 3 2" xfId="31934" xr:uid="{00000000-0005-0000-0000-0000DC760000}"/>
    <cellStyle name="Normal 81 5 4 4" xfId="23891" xr:uid="{00000000-0005-0000-0000-0000DD760000}"/>
    <cellStyle name="Normal 81 5 5" xfId="9785" xr:uid="{00000000-0005-0000-0000-0000DE760000}"/>
    <cellStyle name="Normal 81 5 5 2" xfId="19141" xr:uid="{00000000-0005-0000-0000-0000DF760000}"/>
    <cellStyle name="Normal 81 5 5 2 2" xfId="35715" xr:uid="{00000000-0005-0000-0000-0000E0760000}"/>
    <cellStyle name="Normal 81 5 5 3" xfId="27668" xr:uid="{00000000-0005-0000-0000-0000E1760000}"/>
    <cellStyle name="Normal 81 5 6" xfId="15373" xr:uid="{00000000-0005-0000-0000-0000E2760000}"/>
    <cellStyle name="Normal 81 5 6 2" xfId="31927" xr:uid="{00000000-0005-0000-0000-0000E3760000}"/>
    <cellStyle name="Normal 81 5 7" xfId="23884" xr:uid="{00000000-0005-0000-0000-0000E4760000}"/>
    <cellStyle name="Normal 81 6" xfId="5912" xr:uid="{00000000-0005-0000-0000-0000E5760000}"/>
    <cellStyle name="Normal 81 6 2" xfId="5913" xr:uid="{00000000-0005-0000-0000-0000E6760000}"/>
    <cellStyle name="Normal 81 6 2 2" xfId="5914" xr:uid="{00000000-0005-0000-0000-0000E7760000}"/>
    <cellStyle name="Normal 81 6 2 2 2" xfId="9786" xr:uid="{00000000-0005-0000-0000-0000E8760000}"/>
    <cellStyle name="Normal 81 6 2 2 2 2" xfId="19142" xr:uid="{00000000-0005-0000-0000-0000E9760000}"/>
    <cellStyle name="Normal 81 6 2 2 2 2 2" xfId="35716" xr:uid="{00000000-0005-0000-0000-0000EA760000}"/>
    <cellStyle name="Normal 81 6 2 2 2 3" xfId="27669" xr:uid="{00000000-0005-0000-0000-0000EB760000}"/>
    <cellStyle name="Normal 81 6 2 2 3" xfId="15383" xr:uid="{00000000-0005-0000-0000-0000EC760000}"/>
    <cellStyle name="Normal 81 6 2 2 3 2" xfId="31937" xr:uid="{00000000-0005-0000-0000-0000ED760000}"/>
    <cellStyle name="Normal 81 6 2 2 4" xfId="23894" xr:uid="{00000000-0005-0000-0000-0000EE760000}"/>
    <cellStyle name="Normal 81 6 2 3" xfId="9787" xr:uid="{00000000-0005-0000-0000-0000EF760000}"/>
    <cellStyle name="Normal 81 6 2 3 2" xfId="19143" xr:uid="{00000000-0005-0000-0000-0000F0760000}"/>
    <cellStyle name="Normal 81 6 2 3 2 2" xfId="35717" xr:uid="{00000000-0005-0000-0000-0000F1760000}"/>
    <cellStyle name="Normal 81 6 2 3 3" xfId="27670" xr:uid="{00000000-0005-0000-0000-0000F2760000}"/>
    <cellStyle name="Normal 81 6 2 4" xfId="15382" xr:uid="{00000000-0005-0000-0000-0000F3760000}"/>
    <cellStyle name="Normal 81 6 2 4 2" xfId="31936" xr:uid="{00000000-0005-0000-0000-0000F4760000}"/>
    <cellStyle name="Normal 81 6 2 5" xfId="23893" xr:uid="{00000000-0005-0000-0000-0000F5760000}"/>
    <cellStyle name="Normal 81 6 3" xfId="5915" xr:uid="{00000000-0005-0000-0000-0000F6760000}"/>
    <cellStyle name="Normal 81 6 3 2" xfId="9788" xr:uid="{00000000-0005-0000-0000-0000F7760000}"/>
    <cellStyle name="Normal 81 6 3 2 2" xfId="19144" xr:uid="{00000000-0005-0000-0000-0000F8760000}"/>
    <cellStyle name="Normal 81 6 3 2 2 2" xfId="35718" xr:uid="{00000000-0005-0000-0000-0000F9760000}"/>
    <cellStyle name="Normal 81 6 3 2 3" xfId="27671" xr:uid="{00000000-0005-0000-0000-0000FA760000}"/>
    <cellStyle name="Normal 81 6 3 3" xfId="15384" xr:uid="{00000000-0005-0000-0000-0000FB760000}"/>
    <cellStyle name="Normal 81 6 3 3 2" xfId="31938" xr:uid="{00000000-0005-0000-0000-0000FC760000}"/>
    <cellStyle name="Normal 81 6 3 4" xfId="23895" xr:uid="{00000000-0005-0000-0000-0000FD760000}"/>
    <cellStyle name="Normal 81 6 4" xfId="9789" xr:uid="{00000000-0005-0000-0000-0000FE760000}"/>
    <cellStyle name="Normal 81 6 4 2" xfId="19145" xr:uid="{00000000-0005-0000-0000-0000FF760000}"/>
    <cellStyle name="Normal 81 6 4 2 2" xfId="35719" xr:uid="{00000000-0005-0000-0000-000000770000}"/>
    <cellStyle name="Normal 81 6 4 3" xfId="27672" xr:uid="{00000000-0005-0000-0000-000001770000}"/>
    <cellStyle name="Normal 81 6 5" xfId="15381" xr:uid="{00000000-0005-0000-0000-000002770000}"/>
    <cellStyle name="Normal 81 6 5 2" xfId="31935" xr:uid="{00000000-0005-0000-0000-000003770000}"/>
    <cellStyle name="Normal 81 6 6" xfId="23892" xr:uid="{00000000-0005-0000-0000-000004770000}"/>
    <cellStyle name="Normal 81 7" xfId="5916" xr:uid="{00000000-0005-0000-0000-000005770000}"/>
    <cellStyle name="Normal 81 7 2" xfId="5917" xr:uid="{00000000-0005-0000-0000-000006770000}"/>
    <cellStyle name="Normal 81 7 2 2" xfId="9790" xr:uid="{00000000-0005-0000-0000-000007770000}"/>
    <cellStyle name="Normal 81 7 2 2 2" xfId="19146" xr:uid="{00000000-0005-0000-0000-000008770000}"/>
    <cellStyle name="Normal 81 7 2 2 2 2" xfId="35720" xr:uid="{00000000-0005-0000-0000-000009770000}"/>
    <cellStyle name="Normal 81 7 2 2 3" xfId="27673" xr:uid="{00000000-0005-0000-0000-00000A770000}"/>
    <cellStyle name="Normal 81 7 2 3" xfId="15386" xr:uid="{00000000-0005-0000-0000-00000B770000}"/>
    <cellStyle name="Normal 81 7 2 3 2" xfId="31940" xr:uid="{00000000-0005-0000-0000-00000C770000}"/>
    <cellStyle name="Normal 81 7 2 4" xfId="23897" xr:uid="{00000000-0005-0000-0000-00000D770000}"/>
    <cellStyle name="Normal 81 7 3" xfId="9791" xr:uid="{00000000-0005-0000-0000-00000E770000}"/>
    <cellStyle name="Normal 81 7 3 2" xfId="19147" xr:uid="{00000000-0005-0000-0000-00000F770000}"/>
    <cellStyle name="Normal 81 7 3 2 2" xfId="35721" xr:uid="{00000000-0005-0000-0000-000010770000}"/>
    <cellStyle name="Normal 81 7 3 3" xfId="27674" xr:uid="{00000000-0005-0000-0000-000011770000}"/>
    <cellStyle name="Normal 81 7 4" xfId="15385" xr:uid="{00000000-0005-0000-0000-000012770000}"/>
    <cellStyle name="Normal 81 7 4 2" xfId="31939" xr:uid="{00000000-0005-0000-0000-000013770000}"/>
    <cellStyle name="Normal 81 7 5" xfId="23896" xr:uid="{00000000-0005-0000-0000-000014770000}"/>
    <cellStyle name="Normal 81 8" xfId="5918" xr:uid="{00000000-0005-0000-0000-000015770000}"/>
    <cellStyle name="Normal 81 8 2" xfId="9792" xr:uid="{00000000-0005-0000-0000-000016770000}"/>
    <cellStyle name="Normal 81 8 2 2" xfId="19148" xr:uid="{00000000-0005-0000-0000-000017770000}"/>
    <cellStyle name="Normal 81 8 2 2 2" xfId="35722" xr:uid="{00000000-0005-0000-0000-000018770000}"/>
    <cellStyle name="Normal 81 8 2 3" xfId="27675" xr:uid="{00000000-0005-0000-0000-000019770000}"/>
    <cellStyle name="Normal 81 8 3" xfId="15387" xr:uid="{00000000-0005-0000-0000-00001A770000}"/>
    <cellStyle name="Normal 81 8 3 2" xfId="31941" xr:uid="{00000000-0005-0000-0000-00001B770000}"/>
    <cellStyle name="Normal 81 8 4" xfId="23898" xr:uid="{00000000-0005-0000-0000-00001C770000}"/>
    <cellStyle name="Normal 81 9" xfId="9793" xr:uid="{00000000-0005-0000-0000-00001D770000}"/>
    <cellStyle name="Normal 81 9 2" xfId="19149" xr:uid="{00000000-0005-0000-0000-00001E770000}"/>
    <cellStyle name="Normal 81 9 2 2" xfId="35723" xr:uid="{00000000-0005-0000-0000-00001F770000}"/>
    <cellStyle name="Normal 81 9 3" xfId="27676" xr:uid="{00000000-0005-0000-0000-000020770000}"/>
    <cellStyle name="Normal 82" xfId="5919" xr:uid="{00000000-0005-0000-0000-000021770000}"/>
    <cellStyle name="Normal 82 10" xfId="15388" xr:uid="{00000000-0005-0000-0000-000022770000}"/>
    <cellStyle name="Normal 82 10 2" xfId="31942" xr:uid="{00000000-0005-0000-0000-000023770000}"/>
    <cellStyle name="Normal 82 11" xfId="23899" xr:uid="{00000000-0005-0000-0000-000024770000}"/>
    <cellStyle name="Normal 82 2" xfId="5920" xr:uid="{00000000-0005-0000-0000-000025770000}"/>
    <cellStyle name="Normal 82 2 2" xfId="5921" xr:uid="{00000000-0005-0000-0000-000026770000}"/>
    <cellStyle name="Normal 82 2 3" xfId="15389" xr:uid="{00000000-0005-0000-0000-000027770000}"/>
    <cellStyle name="Normal 82 2 3 2" xfId="31943" xr:uid="{00000000-0005-0000-0000-000028770000}"/>
    <cellStyle name="Normal 82 2 4" xfId="23900" xr:uid="{00000000-0005-0000-0000-000029770000}"/>
    <cellStyle name="Normal 82 3" xfId="5922" xr:uid="{00000000-0005-0000-0000-00002A770000}"/>
    <cellStyle name="Normal 82 3 2" xfId="5923" xr:uid="{00000000-0005-0000-0000-00002B770000}"/>
    <cellStyle name="Normal 82 3 2 2" xfId="5924" xr:uid="{00000000-0005-0000-0000-00002C770000}"/>
    <cellStyle name="Normal 82 3 2 2 2" xfId="5925" xr:uid="{00000000-0005-0000-0000-00002D770000}"/>
    <cellStyle name="Normal 82 3 2 2 2 2" xfId="9794" xr:uid="{00000000-0005-0000-0000-00002E770000}"/>
    <cellStyle name="Normal 82 3 2 2 2 2 2" xfId="19150" xr:uid="{00000000-0005-0000-0000-00002F770000}"/>
    <cellStyle name="Normal 82 3 2 2 2 2 2 2" xfId="35724" xr:uid="{00000000-0005-0000-0000-000030770000}"/>
    <cellStyle name="Normal 82 3 2 2 2 2 3" xfId="27677" xr:uid="{00000000-0005-0000-0000-000031770000}"/>
    <cellStyle name="Normal 82 3 2 2 2 3" xfId="15392" xr:uid="{00000000-0005-0000-0000-000032770000}"/>
    <cellStyle name="Normal 82 3 2 2 2 3 2" xfId="31946" xr:uid="{00000000-0005-0000-0000-000033770000}"/>
    <cellStyle name="Normal 82 3 2 2 2 4" xfId="23903" xr:uid="{00000000-0005-0000-0000-000034770000}"/>
    <cellStyle name="Normal 82 3 2 2 3" xfId="9795" xr:uid="{00000000-0005-0000-0000-000035770000}"/>
    <cellStyle name="Normal 82 3 2 2 3 2" xfId="19151" xr:uid="{00000000-0005-0000-0000-000036770000}"/>
    <cellStyle name="Normal 82 3 2 2 3 2 2" xfId="35725" xr:uid="{00000000-0005-0000-0000-000037770000}"/>
    <cellStyle name="Normal 82 3 2 2 3 3" xfId="27678" xr:uid="{00000000-0005-0000-0000-000038770000}"/>
    <cellStyle name="Normal 82 3 2 2 4" xfId="15391" xr:uid="{00000000-0005-0000-0000-000039770000}"/>
    <cellStyle name="Normal 82 3 2 2 4 2" xfId="31945" xr:uid="{00000000-0005-0000-0000-00003A770000}"/>
    <cellStyle name="Normal 82 3 2 2 5" xfId="23902" xr:uid="{00000000-0005-0000-0000-00003B770000}"/>
    <cellStyle name="Normal 82 3 2 3" xfId="5926" xr:uid="{00000000-0005-0000-0000-00003C770000}"/>
    <cellStyle name="Normal 82 3 2 3 2" xfId="9796" xr:uid="{00000000-0005-0000-0000-00003D770000}"/>
    <cellStyle name="Normal 82 3 2 3 2 2" xfId="19152" xr:uid="{00000000-0005-0000-0000-00003E770000}"/>
    <cellStyle name="Normal 82 3 2 3 2 2 2" xfId="35726" xr:uid="{00000000-0005-0000-0000-00003F770000}"/>
    <cellStyle name="Normal 82 3 2 3 2 3" xfId="27679" xr:uid="{00000000-0005-0000-0000-000040770000}"/>
    <cellStyle name="Normal 82 3 2 3 3" xfId="15393" xr:uid="{00000000-0005-0000-0000-000041770000}"/>
    <cellStyle name="Normal 82 3 2 3 3 2" xfId="31947" xr:uid="{00000000-0005-0000-0000-000042770000}"/>
    <cellStyle name="Normal 82 3 2 3 4" xfId="23904" xr:uid="{00000000-0005-0000-0000-000043770000}"/>
    <cellStyle name="Normal 82 3 2 4" xfId="9797" xr:uid="{00000000-0005-0000-0000-000044770000}"/>
    <cellStyle name="Normal 82 3 2 4 2" xfId="19153" xr:uid="{00000000-0005-0000-0000-000045770000}"/>
    <cellStyle name="Normal 82 3 2 4 2 2" xfId="35727" xr:uid="{00000000-0005-0000-0000-000046770000}"/>
    <cellStyle name="Normal 82 3 2 4 3" xfId="27680" xr:uid="{00000000-0005-0000-0000-000047770000}"/>
    <cellStyle name="Normal 82 3 2 5" xfId="15390" xr:uid="{00000000-0005-0000-0000-000048770000}"/>
    <cellStyle name="Normal 82 3 2 5 2" xfId="31944" xr:uid="{00000000-0005-0000-0000-000049770000}"/>
    <cellStyle name="Normal 82 3 2 6" xfId="23901" xr:uid="{00000000-0005-0000-0000-00004A770000}"/>
    <cellStyle name="Normal 82 3 3" xfId="5927" xr:uid="{00000000-0005-0000-0000-00004B770000}"/>
    <cellStyle name="Normal 82 3 3 2" xfId="5928" xr:uid="{00000000-0005-0000-0000-00004C770000}"/>
    <cellStyle name="Normal 82 3 3 2 2" xfId="9798" xr:uid="{00000000-0005-0000-0000-00004D770000}"/>
    <cellStyle name="Normal 82 3 3 2 2 2" xfId="19154" xr:uid="{00000000-0005-0000-0000-00004E770000}"/>
    <cellStyle name="Normal 82 3 3 2 2 2 2" xfId="35728" xr:uid="{00000000-0005-0000-0000-00004F770000}"/>
    <cellStyle name="Normal 82 3 3 2 2 3" xfId="27681" xr:uid="{00000000-0005-0000-0000-000050770000}"/>
    <cellStyle name="Normal 82 3 3 2 3" xfId="15395" xr:uid="{00000000-0005-0000-0000-000051770000}"/>
    <cellStyle name="Normal 82 3 3 2 3 2" xfId="31949" xr:uid="{00000000-0005-0000-0000-000052770000}"/>
    <cellStyle name="Normal 82 3 3 2 4" xfId="23906" xr:uid="{00000000-0005-0000-0000-000053770000}"/>
    <cellStyle name="Normal 82 3 3 3" xfId="9799" xr:uid="{00000000-0005-0000-0000-000054770000}"/>
    <cellStyle name="Normal 82 3 3 3 2" xfId="19155" xr:uid="{00000000-0005-0000-0000-000055770000}"/>
    <cellStyle name="Normal 82 3 3 3 2 2" xfId="35729" xr:uid="{00000000-0005-0000-0000-000056770000}"/>
    <cellStyle name="Normal 82 3 3 3 3" xfId="27682" xr:uid="{00000000-0005-0000-0000-000057770000}"/>
    <cellStyle name="Normal 82 3 3 4" xfId="15394" xr:uid="{00000000-0005-0000-0000-000058770000}"/>
    <cellStyle name="Normal 82 3 3 4 2" xfId="31948" xr:uid="{00000000-0005-0000-0000-000059770000}"/>
    <cellStyle name="Normal 82 3 3 5" xfId="23905" xr:uid="{00000000-0005-0000-0000-00005A770000}"/>
    <cellStyle name="Normal 82 3 4" xfId="5929" xr:uid="{00000000-0005-0000-0000-00005B770000}"/>
    <cellStyle name="Normal 82 3 4 2" xfId="9800" xr:uid="{00000000-0005-0000-0000-00005C770000}"/>
    <cellStyle name="Normal 82 3 4 2 2" xfId="19156" xr:uid="{00000000-0005-0000-0000-00005D770000}"/>
    <cellStyle name="Normal 82 3 4 2 2 2" xfId="35730" xr:uid="{00000000-0005-0000-0000-00005E770000}"/>
    <cellStyle name="Normal 82 3 4 2 3" xfId="27683" xr:uid="{00000000-0005-0000-0000-00005F770000}"/>
    <cellStyle name="Normal 82 3 4 3" xfId="15396" xr:uid="{00000000-0005-0000-0000-000060770000}"/>
    <cellStyle name="Normal 82 3 4 3 2" xfId="31950" xr:uid="{00000000-0005-0000-0000-000061770000}"/>
    <cellStyle name="Normal 82 3 4 4" xfId="23907" xr:uid="{00000000-0005-0000-0000-000062770000}"/>
    <cellStyle name="Normal 82 3 5" xfId="5930" xr:uid="{00000000-0005-0000-0000-000063770000}"/>
    <cellStyle name="Normal 82 3 5 2" xfId="15397" xr:uid="{00000000-0005-0000-0000-000064770000}"/>
    <cellStyle name="Normal 82 3 5 2 2" xfId="31951" xr:uid="{00000000-0005-0000-0000-000065770000}"/>
    <cellStyle name="Normal 82 3 5 3" xfId="23908" xr:uid="{00000000-0005-0000-0000-000066770000}"/>
    <cellStyle name="Normal 82 4" xfId="5931" xr:uid="{00000000-0005-0000-0000-000067770000}"/>
    <cellStyle name="Normal 82 4 2" xfId="5932" xr:uid="{00000000-0005-0000-0000-000068770000}"/>
    <cellStyle name="Normal 82 4 2 2" xfId="5933" xr:uid="{00000000-0005-0000-0000-000069770000}"/>
    <cellStyle name="Normal 82 4 2 2 2" xfId="5934" xr:uid="{00000000-0005-0000-0000-00006A770000}"/>
    <cellStyle name="Normal 82 4 2 2 2 2" xfId="9801" xr:uid="{00000000-0005-0000-0000-00006B770000}"/>
    <cellStyle name="Normal 82 4 2 2 2 2 2" xfId="19157" xr:uid="{00000000-0005-0000-0000-00006C770000}"/>
    <cellStyle name="Normal 82 4 2 2 2 2 2 2" xfId="35731" xr:uid="{00000000-0005-0000-0000-00006D770000}"/>
    <cellStyle name="Normal 82 4 2 2 2 2 3" xfId="27684" xr:uid="{00000000-0005-0000-0000-00006E770000}"/>
    <cellStyle name="Normal 82 4 2 2 2 3" xfId="15401" xr:uid="{00000000-0005-0000-0000-00006F770000}"/>
    <cellStyle name="Normal 82 4 2 2 2 3 2" xfId="31955" xr:uid="{00000000-0005-0000-0000-000070770000}"/>
    <cellStyle name="Normal 82 4 2 2 2 4" xfId="23912" xr:uid="{00000000-0005-0000-0000-000071770000}"/>
    <cellStyle name="Normal 82 4 2 2 3" xfId="9802" xr:uid="{00000000-0005-0000-0000-000072770000}"/>
    <cellStyle name="Normal 82 4 2 2 3 2" xfId="19158" xr:uid="{00000000-0005-0000-0000-000073770000}"/>
    <cellStyle name="Normal 82 4 2 2 3 2 2" xfId="35732" xr:uid="{00000000-0005-0000-0000-000074770000}"/>
    <cellStyle name="Normal 82 4 2 2 3 3" xfId="27685" xr:uid="{00000000-0005-0000-0000-000075770000}"/>
    <cellStyle name="Normal 82 4 2 2 4" xfId="15400" xr:uid="{00000000-0005-0000-0000-000076770000}"/>
    <cellStyle name="Normal 82 4 2 2 4 2" xfId="31954" xr:uid="{00000000-0005-0000-0000-000077770000}"/>
    <cellStyle name="Normal 82 4 2 2 5" xfId="23911" xr:uid="{00000000-0005-0000-0000-000078770000}"/>
    <cellStyle name="Normal 82 4 2 3" xfId="5935" xr:uid="{00000000-0005-0000-0000-000079770000}"/>
    <cellStyle name="Normal 82 4 2 3 2" xfId="9803" xr:uid="{00000000-0005-0000-0000-00007A770000}"/>
    <cellStyle name="Normal 82 4 2 3 2 2" xfId="19159" xr:uid="{00000000-0005-0000-0000-00007B770000}"/>
    <cellStyle name="Normal 82 4 2 3 2 2 2" xfId="35733" xr:uid="{00000000-0005-0000-0000-00007C770000}"/>
    <cellStyle name="Normal 82 4 2 3 2 3" xfId="27686" xr:uid="{00000000-0005-0000-0000-00007D770000}"/>
    <cellStyle name="Normal 82 4 2 3 3" xfId="15402" xr:uid="{00000000-0005-0000-0000-00007E770000}"/>
    <cellStyle name="Normal 82 4 2 3 3 2" xfId="31956" xr:uid="{00000000-0005-0000-0000-00007F770000}"/>
    <cellStyle name="Normal 82 4 2 3 4" xfId="23913" xr:uid="{00000000-0005-0000-0000-000080770000}"/>
    <cellStyle name="Normal 82 4 2 4" xfId="9804" xr:uid="{00000000-0005-0000-0000-000081770000}"/>
    <cellStyle name="Normal 82 4 2 4 2" xfId="19160" xr:uid="{00000000-0005-0000-0000-000082770000}"/>
    <cellStyle name="Normal 82 4 2 4 2 2" xfId="35734" xr:uid="{00000000-0005-0000-0000-000083770000}"/>
    <cellStyle name="Normal 82 4 2 4 3" xfId="27687" xr:uid="{00000000-0005-0000-0000-000084770000}"/>
    <cellStyle name="Normal 82 4 2 5" xfId="15399" xr:uid="{00000000-0005-0000-0000-000085770000}"/>
    <cellStyle name="Normal 82 4 2 5 2" xfId="31953" xr:uid="{00000000-0005-0000-0000-000086770000}"/>
    <cellStyle name="Normal 82 4 2 6" xfId="23910" xr:uid="{00000000-0005-0000-0000-000087770000}"/>
    <cellStyle name="Normal 82 4 3" xfId="5936" xr:uid="{00000000-0005-0000-0000-000088770000}"/>
    <cellStyle name="Normal 82 4 3 2" xfId="5937" xr:uid="{00000000-0005-0000-0000-000089770000}"/>
    <cellStyle name="Normal 82 4 3 2 2" xfId="9805" xr:uid="{00000000-0005-0000-0000-00008A770000}"/>
    <cellStyle name="Normal 82 4 3 2 2 2" xfId="19161" xr:uid="{00000000-0005-0000-0000-00008B770000}"/>
    <cellStyle name="Normal 82 4 3 2 2 2 2" xfId="35735" xr:uid="{00000000-0005-0000-0000-00008C770000}"/>
    <cellStyle name="Normal 82 4 3 2 2 3" xfId="27688" xr:uid="{00000000-0005-0000-0000-00008D770000}"/>
    <cellStyle name="Normal 82 4 3 2 3" xfId="15404" xr:uid="{00000000-0005-0000-0000-00008E770000}"/>
    <cellStyle name="Normal 82 4 3 2 3 2" xfId="31958" xr:uid="{00000000-0005-0000-0000-00008F770000}"/>
    <cellStyle name="Normal 82 4 3 2 4" xfId="23915" xr:uid="{00000000-0005-0000-0000-000090770000}"/>
    <cellStyle name="Normal 82 4 3 3" xfId="9806" xr:uid="{00000000-0005-0000-0000-000091770000}"/>
    <cellStyle name="Normal 82 4 3 3 2" xfId="19162" xr:uid="{00000000-0005-0000-0000-000092770000}"/>
    <cellStyle name="Normal 82 4 3 3 2 2" xfId="35736" xr:uid="{00000000-0005-0000-0000-000093770000}"/>
    <cellStyle name="Normal 82 4 3 3 3" xfId="27689" xr:uid="{00000000-0005-0000-0000-000094770000}"/>
    <cellStyle name="Normal 82 4 3 4" xfId="15403" xr:uid="{00000000-0005-0000-0000-000095770000}"/>
    <cellStyle name="Normal 82 4 3 4 2" xfId="31957" xr:uid="{00000000-0005-0000-0000-000096770000}"/>
    <cellStyle name="Normal 82 4 3 5" xfId="23914" xr:uid="{00000000-0005-0000-0000-000097770000}"/>
    <cellStyle name="Normal 82 4 4" xfId="5938" xr:uid="{00000000-0005-0000-0000-000098770000}"/>
    <cellStyle name="Normal 82 4 4 2" xfId="9807" xr:uid="{00000000-0005-0000-0000-000099770000}"/>
    <cellStyle name="Normal 82 4 4 2 2" xfId="19163" xr:uid="{00000000-0005-0000-0000-00009A770000}"/>
    <cellStyle name="Normal 82 4 4 2 2 2" xfId="35737" xr:uid="{00000000-0005-0000-0000-00009B770000}"/>
    <cellStyle name="Normal 82 4 4 2 3" xfId="27690" xr:uid="{00000000-0005-0000-0000-00009C770000}"/>
    <cellStyle name="Normal 82 4 4 3" xfId="15405" xr:uid="{00000000-0005-0000-0000-00009D770000}"/>
    <cellStyle name="Normal 82 4 4 3 2" xfId="31959" xr:uid="{00000000-0005-0000-0000-00009E770000}"/>
    <cellStyle name="Normal 82 4 4 4" xfId="23916" xr:uid="{00000000-0005-0000-0000-00009F770000}"/>
    <cellStyle name="Normal 82 4 5" xfId="9808" xr:uid="{00000000-0005-0000-0000-0000A0770000}"/>
    <cellStyle name="Normal 82 4 5 2" xfId="19164" xr:uid="{00000000-0005-0000-0000-0000A1770000}"/>
    <cellStyle name="Normal 82 4 5 2 2" xfId="35738" xr:uid="{00000000-0005-0000-0000-0000A2770000}"/>
    <cellStyle name="Normal 82 4 5 3" xfId="27691" xr:uid="{00000000-0005-0000-0000-0000A3770000}"/>
    <cellStyle name="Normal 82 4 6" xfId="15398" xr:uid="{00000000-0005-0000-0000-0000A4770000}"/>
    <cellStyle name="Normal 82 4 6 2" xfId="31952" xr:uid="{00000000-0005-0000-0000-0000A5770000}"/>
    <cellStyle name="Normal 82 4 7" xfId="23909" xr:uid="{00000000-0005-0000-0000-0000A6770000}"/>
    <cellStyle name="Normal 82 5" xfId="5939" xr:uid="{00000000-0005-0000-0000-0000A7770000}"/>
    <cellStyle name="Normal 82 5 2" xfId="5940" xr:uid="{00000000-0005-0000-0000-0000A8770000}"/>
    <cellStyle name="Normal 82 5 2 2" xfId="5941" xr:uid="{00000000-0005-0000-0000-0000A9770000}"/>
    <cellStyle name="Normal 82 5 2 2 2" xfId="5942" xr:uid="{00000000-0005-0000-0000-0000AA770000}"/>
    <cellStyle name="Normal 82 5 2 2 2 2" xfId="9809" xr:uid="{00000000-0005-0000-0000-0000AB770000}"/>
    <cellStyle name="Normal 82 5 2 2 2 2 2" xfId="19165" xr:uid="{00000000-0005-0000-0000-0000AC770000}"/>
    <cellStyle name="Normal 82 5 2 2 2 2 2 2" xfId="35739" xr:uid="{00000000-0005-0000-0000-0000AD770000}"/>
    <cellStyle name="Normal 82 5 2 2 2 2 3" xfId="27692" xr:uid="{00000000-0005-0000-0000-0000AE770000}"/>
    <cellStyle name="Normal 82 5 2 2 2 3" xfId="15409" xr:uid="{00000000-0005-0000-0000-0000AF770000}"/>
    <cellStyle name="Normal 82 5 2 2 2 3 2" xfId="31963" xr:uid="{00000000-0005-0000-0000-0000B0770000}"/>
    <cellStyle name="Normal 82 5 2 2 2 4" xfId="23920" xr:uid="{00000000-0005-0000-0000-0000B1770000}"/>
    <cellStyle name="Normal 82 5 2 2 3" xfId="9810" xr:uid="{00000000-0005-0000-0000-0000B2770000}"/>
    <cellStyle name="Normal 82 5 2 2 3 2" xfId="19166" xr:uid="{00000000-0005-0000-0000-0000B3770000}"/>
    <cellStyle name="Normal 82 5 2 2 3 2 2" xfId="35740" xr:uid="{00000000-0005-0000-0000-0000B4770000}"/>
    <cellStyle name="Normal 82 5 2 2 3 3" xfId="27693" xr:uid="{00000000-0005-0000-0000-0000B5770000}"/>
    <cellStyle name="Normal 82 5 2 2 4" xfId="15408" xr:uid="{00000000-0005-0000-0000-0000B6770000}"/>
    <cellStyle name="Normal 82 5 2 2 4 2" xfId="31962" xr:uid="{00000000-0005-0000-0000-0000B7770000}"/>
    <cellStyle name="Normal 82 5 2 2 5" xfId="23919" xr:uid="{00000000-0005-0000-0000-0000B8770000}"/>
    <cellStyle name="Normal 82 5 2 3" xfId="5943" xr:uid="{00000000-0005-0000-0000-0000B9770000}"/>
    <cellStyle name="Normal 82 5 2 3 2" xfId="9811" xr:uid="{00000000-0005-0000-0000-0000BA770000}"/>
    <cellStyle name="Normal 82 5 2 3 2 2" xfId="19167" xr:uid="{00000000-0005-0000-0000-0000BB770000}"/>
    <cellStyle name="Normal 82 5 2 3 2 2 2" xfId="35741" xr:uid="{00000000-0005-0000-0000-0000BC770000}"/>
    <cellStyle name="Normal 82 5 2 3 2 3" xfId="27694" xr:uid="{00000000-0005-0000-0000-0000BD770000}"/>
    <cellStyle name="Normal 82 5 2 3 3" xfId="15410" xr:uid="{00000000-0005-0000-0000-0000BE770000}"/>
    <cellStyle name="Normal 82 5 2 3 3 2" xfId="31964" xr:uid="{00000000-0005-0000-0000-0000BF770000}"/>
    <cellStyle name="Normal 82 5 2 3 4" xfId="23921" xr:uid="{00000000-0005-0000-0000-0000C0770000}"/>
    <cellStyle name="Normal 82 5 2 4" xfId="9812" xr:uid="{00000000-0005-0000-0000-0000C1770000}"/>
    <cellStyle name="Normal 82 5 2 4 2" xfId="19168" xr:uid="{00000000-0005-0000-0000-0000C2770000}"/>
    <cellStyle name="Normal 82 5 2 4 2 2" xfId="35742" xr:uid="{00000000-0005-0000-0000-0000C3770000}"/>
    <cellStyle name="Normal 82 5 2 4 3" xfId="27695" xr:uid="{00000000-0005-0000-0000-0000C4770000}"/>
    <cellStyle name="Normal 82 5 2 5" xfId="15407" xr:uid="{00000000-0005-0000-0000-0000C5770000}"/>
    <cellStyle name="Normal 82 5 2 5 2" xfId="31961" xr:uid="{00000000-0005-0000-0000-0000C6770000}"/>
    <cellStyle name="Normal 82 5 2 6" xfId="23918" xr:uid="{00000000-0005-0000-0000-0000C7770000}"/>
    <cellStyle name="Normal 82 5 3" xfId="5944" xr:uid="{00000000-0005-0000-0000-0000C8770000}"/>
    <cellStyle name="Normal 82 5 3 2" xfId="5945" xr:uid="{00000000-0005-0000-0000-0000C9770000}"/>
    <cellStyle name="Normal 82 5 3 2 2" xfId="9813" xr:uid="{00000000-0005-0000-0000-0000CA770000}"/>
    <cellStyle name="Normal 82 5 3 2 2 2" xfId="19169" xr:uid="{00000000-0005-0000-0000-0000CB770000}"/>
    <cellStyle name="Normal 82 5 3 2 2 2 2" xfId="35743" xr:uid="{00000000-0005-0000-0000-0000CC770000}"/>
    <cellStyle name="Normal 82 5 3 2 2 3" xfId="27696" xr:uid="{00000000-0005-0000-0000-0000CD770000}"/>
    <cellStyle name="Normal 82 5 3 2 3" xfId="15412" xr:uid="{00000000-0005-0000-0000-0000CE770000}"/>
    <cellStyle name="Normal 82 5 3 2 3 2" xfId="31966" xr:uid="{00000000-0005-0000-0000-0000CF770000}"/>
    <cellStyle name="Normal 82 5 3 2 4" xfId="23923" xr:uid="{00000000-0005-0000-0000-0000D0770000}"/>
    <cellStyle name="Normal 82 5 3 3" xfId="9814" xr:uid="{00000000-0005-0000-0000-0000D1770000}"/>
    <cellStyle name="Normal 82 5 3 3 2" xfId="19170" xr:uid="{00000000-0005-0000-0000-0000D2770000}"/>
    <cellStyle name="Normal 82 5 3 3 2 2" xfId="35744" xr:uid="{00000000-0005-0000-0000-0000D3770000}"/>
    <cellStyle name="Normal 82 5 3 3 3" xfId="27697" xr:uid="{00000000-0005-0000-0000-0000D4770000}"/>
    <cellStyle name="Normal 82 5 3 4" xfId="15411" xr:uid="{00000000-0005-0000-0000-0000D5770000}"/>
    <cellStyle name="Normal 82 5 3 4 2" xfId="31965" xr:uid="{00000000-0005-0000-0000-0000D6770000}"/>
    <cellStyle name="Normal 82 5 3 5" xfId="23922" xr:uid="{00000000-0005-0000-0000-0000D7770000}"/>
    <cellStyle name="Normal 82 5 4" xfId="5946" xr:uid="{00000000-0005-0000-0000-0000D8770000}"/>
    <cellStyle name="Normal 82 5 4 2" xfId="9815" xr:uid="{00000000-0005-0000-0000-0000D9770000}"/>
    <cellStyle name="Normal 82 5 4 2 2" xfId="19171" xr:uid="{00000000-0005-0000-0000-0000DA770000}"/>
    <cellStyle name="Normal 82 5 4 2 2 2" xfId="35745" xr:uid="{00000000-0005-0000-0000-0000DB770000}"/>
    <cellStyle name="Normal 82 5 4 2 3" xfId="27698" xr:uid="{00000000-0005-0000-0000-0000DC770000}"/>
    <cellStyle name="Normal 82 5 4 3" xfId="15413" xr:uid="{00000000-0005-0000-0000-0000DD770000}"/>
    <cellStyle name="Normal 82 5 4 3 2" xfId="31967" xr:uid="{00000000-0005-0000-0000-0000DE770000}"/>
    <cellStyle name="Normal 82 5 4 4" xfId="23924" xr:uid="{00000000-0005-0000-0000-0000DF770000}"/>
    <cellStyle name="Normal 82 5 5" xfId="9816" xr:uid="{00000000-0005-0000-0000-0000E0770000}"/>
    <cellStyle name="Normal 82 5 5 2" xfId="19172" xr:uid="{00000000-0005-0000-0000-0000E1770000}"/>
    <cellStyle name="Normal 82 5 5 2 2" xfId="35746" xr:uid="{00000000-0005-0000-0000-0000E2770000}"/>
    <cellStyle name="Normal 82 5 5 3" xfId="27699" xr:uid="{00000000-0005-0000-0000-0000E3770000}"/>
    <cellStyle name="Normal 82 5 6" xfId="15406" xr:uid="{00000000-0005-0000-0000-0000E4770000}"/>
    <cellStyle name="Normal 82 5 6 2" xfId="31960" xr:uid="{00000000-0005-0000-0000-0000E5770000}"/>
    <cellStyle name="Normal 82 5 7" xfId="23917" xr:uid="{00000000-0005-0000-0000-0000E6770000}"/>
    <cellStyle name="Normal 82 6" xfId="5947" xr:uid="{00000000-0005-0000-0000-0000E7770000}"/>
    <cellStyle name="Normal 82 6 2" xfId="5948" xr:uid="{00000000-0005-0000-0000-0000E8770000}"/>
    <cellStyle name="Normal 82 6 2 2" xfId="5949" xr:uid="{00000000-0005-0000-0000-0000E9770000}"/>
    <cellStyle name="Normal 82 6 2 2 2" xfId="9817" xr:uid="{00000000-0005-0000-0000-0000EA770000}"/>
    <cellStyle name="Normal 82 6 2 2 2 2" xfId="19173" xr:uid="{00000000-0005-0000-0000-0000EB770000}"/>
    <cellStyle name="Normal 82 6 2 2 2 2 2" xfId="35747" xr:uid="{00000000-0005-0000-0000-0000EC770000}"/>
    <cellStyle name="Normal 82 6 2 2 2 3" xfId="27700" xr:uid="{00000000-0005-0000-0000-0000ED770000}"/>
    <cellStyle name="Normal 82 6 2 2 3" xfId="15416" xr:uid="{00000000-0005-0000-0000-0000EE770000}"/>
    <cellStyle name="Normal 82 6 2 2 3 2" xfId="31970" xr:uid="{00000000-0005-0000-0000-0000EF770000}"/>
    <cellStyle name="Normal 82 6 2 2 4" xfId="23927" xr:uid="{00000000-0005-0000-0000-0000F0770000}"/>
    <cellStyle name="Normal 82 6 2 3" xfId="9818" xr:uid="{00000000-0005-0000-0000-0000F1770000}"/>
    <cellStyle name="Normal 82 6 2 3 2" xfId="19174" xr:uid="{00000000-0005-0000-0000-0000F2770000}"/>
    <cellStyle name="Normal 82 6 2 3 2 2" xfId="35748" xr:uid="{00000000-0005-0000-0000-0000F3770000}"/>
    <cellStyle name="Normal 82 6 2 3 3" xfId="27701" xr:uid="{00000000-0005-0000-0000-0000F4770000}"/>
    <cellStyle name="Normal 82 6 2 4" xfId="15415" xr:uid="{00000000-0005-0000-0000-0000F5770000}"/>
    <cellStyle name="Normal 82 6 2 4 2" xfId="31969" xr:uid="{00000000-0005-0000-0000-0000F6770000}"/>
    <cellStyle name="Normal 82 6 2 5" xfId="23926" xr:uid="{00000000-0005-0000-0000-0000F7770000}"/>
    <cellStyle name="Normal 82 6 3" xfId="5950" xr:uid="{00000000-0005-0000-0000-0000F8770000}"/>
    <cellStyle name="Normal 82 6 3 2" xfId="9819" xr:uid="{00000000-0005-0000-0000-0000F9770000}"/>
    <cellStyle name="Normal 82 6 3 2 2" xfId="19175" xr:uid="{00000000-0005-0000-0000-0000FA770000}"/>
    <cellStyle name="Normal 82 6 3 2 2 2" xfId="35749" xr:uid="{00000000-0005-0000-0000-0000FB770000}"/>
    <cellStyle name="Normal 82 6 3 2 3" xfId="27702" xr:uid="{00000000-0005-0000-0000-0000FC770000}"/>
    <cellStyle name="Normal 82 6 3 3" xfId="15417" xr:uid="{00000000-0005-0000-0000-0000FD770000}"/>
    <cellStyle name="Normal 82 6 3 3 2" xfId="31971" xr:uid="{00000000-0005-0000-0000-0000FE770000}"/>
    <cellStyle name="Normal 82 6 3 4" xfId="23928" xr:uid="{00000000-0005-0000-0000-0000FF770000}"/>
    <cellStyle name="Normal 82 6 4" xfId="9820" xr:uid="{00000000-0005-0000-0000-000000780000}"/>
    <cellStyle name="Normal 82 6 4 2" xfId="19176" xr:uid="{00000000-0005-0000-0000-000001780000}"/>
    <cellStyle name="Normal 82 6 4 2 2" xfId="35750" xr:uid="{00000000-0005-0000-0000-000002780000}"/>
    <cellStyle name="Normal 82 6 4 3" xfId="27703" xr:uid="{00000000-0005-0000-0000-000003780000}"/>
    <cellStyle name="Normal 82 6 5" xfId="15414" xr:uid="{00000000-0005-0000-0000-000004780000}"/>
    <cellStyle name="Normal 82 6 5 2" xfId="31968" xr:uid="{00000000-0005-0000-0000-000005780000}"/>
    <cellStyle name="Normal 82 6 6" xfId="23925" xr:uid="{00000000-0005-0000-0000-000006780000}"/>
    <cellStyle name="Normal 82 7" xfId="5951" xr:uid="{00000000-0005-0000-0000-000007780000}"/>
    <cellStyle name="Normal 82 7 2" xfId="5952" xr:uid="{00000000-0005-0000-0000-000008780000}"/>
    <cellStyle name="Normal 82 7 2 2" xfId="9821" xr:uid="{00000000-0005-0000-0000-000009780000}"/>
    <cellStyle name="Normal 82 7 2 2 2" xfId="19177" xr:uid="{00000000-0005-0000-0000-00000A780000}"/>
    <cellStyle name="Normal 82 7 2 2 2 2" xfId="35751" xr:uid="{00000000-0005-0000-0000-00000B780000}"/>
    <cellStyle name="Normal 82 7 2 2 3" xfId="27704" xr:uid="{00000000-0005-0000-0000-00000C780000}"/>
    <cellStyle name="Normal 82 7 2 3" xfId="15419" xr:uid="{00000000-0005-0000-0000-00000D780000}"/>
    <cellStyle name="Normal 82 7 2 3 2" xfId="31973" xr:uid="{00000000-0005-0000-0000-00000E780000}"/>
    <cellStyle name="Normal 82 7 2 4" xfId="23930" xr:uid="{00000000-0005-0000-0000-00000F780000}"/>
    <cellStyle name="Normal 82 7 3" xfId="9822" xr:uid="{00000000-0005-0000-0000-000010780000}"/>
    <cellStyle name="Normal 82 7 3 2" xfId="19178" xr:uid="{00000000-0005-0000-0000-000011780000}"/>
    <cellStyle name="Normal 82 7 3 2 2" xfId="35752" xr:uid="{00000000-0005-0000-0000-000012780000}"/>
    <cellStyle name="Normal 82 7 3 3" xfId="27705" xr:uid="{00000000-0005-0000-0000-000013780000}"/>
    <cellStyle name="Normal 82 7 4" xfId="15418" xr:uid="{00000000-0005-0000-0000-000014780000}"/>
    <cellStyle name="Normal 82 7 4 2" xfId="31972" xr:uid="{00000000-0005-0000-0000-000015780000}"/>
    <cellStyle name="Normal 82 7 5" xfId="23929" xr:uid="{00000000-0005-0000-0000-000016780000}"/>
    <cellStyle name="Normal 82 8" xfId="5953" xr:uid="{00000000-0005-0000-0000-000017780000}"/>
    <cellStyle name="Normal 82 8 2" xfId="9823" xr:uid="{00000000-0005-0000-0000-000018780000}"/>
    <cellStyle name="Normal 82 8 2 2" xfId="19179" xr:uid="{00000000-0005-0000-0000-000019780000}"/>
    <cellStyle name="Normal 82 8 2 2 2" xfId="35753" xr:uid="{00000000-0005-0000-0000-00001A780000}"/>
    <cellStyle name="Normal 82 8 2 3" xfId="27706" xr:uid="{00000000-0005-0000-0000-00001B780000}"/>
    <cellStyle name="Normal 82 8 3" xfId="15420" xr:uid="{00000000-0005-0000-0000-00001C780000}"/>
    <cellStyle name="Normal 82 8 3 2" xfId="31974" xr:uid="{00000000-0005-0000-0000-00001D780000}"/>
    <cellStyle name="Normal 82 8 4" xfId="23931" xr:uid="{00000000-0005-0000-0000-00001E780000}"/>
    <cellStyle name="Normal 82 9" xfId="9824" xr:uid="{00000000-0005-0000-0000-00001F780000}"/>
    <cellStyle name="Normal 82 9 2" xfId="19180" xr:uid="{00000000-0005-0000-0000-000020780000}"/>
    <cellStyle name="Normal 82 9 2 2" xfId="35754" xr:uid="{00000000-0005-0000-0000-000021780000}"/>
    <cellStyle name="Normal 82 9 3" xfId="27707" xr:uid="{00000000-0005-0000-0000-000022780000}"/>
    <cellStyle name="Normal 83" xfId="5954" xr:uid="{00000000-0005-0000-0000-000023780000}"/>
    <cellStyle name="Normal 83 10" xfId="15421" xr:uid="{00000000-0005-0000-0000-000024780000}"/>
    <cellStyle name="Normal 83 10 2" xfId="31975" xr:uid="{00000000-0005-0000-0000-000025780000}"/>
    <cellStyle name="Normal 83 11" xfId="23932" xr:uid="{00000000-0005-0000-0000-000026780000}"/>
    <cellStyle name="Normal 83 2" xfId="5955" xr:uid="{00000000-0005-0000-0000-000027780000}"/>
    <cellStyle name="Normal 83 2 2" xfId="5956" xr:uid="{00000000-0005-0000-0000-000028780000}"/>
    <cellStyle name="Normal 83 2 3" xfId="15422" xr:uid="{00000000-0005-0000-0000-000029780000}"/>
    <cellStyle name="Normal 83 2 3 2" xfId="31976" xr:uid="{00000000-0005-0000-0000-00002A780000}"/>
    <cellStyle name="Normal 83 2 4" xfId="23933" xr:uid="{00000000-0005-0000-0000-00002B780000}"/>
    <cellStyle name="Normal 83 3" xfId="5957" xr:uid="{00000000-0005-0000-0000-00002C780000}"/>
    <cellStyle name="Normal 83 3 2" xfId="5958" xr:uid="{00000000-0005-0000-0000-00002D780000}"/>
    <cellStyle name="Normal 83 3 2 2" xfId="5959" xr:uid="{00000000-0005-0000-0000-00002E780000}"/>
    <cellStyle name="Normal 83 3 2 2 2" xfId="5960" xr:uid="{00000000-0005-0000-0000-00002F780000}"/>
    <cellStyle name="Normal 83 3 2 2 2 2" xfId="9825" xr:uid="{00000000-0005-0000-0000-000030780000}"/>
    <cellStyle name="Normal 83 3 2 2 2 2 2" xfId="19181" xr:uid="{00000000-0005-0000-0000-000031780000}"/>
    <cellStyle name="Normal 83 3 2 2 2 2 2 2" xfId="35755" xr:uid="{00000000-0005-0000-0000-000032780000}"/>
    <cellStyle name="Normal 83 3 2 2 2 2 3" xfId="27708" xr:uid="{00000000-0005-0000-0000-000033780000}"/>
    <cellStyle name="Normal 83 3 2 2 2 3" xfId="15425" xr:uid="{00000000-0005-0000-0000-000034780000}"/>
    <cellStyle name="Normal 83 3 2 2 2 3 2" xfId="31979" xr:uid="{00000000-0005-0000-0000-000035780000}"/>
    <cellStyle name="Normal 83 3 2 2 2 4" xfId="23936" xr:uid="{00000000-0005-0000-0000-000036780000}"/>
    <cellStyle name="Normal 83 3 2 2 3" xfId="9826" xr:uid="{00000000-0005-0000-0000-000037780000}"/>
    <cellStyle name="Normal 83 3 2 2 3 2" xfId="19182" xr:uid="{00000000-0005-0000-0000-000038780000}"/>
    <cellStyle name="Normal 83 3 2 2 3 2 2" xfId="35756" xr:uid="{00000000-0005-0000-0000-000039780000}"/>
    <cellStyle name="Normal 83 3 2 2 3 3" xfId="27709" xr:uid="{00000000-0005-0000-0000-00003A780000}"/>
    <cellStyle name="Normal 83 3 2 2 4" xfId="15424" xr:uid="{00000000-0005-0000-0000-00003B780000}"/>
    <cellStyle name="Normal 83 3 2 2 4 2" xfId="31978" xr:uid="{00000000-0005-0000-0000-00003C780000}"/>
    <cellStyle name="Normal 83 3 2 2 5" xfId="23935" xr:uid="{00000000-0005-0000-0000-00003D780000}"/>
    <cellStyle name="Normal 83 3 2 3" xfId="5961" xr:uid="{00000000-0005-0000-0000-00003E780000}"/>
    <cellStyle name="Normal 83 3 2 3 2" xfId="9827" xr:uid="{00000000-0005-0000-0000-00003F780000}"/>
    <cellStyle name="Normal 83 3 2 3 2 2" xfId="19183" xr:uid="{00000000-0005-0000-0000-000040780000}"/>
    <cellStyle name="Normal 83 3 2 3 2 2 2" xfId="35757" xr:uid="{00000000-0005-0000-0000-000041780000}"/>
    <cellStyle name="Normal 83 3 2 3 2 3" xfId="27710" xr:uid="{00000000-0005-0000-0000-000042780000}"/>
    <cellStyle name="Normal 83 3 2 3 3" xfId="15426" xr:uid="{00000000-0005-0000-0000-000043780000}"/>
    <cellStyle name="Normal 83 3 2 3 3 2" xfId="31980" xr:uid="{00000000-0005-0000-0000-000044780000}"/>
    <cellStyle name="Normal 83 3 2 3 4" xfId="23937" xr:uid="{00000000-0005-0000-0000-000045780000}"/>
    <cellStyle name="Normal 83 3 2 4" xfId="9828" xr:uid="{00000000-0005-0000-0000-000046780000}"/>
    <cellStyle name="Normal 83 3 2 4 2" xfId="19184" xr:uid="{00000000-0005-0000-0000-000047780000}"/>
    <cellStyle name="Normal 83 3 2 4 2 2" xfId="35758" xr:uid="{00000000-0005-0000-0000-000048780000}"/>
    <cellStyle name="Normal 83 3 2 4 3" xfId="27711" xr:uid="{00000000-0005-0000-0000-000049780000}"/>
    <cellStyle name="Normal 83 3 2 5" xfId="15423" xr:uid="{00000000-0005-0000-0000-00004A780000}"/>
    <cellStyle name="Normal 83 3 2 5 2" xfId="31977" xr:uid="{00000000-0005-0000-0000-00004B780000}"/>
    <cellStyle name="Normal 83 3 2 6" xfId="23934" xr:uid="{00000000-0005-0000-0000-00004C780000}"/>
    <cellStyle name="Normal 83 3 3" xfId="5962" xr:uid="{00000000-0005-0000-0000-00004D780000}"/>
    <cellStyle name="Normal 83 3 3 2" xfId="5963" xr:uid="{00000000-0005-0000-0000-00004E780000}"/>
    <cellStyle name="Normal 83 3 3 2 2" xfId="9829" xr:uid="{00000000-0005-0000-0000-00004F780000}"/>
    <cellStyle name="Normal 83 3 3 2 2 2" xfId="19185" xr:uid="{00000000-0005-0000-0000-000050780000}"/>
    <cellStyle name="Normal 83 3 3 2 2 2 2" xfId="35759" xr:uid="{00000000-0005-0000-0000-000051780000}"/>
    <cellStyle name="Normal 83 3 3 2 2 3" xfId="27712" xr:uid="{00000000-0005-0000-0000-000052780000}"/>
    <cellStyle name="Normal 83 3 3 2 3" xfId="15428" xr:uid="{00000000-0005-0000-0000-000053780000}"/>
    <cellStyle name="Normal 83 3 3 2 3 2" xfId="31982" xr:uid="{00000000-0005-0000-0000-000054780000}"/>
    <cellStyle name="Normal 83 3 3 2 4" xfId="23939" xr:uid="{00000000-0005-0000-0000-000055780000}"/>
    <cellStyle name="Normal 83 3 3 3" xfId="9830" xr:uid="{00000000-0005-0000-0000-000056780000}"/>
    <cellStyle name="Normal 83 3 3 3 2" xfId="19186" xr:uid="{00000000-0005-0000-0000-000057780000}"/>
    <cellStyle name="Normal 83 3 3 3 2 2" xfId="35760" xr:uid="{00000000-0005-0000-0000-000058780000}"/>
    <cellStyle name="Normal 83 3 3 3 3" xfId="27713" xr:uid="{00000000-0005-0000-0000-000059780000}"/>
    <cellStyle name="Normal 83 3 3 4" xfId="15427" xr:uid="{00000000-0005-0000-0000-00005A780000}"/>
    <cellStyle name="Normal 83 3 3 4 2" xfId="31981" xr:uid="{00000000-0005-0000-0000-00005B780000}"/>
    <cellStyle name="Normal 83 3 3 5" xfId="23938" xr:uid="{00000000-0005-0000-0000-00005C780000}"/>
    <cellStyle name="Normal 83 3 4" xfId="5964" xr:uid="{00000000-0005-0000-0000-00005D780000}"/>
    <cellStyle name="Normal 83 3 4 2" xfId="9831" xr:uid="{00000000-0005-0000-0000-00005E780000}"/>
    <cellStyle name="Normal 83 3 4 2 2" xfId="19187" xr:uid="{00000000-0005-0000-0000-00005F780000}"/>
    <cellStyle name="Normal 83 3 4 2 2 2" xfId="35761" xr:uid="{00000000-0005-0000-0000-000060780000}"/>
    <cellStyle name="Normal 83 3 4 2 3" xfId="27714" xr:uid="{00000000-0005-0000-0000-000061780000}"/>
    <cellStyle name="Normal 83 3 4 3" xfId="15429" xr:uid="{00000000-0005-0000-0000-000062780000}"/>
    <cellStyle name="Normal 83 3 4 3 2" xfId="31983" xr:uid="{00000000-0005-0000-0000-000063780000}"/>
    <cellStyle name="Normal 83 3 4 4" xfId="23940" xr:uid="{00000000-0005-0000-0000-000064780000}"/>
    <cellStyle name="Normal 83 3 5" xfId="5965" xr:uid="{00000000-0005-0000-0000-000065780000}"/>
    <cellStyle name="Normal 83 3 5 2" xfId="15430" xr:uid="{00000000-0005-0000-0000-000066780000}"/>
    <cellStyle name="Normal 83 3 5 2 2" xfId="31984" xr:uid="{00000000-0005-0000-0000-000067780000}"/>
    <cellStyle name="Normal 83 3 5 3" xfId="23941" xr:uid="{00000000-0005-0000-0000-000068780000}"/>
    <cellStyle name="Normal 83 4" xfId="5966" xr:uid="{00000000-0005-0000-0000-000069780000}"/>
    <cellStyle name="Normal 83 4 2" xfId="5967" xr:uid="{00000000-0005-0000-0000-00006A780000}"/>
    <cellStyle name="Normal 83 4 2 2" xfId="5968" xr:uid="{00000000-0005-0000-0000-00006B780000}"/>
    <cellStyle name="Normal 83 4 2 2 2" xfId="5969" xr:uid="{00000000-0005-0000-0000-00006C780000}"/>
    <cellStyle name="Normal 83 4 2 2 2 2" xfId="9832" xr:uid="{00000000-0005-0000-0000-00006D780000}"/>
    <cellStyle name="Normal 83 4 2 2 2 2 2" xfId="19188" xr:uid="{00000000-0005-0000-0000-00006E780000}"/>
    <cellStyle name="Normal 83 4 2 2 2 2 2 2" xfId="35762" xr:uid="{00000000-0005-0000-0000-00006F780000}"/>
    <cellStyle name="Normal 83 4 2 2 2 2 3" xfId="27715" xr:uid="{00000000-0005-0000-0000-000070780000}"/>
    <cellStyle name="Normal 83 4 2 2 2 3" xfId="15434" xr:uid="{00000000-0005-0000-0000-000071780000}"/>
    <cellStyle name="Normal 83 4 2 2 2 3 2" xfId="31988" xr:uid="{00000000-0005-0000-0000-000072780000}"/>
    <cellStyle name="Normal 83 4 2 2 2 4" xfId="23945" xr:uid="{00000000-0005-0000-0000-000073780000}"/>
    <cellStyle name="Normal 83 4 2 2 3" xfId="9833" xr:uid="{00000000-0005-0000-0000-000074780000}"/>
    <cellStyle name="Normal 83 4 2 2 3 2" xfId="19189" xr:uid="{00000000-0005-0000-0000-000075780000}"/>
    <cellStyle name="Normal 83 4 2 2 3 2 2" xfId="35763" xr:uid="{00000000-0005-0000-0000-000076780000}"/>
    <cellStyle name="Normal 83 4 2 2 3 3" xfId="27716" xr:uid="{00000000-0005-0000-0000-000077780000}"/>
    <cellStyle name="Normal 83 4 2 2 4" xfId="15433" xr:uid="{00000000-0005-0000-0000-000078780000}"/>
    <cellStyle name="Normal 83 4 2 2 4 2" xfId="31987" xr:uid="{00000000-0005-0000-0000-000079780000}"/>
    <cellStyle name="Normal 83 4 2 2 5" xfId="23944" xr:uid="{00000000-0005-0000-0000-00007A780000}"/>
    <cellStyle name="Normal 83 4 2 3" xfId="5970" xr:uid="{00000000-0005-0000-0000-00007B780000}"/>
    <cellStyle name="Normal 83 4 2 3 2" xfId="9834" xr:uid="{00000000-0005-0000-0000-00007C780000}"/>
    <cellStyle name="Normal 83 4 2 3 2 2" xfId="19190" xr:uid="{00000000-0005-0000-0000-00007D780000}"/>
    <cellStyle name="Normal 83 4 2 3 2 2 2" xfId="35764" xr:uid="{00000000-0005-0000-0000-00007E780000}"/>
    <cellStyle name="Normal 83 4 2 3 2 3" xfId="27717" xr:uid="{00000000-0005-0000-0000-00007F780000}"/>
    <cellStyle name="Normal 83 4 2 3 3" xfId="15435" xr:uid="{00000000-0005-0000-0000-000080780000}"/>
    <cellStyle name="Normal 83 4 2 3 3 2" xfId="31989" xr:uid="{00000000-0005-0000-0000-000081780000}"/>
    <cellStyle name="Normal 83 4 2 3 4" xfId="23946" xr:uid="{00000000-0005-0000-0000-000082780000}"/>
    <cellStyle name="Normal 83 4 2 4" xfId="9835" xr:uid="{00000000-0005-0000-0000-000083780000}"/>
    <cellStyle name="Normal 83 4 2 4 2" xfId="19191" xr:uid="{00000000-0005-0000-0000-000084780000}"/>
    <cellStyle name="Normal 83 4 2 4 2 2" xfId="35765" xr:uid="{00000000-0005-0000-0000-000085780000}"/>
    <cellStyle name="Normal 83 4 2 4 3" xfId="27718" xr:uid="{00000000-0005-0000-0000-000086780000}"/>
    <cellStyle name="Normal 83 4 2 5" xfId="15432" xr:uid="{00000000-0005-0000-0000-000087780000}"/>
    <cellStyle name="Normal 83 4 2 5 2" xfId="31986" xr:uid="{00000000-0005-0000-0000-000088780000}"/>
    <cellStyle name="Normal 83 4 2 6" xfId="23943" xr:uid="{00000000-0005-0000-0000-000089780000}"/>
    <cellStyle name="Normal 83 4 3" xfId="5971" xr:uid="{00000000-0005-0000-0000-00008A780000}"/>
    <cellStyle name="Normal 83 4 3 2" xfId="5972" xr:uid="{00000000-0005-0000-0000-00008B780000}"/>
    <cellStyle name="Normal 83 4 3 2 2" xfId="9836" xr:uid="{00000000-0005-0000-0000-00008C780000}"/>
    <cellStyle name="Normal 83 4 3 2 2 2" xfId="19192" xr:uid="{00000000-0005-0000-0000-00008D780000}"/>
    <cellStyle name="Normal 83 4 3 2 2 2 2" xfId="35766" xr:uid="{00000000-0005-0000-0000-00008E780000}"/>
    <cellStyle name="Normal 83 4 3 2 2 3" xfId="27719" xr:uid="{00000000-0005-0000-0000-00008F780000}"/>
    <cellStyle name="Normal 83 4 3 2 3" xfId="15437" xr:uid="{00000000-0005-0000-0000-000090780000}"/>
    <cellStyle name="Normal 83 4 3 2 3 2" xfId="31991" xr:uid="{00000000-0005-0000-0000-000091780000}"/>
    <cellStyle name="Normal 83 4 3 2 4" xfId="23948" xr:uid="{00000000-0005-0000-0000-000092780000}"/>
    <cellStyle name="Normal 83 4 3 3" xfId="9837" xr:uid="{00000000-0005-0000-0000-000093780000}"/>
    <cellStyle name="Normal 83 4 3 3 2" xfId="19193" xr:uid="{00000000-0005-0000-0000-000094780000}"/>
    <cellStyle name="Normal 83 4 3 3 2 2" xfId="35767" xr:uid="{00000000-0005-0000-0000-000095780000}"/>
    <cellStyle name="Normal 83 4 3 3 3" xfId="27720" xr:uid="{00000000-0005-0000-0000-000096780000}"/>
    <cellStyle name="Normal 83 4 3 4" xfId="15436" xr:uid="{00000000-0005-0000-0000-000097780000}"/>
    <cellStyle name="Normal 83 4 3 4 2" xfId="31990" xr:uid="{00000000-0005-0000-0000-000098780000}"/>
    <cellStyle name="Normal 83 4 3 5" xfId="23947" xr:uid="{00000000-0005-0000-0000-000099780000}"/>
    <cellStyle name="Normal 83 4 4" xfId="5973" xr:uid="{00000000-0005-0000-0000-00009A780000}"/>
    <cellStyle name="Normal 83 4 4 2" xfId="9838" xr:uid="{00000000-0005-0000-0000-00009B780000}"/>
    <cellStyle name="Normal 83 4 4 2 2" xfId="19194" xr:uid="{00000000-0005-0000-0000-00009C780000}"/>
    <cellStyle name="Normal 83 4 4 2 2 2" xfId="35768" xr:uid="{00000000-0005-0000-0000-00009D780000}"/>
    <cellStyle name="Normal 83 4 4 2 3" xfId="27721" xr:uid="{00000000-0005-0000-0000-00009E780000}"/>
    <cellStyle name="Normal 83 4 4 3" xfId="15438" xr:uid="{00000000-0005-0000-0000-00009F780000}"/>
    <cellStyle name="Normal 83 4 4 3 2" xfId="31992" xr:uid="{00000000-0005-0000-0000-0000A0780000}"/>
    <cellStyle name="Normal 83 4 4 4" xfId="23949" xr:uid="{00000000-0005-0000-0000-0000A1780000}"/>
    <cellStyle name="Normal 83 4 5" xfId="9839" xr:uid="{00000000-0005-0000-0000-0000A2780000}"/>
    <cellStyle name="Normal 83 4 5 2" xfId="19195" xr:uid="{00000000-0005-0000-0000-0000A3780000}"/>
    <cellStyle name="Normal 83 4 5 2 2" xfId="35769" xr:uid="{00000000-0005-0000-0000-0000A4780000}"/>
    <cellStyle name="Normal 83 4 5 3" xfId="27722" xr:uid="{00000000-0005-0000-0000-0000A5780000}"/>
    <cellStyle name="Normal 83 4 6" xfId="15431" xr:uid="{00000000-0005-0000-0000-0000A6780000}"/>
    <cellStyle name="Normal 83 4 6 2" xfId="31985" xr:uid="{00000000-0005-0000-0000-0000A7780000}"/>
    <cellStyle name="Normal 83 4 7" xfId="23942" xr:uid="{00000000-0005-0000-0000-0000A8780000}"/>
    <cellStyle name="Normal 83 5" xfId="5974" xr:uid="{00000000-0005-0000-0000-0000A9780000}"/>
    <cellStyle name="Normal 83 5 2" xfId="5975" xr:uid="{00000000-0005-0000-0000-0000AA780000}"/>
    <cellStyle name="Normal 83 5 2 2" xfId="5976" xr:uid="{00000000-0005-0000-0000-0000AB780000}"/>
    <cellStyle name="Normal 83 5 2 2 2" xfId="5977" xr:uid="{00000000-0005-0000-0000-0000AC780000}"/>
    <cellStyle name="Normal 83 5 2 2 2 2" xfId="9840" xr:uid="{00000000-0005-0000-0000-0000AD780000}"/>
    <cellStyle name="Normal 83 5 2 2 2 2 2" xfId="19196" xr:uid="{00000000-0005-0000-0000-0000AE780000}"/>
    <cellStyle name="Normal 83 5 2 2 2 2 2 2" xfId="35770" xr:uid="{00000000-0005-0000-0000-0000AF780000}"/>
    <cellStyle name="Normal 83 5 2 2 2 2 3" xfId="27723" xr:uid="{00000000-0005-0000-0000-0000B0780000}"/>
    <cellStyle name="Normal 83 5 2 2 2 3" xfId="15442" xr:uid="{00000000-0005-0000-0000-0000B1780000}"/>
    <cellStyle name="Normal 83 5 2 2 2 3 2" xfId="31996" xr:uid="{00000000-0005-0000-0000-0000B2780000}"/>
    <cellStyle name="Normal 83 5 2 2 2 4" xfId="23953" xr:uid="{00000000-0005-0000-0000-0000B3780000}"/>
    <cellStyle name="Normal 83 5 2 2 3" xfId="9841" xr:uid="{00000000-0005-0000-0000-0000B4780000}"/>
    <cellStyle name="Normal 83 5 2 2 3 2" xfId="19197" xr:uid="{00000000-0005-0000-0000-0000B5780000}"/>
    <cellStyle name="Normal 83 5 2 2 3 2 2" xfId="35771" xr:uid="{00000000-0005-0000-0000-0000B6780000}"/>
    <cellStyle name="Normal 83 5 2 2 3 3" xfId="27724" xr:uid="{00000000-0005-0000-0000-0000B7780000}"/>
    <cellStyle name="Normal 83 5 2 2 4" xfId="15441" xr:uid="{00000000-0005-0000-0000-0000B8780000}"/>
    <cellStyle name="Normal 83 5 2 2 4 2" xfId="31995" xr:uid="{00000000-0005-0000-0000-0000B9780000}"/>
    <cellStyle name="Normal 83 5 2 2 5" xfId="23952" xr:uid="{00000000-0005-0000-0000-0000BA780000}"/>
    <cellStyle name="Normal 83 5 2 3" xfId="5978" xr:uid="{00000000-0005-0000-0000-0000BB780000}"/>
    <cellStyle name="Normal 83 5 2 3 2" xfId="9842" xr:uid="{00000000-0005-0000-0000-0000BC780000}"/>
    <cellStyle name="Normal 83 5 2 3 2 2" xfId="19198" xr:uid="{00000000-0005-0000-0000-0000BD780000}"/>
    <cellStyle name="Normal 83 5 2 3 2 2 2" xfId="35772" xr:uid="{00000000-0005-0000-0000-0000BE780000}"/>
    <cellStyle name="Normal 83 5 2 3 2 3" xfId="27725" xr:uid="{00000000-0005-0000-0000-0000BF780000}"/>
    <cellStyle name="Normal 83 5 2 3 3" xfId="15443" xr:uid="{00000000-0005-0000-0000-0000C0780000}"/>
    <cellStyle name="Normal 83 5 2 3 3 2" xfId="31997" xr:uid="{00000000-0005-0000-0000-0000C1780000}"/>
    <cellStyle name="Normal 83 5 2 3 4" xfId="23954" xr:uid="{00000000-0005-0000-0000-0000C2780000}"/>
    <cellStyle name="Normal 83 5 2 4" xfId="9843" xr:uid="{00000000-0005-0000-0000-0000C3780000}"/>
    <cellStyle name="Normal 83 5 2 4 2" xfId="19199" xr:uid="{00000000-0005-0000-0000-0000C4780000}"/>
    <cellStyle name="Normal 83 5 2 4 2 2" xfId="35773" xr:uid="{00000000-0005-0000-0000-0000C5780000}"/>
    <cellStyle name="Normal 83 5 2 4 3" xfId="27726" xr:uid="{00000000-0005-0000-0000-0000C6780000}"/>
    <cellStyle name="Normal 83 5 2 5" xfId="15440" xr:uid="{00000000-0005-0000-0000-0000C7780000}"/>
    <cellStyle name="Normal 83 5 2 5 2" xfId="31994" xr:uid="{00000000-0005-0000-0000-0000C8780000}"/>
    <cellStyle name="Normal 83 5 2 6" xfId="23951" xr:uid="{00000000-0005-0000-0000-0000C9780000}"/>
    <cellStyle name="Normal 83 5 3" xfId="5979" xr:uid="{00000000-0005-0000-0000-0000CA780000}"/>
    <cellStyle name="Normal 83 5 3 2" xfId="5980" xr:uid="{00000000-0005-0000-0000-0000CB780000}"/>
    <cellStyle name="Normal 83 5 3 2 2" xfId="9844" xr:uid="{00000000-0005-0000-0000-0000CC780000}"/>
    <cellStyle name="Normal 83 5 3 2 2 2" xfId="19200" xr:uid="{00000000-0005-0000-0000-0000CD780000}"/>
    <cellStyle name="Normal 83 5 3 2 2 2 2" xfId="35774" xr:uid="{00000000-0005-0000-0000-0000CE780000}"/>
    <cellStyle name="Normal 83 5 3 2 2 3" xfId="27727" xr:uid="{00000000-0005-0000-0000-0000CF780000}"/>
    <cellStyle name="Normal 83 5 3 2 3" xfId="15445" xr:uid="{00000000-0005-0000-0000-0000D0780000}"/>
    <cellStyle name="Normal 83 5 3 2 3 2" xfId="31999" xr:uid="{00000000-0005-0000-0000-0000D1780000}"/>
    <cellStyle name="Normal 83 5 3 2 4" xfId="23956" xr:uid="{00000000-0005-0000-0000-0000D2780000}"/>
    <cellStyle name="Normal 83 5 3 3" xfId="9845" xr:uid="{00000000-0005-0000-0000-0000D3780000}"/>
    <cellStyle name="Normal 83 5 3 3 2" xfId="19201" xr:uid="{00000000-0005-0000-0000-0000D4780000}"/>
    <cellStyle name="Normal 83 5 3 3 2 2" xfId="35775" xr:uid="{00000000-0005-0000-0000-0000D5780000}"/>
    <cellStyle name="Normal 83 5 3 3 3" xfId="27728" xr:uid="{00000000-0005-0000-0000-0000D6780000}"/>
    <cellStyle name="Normal 83 5 3 4" xfId="15444" xr:uid="{00000000-0005-0000-0000-0000D7780000}"/>
    <cellStyle name="Normal 83 5 3 4 2" xfId="31998" xr:uid="{00000000-0005-0000-0000-0000D8780000}"/>
    <cellStyle name="Normal 83 5 3 5" xfId="23955" xr:uid="{00000000-0005-0000-0000-0000D9780000}"/>
    <cellStyle name="Normal 83 5 4" xfId="5981" xr:uid="{00000000-0005-0000-0000-0000DA780000}"/>
    <cellStyle name="Normal 83 5 4 2" xfId="9846" xr:uid="{00000000-0005-0000-0000-0000DB780000}"/>
    <cellStyle name="Normal 83 5 4 2 2" xfId="19202" xr:uid="{00000000-0005-0000-0000-0000DC780000}"/>
    <cellStyle name="Normal 83 5 4 2 2 2" xfId="35776" xr:uid="{00000000-0005-0000-0000-0000DD780000}"/>
    <cellStyle name="Normal 83 5 4 2 3" xfId="27729" xr:uid="{00000000-0005-0000-0000-0000DE780000}"/>
    <cellStyle name="Normal 83 5 4 3" xfId="15446" xr:uid="{00000000-0005-0000-0000-0000DF780000}"/>
    <cellStyle name="Normal 83 5 4 3 2" xfId="32000" xr:uid="{00000000-0005-0000-0000-0000E0780000}"/>
    <cellStyle name="Normal 83 5 4 4" xfId="23957" xr:uid="{00000000-0005-0000-0000-0000E1780000}"/>
    <cellStyle name="Normal 83 5 5" xfId="9847" xr:uid="{00000000-0005-0000-0000-0000E2780000}"/>
    <cellStyle name="Normal 83 5 5 2" xfId="19203" xr:uid="{00000000-0005-0000-0000-0000E3780000}"/>
    <cellStyle name="Normal 83 5 5 2 2" xfId="35777" xr:uid="{00000000-0005-0000-0000-0000E4780000}"/>
    <cellStyle name="Normal 83 5 5 3" xfId="27730" xr:uid="{00000000-0005-0000-0000-0000E5780000}"/>
    <cellStyle name="Normal 83 5 6" xfId="15439" xr:uid="{00000000-0005-0000-0000-0000E6780000}"/>
    <cellStyle name="Normal 83 5 6 2" xfId="31993" xr:uid="{00000000-0005-0000-0000-0000E7780000}"/>
    <cellStyle name="Normal 83 5 7" xfId="23950" xr:uid="{00000000-0005-0000-0000-0000E8780000}"/>
    <cellStyle name="Normal 83 6" xfId="5982" xr:uid="{00000000-0005-0000-0000-0000E9780000}"/>
    <cellStyle name="Normal 83 6 2" xfId="5983" xr:uid="{00000000-0005-0000-0000-0000EA780000}"/>
    <cellStyle name="Normal 83 6 2 2" xfId="5984" xr:uid="{00000000-0005-0000-0000-0000EB780000}"/>
    <cellStyle name="Normal 83 6 2 2 2" xfId="9848" xr:uid="{00000000-0005-0000-0000-0000EC780000}"/>
    <cellStyle name="Normal 83 6 2 2 2 2" xfId="19204" xr:uid="{00000000-0005-0000-0000-0000ED780000}"/>
    <cellStyle name="Normal 83 6 2 2 2 2 2" xfId="35778" xr:uid="{00000000-0005-0000-0000-0000EE780000}"/>
    <cellStyle name="Normal 83 6 2 2 2 3" xfId="27731" xr:uid="{00000000-0005-0000-0000-0000EF780000}"/>
    <cellStyle name="Normal 83 6 2 2 3" xfId="15449" xr:uid="{00000000-0005-0000-0000-0000F0780000}"/>
    <cellStyle name="Normal 83 6 2 2 3 2" xfId="32003" xr:uid="{00000000-0005-0000-0000-0000F1780000}"/>
    <cellStyle name="Normal 83 6 2 2 4" xfId="23960" xr:uid="{00000000-0005-0000-0000-0000F2780000}"/>
    <cellStyle name="Normal 83 6 2 3" xfId="9849" xr:uid="{00000000-0005-0000-0000-0000F3780000}"/>
    <cellStyle name="Normal 83 6 2 3 2" xfId="19205" xr:uid="{00000000-0005-0000-0000-0000F4780000}"/>
    <cellStyle name="Normal 83 6 2 3 2 2" xfId="35779" xr:uid="{00000000-0005-0000-0000-0000F5780000}"/>
    <cellStyle name="Normal 83 6 2 3 3" xfId="27732" xr:uid="{00000000-0005-0000-0000-0000F6780000}"/>
    <cellStyle name="Normal 83 6 2 4" xfId="15448" xr:uid="{00000000-0005-0000-0000-0000F7780000}"/>
    <cellStyle name="Normal 83 6 2 4 2" xfId="32002" xr:uid="{00000000-0005-0000-0000-0000F8780000}"/>
    <cellStyle name="Normal 83 6 2 5" xfId="23959" xr:uid="{00000000-0005-0000-0000-0000F9780000}"/>
    <cellStyle name="Normal 83 6 3" xfId="5985" xr:uid="{00000000-0005-0000-0000-0000FA780000}"/>
    <cellStyle name="Normal 83 6 3 2" xfId="9850" xr:uid="{00000000-0005-0000-0000-0000FB780000}"/>
    <cellStyle name="Normal 83 6 3 2 2" xfId="19206" xr:uid="{00000000-0005-0000-0000-0000FC780000}"/>
    <cellStyle name="Normal 83 6 3 2 2 2" xfId="35780" xr:uid="{00000000-0005-0000-0000-0000FD780000}"/>
    <cellStyle name="Normal 83 6 3 2 3" xfId="27733" xr:uid="{00000000-0005-0000-0000-0000FE780000}"/>
    <cellStyle name="Normal 83 6 3 3" xfId="15450" xr:uid="{00000000-0005-0000-0000-0000FF780000}"/>
    <cellStyle name="Normal 83 6 3 3 2" xfId="32004" xr:uid="{00000000-0005-0000-0000-000000790000}"/>
    <cellStyle name="Normal 83 6 3 4" xfId="23961" xr:uid="{00000000-0005-0000-0000-000001790000}"/>
    <cellStyle name="Normal 83 6 4" xfId="9851" xr:uid="{00000000-0005-0000-0000-000002790000}"/>
    <cellStyle name="Normal 83 6 4 2" xfId="19207" xr:uid="{00000000-0005-0000-0000-000003790000}"/>
    <cellStyle name="Normal 83 6 4 2 2" xfId="35781" xr:uid="{00000000-0005-0000-0000-000004790000}"/>
    <cellStyle name="Normal 83 6 4 3" xfId="27734" xr:uid="{00000000-0005-0000-0000-000005790000}"/>
    <cellStyle name="Normal 83 6 5" xfId="15447" xr:uid="{00000000-0005-0000-0000-000006790000}"/>
    <cellStyle name="Normal 83 6 5 2" xfId="32001" xr:uid="{00000000-0005-0000-0000-000007790000}"/>
    <cellStyle name="Normal 83 6 6" xfId="23958" xr:uid="{00000000-0005-0000-0000-000008790000}"/>
    <cellStyle name="Normal 83 7" xfId="5986" xr:uid="{00000000-0005-0000-0000-000009790000}"/>
    <cellStyle name="Normal 83 7 2" xfId="5987" xr:uid="{00000000-0005-0000-0000-00000A790000}"/>
    <cellStyle name="Normal 83 7 2 2" xfId="9852" xr:uid="{00000000-0005-0000-0000-00000B790000}"/>
    <cellStyle name="Normal 83 7 2 2 2" xfId="19208" xr:uid="{00000000-0005-0000-0000-00000C790000}"/>
    <cellStyle name="Normal 83 7 2 2 2 2" xfId="35782" xr:uid="{00000000-0005-0000-0000-00000D790000}"/>
    <cellStyle name="Normal 83 7 2 2 3" xfId="27735" xr:uid="{00000000-0005-0000-0000-00000E790000}"/>
    <cellStyle name="Normal 83 7 2 3" xfId="15452" xr:uid="{00000000-0005-0000-0000-00000F790000}"/>
    <cellStyle name="Normal 83 7 2 3 2" xfId="32006" xr:uid="{00000000-0005-0000-0000-000010790000}"/>
    <cellStyle name="Normal 83 7 2 4" xfId="23963" xr:uid="{00000000-0005-0000-0000-000011790000}"/>
    <cellStyle name="Normal 83 7 3" xfId="9853" xr:uid="{00000000-0005-0000-0000-000012790000}"/>
    <cellStyle name="Normal 83 7 3 2" xfId="19209" xr:uid="{00000000-0005-0000-0000-000013790000}"/>
    <cellStyle name="Normal 83 7 3 2 2" xfId="35783" xr:uid="{00000000-0005-0000-0000-000014790000}"/>
    <cellStyle name="Normal 83 7 3 3" xfId="27736" xr:uid="{00000000-0005-0000-0000-000015790000}"/>
    <cellStyle name="Normal 83 7 4" xfId="15451" xr:uid="{00000000-0005-0000-0000-000016790000}"/>
    <cellStyle name="Normal 83 7 4 2" xfId="32005" xr:uid="{00000000-0005-0000-0000-000017790000}"/>
    <cellStyle name="Normal 83 7 5" xfId="23962" xr:uid="{00000000-0005-0000-0000-000018790000}"/>
    <cellStyle name="Normal 83 8" xfId="5988" xr:uid="{00000000-0005-0000-0000-000019790000}"/>
    <cellStyle name="Normal 83 8 2" xfId="9854" xr:uid="{00000000-0005-0000-0000-00001A790000}"/>
    <cellStyle name="Normal 83 8 2 2" xfId="19210" xr:uid="{00000000-0005-0000-0000-00001B790000}"/>
    <cellStyle name="Normal 83 8 2 2 2" xfId="35784" xr:uid="{00000000-0005-0000-0000-00001C790000}"/>
    <cellStyle name="Normal 83 8 2 3" xfId="27737" xr:uid="{00000000-0005-0000-0000-00001D790000}"/>
    <cellStyle name="Normal 83 8 3" xfId="15453" xr:uid="{00000000-0005-0000-0000-00001E790000}"/>
    <cellStyle name="Normal 83 8 3 2" xfId="32007" xr:uid="{00000000-0005-0000-0000-00001F790000}"/>
    <cellStyle name="Normal 83 8 4" xfId="23964" xr:uid="{00000000-0005-0000-0000-000020790000}"/>
    <cellStyle name="Normal 83 9" xfId="9855" xr:uid="{00000000-0005-0000-0000-000021790000}"/>
    <cellStyle name="Normal 83 9 2" xfId="19211" xr:uid="{00000000-0005-0000-0000-000022790000}"/>
    <cellStyle name="Normal 83 9 2 2" xfId="35785" xr:uid="{00000000-0005-0000-0000-000023790000}"/>
    <cellStyle name="Normal 83 9 3" xfId="27738" xr:uid="{00000000-0005-0000-0000-000024790000}"/>
    <cellStyle name="Normal 84" xfId="5989" xr:uid="{00000000-0005-0000-0000-000025790000}"/>
    <cellStyle name="Normal 84 10" xfId="15454" xr:uid="{00000000-0005-0000-0000-000026790000}"/>
    <cellStyle name="Normal 84 10 2" xfId="32008" xr:uid="{00000000-0005-0000-0000-000027790000}"/>
    <cellStyle name="Normal 84 11" xfId="23965" xr:uid="{00000000-0005-0000-0000-000028790000}"/>
    <cellStyle name="Normal 84 2" xfId="5990" xr:uid="{00000000-0005-0000-0000-000029790000}"/>
    <cellStyle name="Normal 84 2 2" xfId="5991" xr:uid="{00000000-0005-0000-0000-00002A790000}"/>
    <cellStyle name="Normal 84 2 3" xfId="15455" xr:uid="{00000000-0005-0000-0000-00002B790000}"/>
    <cellStyle name="Normal 84 2 3 2" xfId="32009" xr:uid="{00000000-0005-0000-0000-00002C790000}"/>
    <cellStyle name="Normal 84 2 4" xfId="23966" xr:uid="{00000000-0005-0000-0000-00002D790000}"/>
    <cellStyle name="Normal 84 3" xfId="5992" xr:uid="{00000000-0005-0000-0000-00002E790000}"/>
    <cellStyle name="Normal 84 3 2" xfId="5993" xr:uid="{00000000-0005-0000-0000-00002F790000}"/>
    <cellStyle name="Normal 84 3 2 2" xfId="5994" xr:uid="{00000000-0005-0000-0000-000030790000}"/>
    <cellStyle name="Normal 84 3 2 2 2" xfId="5995" xr:uid="{00000000-0005-0000-0000-000031790000}"/>
    <cellStyle name="Normal 84 3 2 2 2 2" xfId="9856" xr:uid="{00000000-0005-0000-0000-000032790000}"/>
    <cellStyle name="Normal 84 3 2 2 2 2 2" xfId="19212" xr:uid="{00000000-0005-0000-0000-000033790000}"/>
    <cellStyle name="Normal 84 3 2 2 2 2 2 2" xfId="35786" xr:uid="{00000000-0005-0000-0000-000034790000}"/>
    <cellStyle name="Normal 84 3 2 2 2 2 3" xfId="27739" xr:uid="{00000000-0005-0000-0000-000035790000}"/>
    <cellStyle name="Normal 84 3 2 2 2 3" xfId="15458" xr:uid="{00000000-0005-0000-0000-000036790000}"/>
    <cellStyle name="Normal 84 3 2 2 2 3 2" xfId="32012" xr:uid="{00000000-0005-0000-0000-000037790000}"/>
    <cellStyle name="Normal 84 3 2 2 2 4" xfId="23969" xr:uid="{00000000-0005-0000-0000-000038790000}"/>
    <cellStyle name="Normal 84 3 2 2 3" xfId="9857" xr:uid="{00000000-0005-0000-0000-000039790000}"/>
    <cellStyle name="Normal 84 3 2 2 3 2" xfId="19213" xr:uid="{00000000-0005-0000-0000-00003A790000}"/>
    <cellStyle name="Normal 84 3 2 2 3 2 2" xfId="35787" xr:uid="{00000000-0005-0000-0000-00003B790000}"/>
    <cellStyle name="Normal 84 3 2 2 3 3" xfId="27740" xr:uid="{00000000-0005-0000-0000-00003C790000}"/>
    <cellStyle name="Normal 84 3 2 2 4" xfId="15457" xr:uid="{00000000-0005-0000-0000-00003D790000}"/>
    <cellStyle name="Normal 84 3 2 2 4 2" xfId="32011" xr:uid="{00000000-0005-0000-0000-00003E790000}"/>
    <cellStyle name="Normal 84 3 2 2 5" xfId="23968" xr:uid="{00000000-0005-0000-0000-00003F790000}"/>
    <cellStyle name="Normal 84 3 2 3" xfId="5996" xr:uid="{00000000-0005-0000-0000-000040790000}"/>
    <cellStyle name="Normal 84 3 2 3 2" xfId="9858" xr:uid="{00000000-0005-0000-0000-000041790000}"/>
    <cellStyle name="Normal 84 3 2 3 2 2" xfId="19214" xr:uid="{00000000-0005-0000-0000-000042790000}"/>
    <cellStyle name="Normal 84 3 2 3 2 2 2" xfId="35788" xr:uid="{00000000-0005-0000-0000-000043790000}"/>
    <cellStyle name="Normal 84 3 2 3 2 3" xfId="27741" xr:uid="{00000000-0005-0000-0000-000044790000}"/>
    <cellStyle name="Normal 84 3 2 3 3" xfId="15459" xr:uid="{00000000-0005-0000-0000-000045790000}"/>
    <cellStyle name="Normal 84 3 2 3 3 2" xfId="32013" xr:uid="{00000000-0005-0000-0000-000046790000}"/>
    <cellStyle name="Normal 84 3 2 3 4" xfId="23970" xr:uid="{00000000-0005-0000-0000-000047790000}"/>
    <cellStyle name="Normal 84 3 2 4" xfId="9859" xr:uid="{00000000-0005-0000-0000-000048790000}"/>
    <cellStyle name="Normal 84 3 2 4 2" xfId="19215" xr:uid="{00000000-0005-0000-0000-000049790000}"/>
    <cellStyle name="Normal 84 3 2 4 2 2" xfId="35789" xr:uid="{00000000-0005-0000-0000-00004A790000}"/>
    <cellStyle name="Normal 84 3 2 4 3" xfId="27742" xr:uid="{00000000-0005-0000-0000-00004B790000}"/>
    <cellStyle name="Normal 84 3 2 5" xfId="15456" xr:uid="{00000000-0005-0000-0000-00004C790000}"/>
    <cellStyle name="Normal 84 3 2 5 2" xfId="32010" xr:uid="{00000000-0005-0000-0000-00004D790000}"/>
    <cellStyle name="Normal 84 3 2 6" xfId="23967" xr:uid="{00000000-0005-0000-0000-00004E790000}"/>
    <cellStyle name="Normal 84 3 3" xfId="5997" xr:uid="{00000000-0005-0000-0000-00004F790000}"/>
    <cellStyle name="Normal 84 3 3 2" xfId="5998" xr:uid="{00000000-0005-0000-0000-000050790000}"/>
    <cellStyle name="Normal 84 3 3 2 2" xfId="9860" xr:uid="{00000000-0005-0000-0000-000051790000}"/>
    <cellStyle name="Normal 84 3 3 2 2 2" xfId="19216" xr:uid="{00000000-0005-0000-0000-000052790000}"/>
    <cellStyle name="Normal 84 3 3 2 2 2 2" xfId="35790" xr:uid="{00000000-0005-0000-0000-000053790000}"/>
    <cellStyle name="Normal 84 3 3 2 2 3" xfId="27743" xr:uid="{00000000-0005-0000-0000-000054790000}"/>
    <cellStyle name="Normal 84 3 3 2 3" xfId="15461" xr:uid="{00000000-0005-0000-0000-000055790000}"/>
    <cellStyle name="Normal 84 3 3 2 3 2" xfId="32015" xr:uid="{00000000-0005-0000-0000-000056790000}"/>
    <cellStyle name="Normal 84 3 3 2 4" xfId="23972" xr:uid="{00000000-0005-0000-0000-000057790000}"/>
    <cellStyle name="Normal 84 3 3 3" xfId="9861" xr:uid="{00000000-0005-0000-0000-000058790000}"/>
    <cellStyle name="Normal 84 3 3 3 2" xfId="19217" xr:uid="{00000000-0005-0000-0000-000059790000}"/>
    <cellStyle name="Normal 84 3 3 3 2 2" xfId="35791" xr:uid="{00000000-0005-0000-0000-00005A790000}"/>
    <cellStyle name="Normal 84 3 3 3 3" xfId="27744" xr:uid="{00000000-0005-0000-0000-00005B790000}"/>
    <cellStyle name="Normal 84 3 3 4" xfId="15460" xr:uid="{00000000-0005-0000-0000-00005C790000}"/>
    <cellStyle name="Normal 84 3 3 4 2" xfId="32014" xr:uid="{00000000-0005-0000-0000-00005D790000}"/>
    <cellStyle name="Normal 84 3 3 5" xfId="23971" xr:uid="{00000000-0005-0000-0000-00005E790000}"/>
    <cellStyle name="Normal 84 3 4" xfId="5999" xr:uid="{00000000-0005-0000-0000-00005F790000}"/>
    <cellStyle name="Normal 84 3 4 2" xfId="9862" xr:uid="{00000000-0005-0000-0000-000060790000}"/>
    <cellStyle name="Normal 84 3 4 2 2" xfId="19218" xr:uid="{00000000-0005-0000-0000-000061790000}"/>
    <cellStyle name="Normal 84 3 4 2 2 2" xfId="35792" xr:uid="{00000000-0005-0000-0000-000062790000}"/>
    <cellStyle name="Normal 84 3 4 2 3" xfId="27745" xr:uid="{00000000-0005-0000-0000-000063790000}"/>
    <cellStyle name="Normal 84 3 4 3" xfId="15462" xr:uid="{00000000-0005-0000-0000-000064790000}"/>
    <cellStyle name="Normal 84 3 4 3 2" xfId="32016" xr:uid="{00000000-0005-0000-0000-000065790000}"/>
    <cellStyle name="Normal 84 3 4 4" xfId="23973" xr:uid="{00000000-0005-0000-0000-000066790000}"/>
    <cellStyle name="Normal 84 3 5" xfId="6000" xr:uid="{00000000-0005-0000-0000-000067790000}"/>
    <cellStyle name="Normal 84 3 5 2" xfId="15463" xr:uid="{00000000-0005-0000-0000-000068790000}"/>
    <cellStyle name="Normal 84 3 5 2 2" xfId="32017" xr:uid="{00000000-0005-0000-0000-000069790000}"/>
    <cellStyle name="Normal 84 3 5 3" xfId="23974" xr:uid="{00000000-0005-0000-0000-00006A790000}"/>
    <cellStyle name="Normal 84 4" xfId="6001" xr:uid="{00000000-0005-0000-0000-00006B790000}"/>
    <cellStyle name="Normal 84 4 2" xfId="6002" xr:uid="{00000000-0005-0000-0000-00006C790000}"/>
    <cellStyle name="Normal 84 4 2 2" xfId="6003" xr:uid="{00000000-0005-0000-0000-00006D790000}"/>
    <cellStyle name="Normal 84 4 2 2 2" xfId="6004" xr:uid="{00000000-0005-0000-0000-00006E790000}"/>
    <cellStyle name="Normal 84 4 2 2 2 2" xfId="9863" xr:uid="{00000000-0005-0000-0000-00006F790000}"/>
    <cellStyle name="Normal 84 4 2 2 2 2 2" xfId="19219" xr:uid="{00000000-0005-0000-0000-000070790000}"/>
    <cellStyle name="Normal 84 4 2 2 2 2 2 2" xfId="35793" xr:uid="{00000000-0005-0000-0000-000071790000}"/>
    <cellStyle name="Normal 84 4 2 2 2 2 3" xfId="27746" xr:uid="{00000000-0005-0000-0000-000072790000}"/>
    <cellStyle name="Normal 84 4 2 2 2 3" xfId="15467" xr:uid="{00000000-0005-0000-0000-000073790000}"/>
    <cellStyle name="Normal 84 4 2 2 2 3 2" xfId="32021" xr:uid="{00000000-0005-0000-0000-000074790000}"/>
    <cellStyle name="Normal 84 4 2 2 2 4" xfId="23978" xr:uid="{00000000-0005-0000-0000-000075790000}"/>
    <cellStyle name="Normal 84 4 2 2 3" xfId="9864" xr:uid="{00000000-0005-0000-0000-000076790000}"/>
    <cellStyle name="Normal 84 4 2 2 3 2" xfId="19220" xr:uid="{00000000-0005-0000-0000-000077790000}"/>
    <cellStyle name="Normal 84 4 2 2 3 2 2" xfId="35794" xr:uid="{00000000-0005-0000-0000-000078790000}"/>
    <cellStyle name="Normal 84 4 2 2 3 3" xfId="27747" xr:uid="{00000000-0005-0000-0000-000079790000}"/>
    <cellStyle name="Normal 84 4 2 2 4" xfId="15466" xr:uid="{00000000-0005-0000-0000-00007A790000}"/>
    <cellStyle name="Normal 84 4 2 2 4 2" xfId="32020" xr:uid="{00000000-0005-0000-0000-00007B790000}"/>
    <cellStyle name="Normal 84 4 2 2 5" xfId="23977" xr:uid="{00000000-0005-0000-0000-00007C790000}"/>
    <cellStyle name="Normal 84 4 2 3" xfId="6005" xr:uid="{00000000-0005-0000-0000-00007D790000}"/>
    <cellStyle name="Normal 84 4 2 3 2" xfId="9865" xr:uid="{00000000-0005-0000-0000-00007E790000}"/>
    <cellStyle name="Normal 84 4 2 3 2 2" xfId="19221" xr:uid="{00000000-0005-0000-0000-00007F790000}"/>
    <cellStyle name="Normal 84 4 2 3 2 2 2" xfId="35795" xr:uid="{00000000-0005-0000-0000-000080790000}"/>
    <cellStyle name="Normal 84 4 2 3 2 3" xfId="27748" xr:uid="{00000000-0005-0000-0000-000081790000}"/>
    <cellStyle name="Normal 84 4 2 3 3" xfId="15468" xr:uid="{00000000-0005-0000-0000-000082790000}"/>
    <cellStyle name="Normal 84 4 2 3 3 2" xfId="32022" xr:uid="{00000000-0005-0000-0000-000083790000}"/>
    <cellStyle name="Normal 84 4 2 3 4" xfId="23979" xr:uid="{00000000-0005-0000-0000-000084790000}"/>
    <cellStyle name="Normal 84 4 2 4" xfId="9866" xr:uid="{00000000-0005-0000-0000-000085790000}"/>
    <cellStyle name="Normal 84 4 2 4 2" xfId="19222" xr:uid="{00000000-0005-0000-0000-000086790000}"/>
    <cellStyle name="Normal 84 4 2 4 2 2" xfId="35796" xr:uid="{00000000-0005-0000-0000-000087790000}"/>
    <cellStyle name="Normal 84 4 2 4 3" xfId="27749" xr:uid="{00000000-0005-0000-0000-000088790000}"/>
    <cellStyle name="Normal 84 4 2 5" xfId="15465" xr:uid="{00000000-0005-0000-0000-000089790000}"/>
    <cellStyle name="Normal 84 4 2 5 2" xfId="32019" xr:uid="{00000000-0005-0000-0000-00008A790000}"/>
    <cellStyle name="Normal 84 4 2 6" xfId="23976" xr:uid="{00000000-0005-0000-0000-00008B790000}"/>
    <cellStyle name="Normal 84 4 3" xfId="6006" xr:uid="{00000000-0005-0000-0000-00008C790000}"/>
    <cellStyle name="Normal 84 4 3 2" xfId="6007" xr:uid="{00000000-0005-0000-0000-00008D790000}"/>
    <cellStyle name="Normal 84 4 3 2 2" xfId="9867" xr:uid="{00000000-0005-0000-0000-00008E790000}"/>
    <cellStyle name="Normal 84 4 3 2 2 2" xfId="19223" xr:uid="{00000000-0005-0000-0000-00008F790000}"/>
    <cellStyle name="Normal 84 4 3 2 2 2 2" xfId="35797" xr:uid="{00000000-0005-0000-0000-000090790000}"/>
    <cellStyle name="Normal 84 4 3 2 2 3" xfId="27750" xr:uid="{00000000-0005-0000-0000-000091790000}"/>
    <cellStyle name="Normal 84 4 3 2 3" xfId="15470" xr:uid="{00000000-0005-0000-0000-000092790000}"/>
    <cellStyle name="Normal 84 4 3 2 3 2" xfId="32024" xr:uid="{00000000-0005-0000-0000-000093790000}"/>
    <cellStyle name="Normal 84 4 3 2 4" xfId="23981" xr:uid="{00000000-0005-0000-0000-000094790000}"/>
    <cellStyle name="Normal 84 4 3 3" xfId="9868" xr:uid="{00000000-0005-0000-0000-000095790000}"/>
    <cellStyle name="Normal 84 4 3 3 2" xfId="19224" xr:uid="{00000000-0005-0000-0000-000096790000}"/>
    <cellStyle name="Normal 84 4 3 3 2 2" xfId="35798" xr:uid="{00000000-0005-0000-0000-000097790000}"/>
    <cellStyle name="Normal 84 4 3 3 3" xfId="27751" xr:uid="{00000000-0005-0000-0000-000098790000}"/>
    <cellStyle name="Normal 84 4 3 4" xfId="15469" xr:uid="{00000000-0005-0000-0000-000099790000}"/>
    <cellStyle name="Normal 84 4 3 4 2" xfId="32023" xr:uid="{00000000-0005-0000-0000-00009A790000}"/>
    <cellStyle name="Normal 84 4 3 5" xfId="23980" xr:uid="{00000000-0005-0000-0000-00009B790000}"/>
    <cellStyle name="Normal 84 4 4" xfId="6008" xr:uid="{00000000-0005-0000-0000-00009C790000}"/>
    <cellStyle name="Normal 84 4 4 2" xfId="9869" xr:uid="{00000000-0005-0000-0000-00009D790000}"/>
    <cellStyle name="Normal 84 4 4 2 2" xfId="19225" xr:uid="{00000000-0005-0000-0000-00009E790000}"/>
    <cellStyle name="Normal 84 4 4 2 2 2" xfId="35799" xr:uid="{00000000-0005-0000-0000-00009F790000}"/>
    <cellStyle name="Normal 84 4 4 2 3" xfId="27752" xr:uid="{00000000-0005-0000-0000-0000A0790000}"/>
    <cellStyle name="Normal 84 4 4 3" xfId="15471" xr:uid="{00000000-0005-0000-0000-0000A1790000}"/>
    <cellStyle name="Normal 84 4 4 3 2" xfId="32025" xr:uid="{00000000-0005-0000-0000-0000A2790000}"/>
    <cellStyle name="Normal 84 4 4 4" xfId="23982" xr:uid="{00000000-0005-0000-0000-0000A3790000}"/>
    <cellStyle name="Normal 84 4 5" xfId="9870" xr:uid="{00000000-0005-0000-0000-0000A4790000}"/>
    <cellStyle name="Normal 84 4 5 2" xfId="19226" xr:uid="{00000000-0005-0000-0000-0000A5790000}"/>
    <cellStyle name="Normal 84 4 5 2 2" xfId="35800" xr:uid="{00000000-0005-0000-0000-0000A6790000}"/>
    <cellStyle name="Normal 84 4 5 3" xfId="27753" xr:uid="{00000000-0005-0000-0000-0000A7790000}"/>
    <cellStyle name="Normal 84 4 6" xfId="15464" xr:uid="{00000000-0005-0000-0000-0000A8790000}"/>
    <cellStyle name="Normal 84 4 6 2" xfId="32018" xr:uid="{00000000-0005-0000-0000-0000A9790000}"/>
    <cellStyle name="Normal 84 4 7" xfId="23975" xr:uid="{00000000-0005-0000-0000-0000AA790000}"/>
    <cellStyle name="Normal 84 5" xfId="6009" xr:uid="{00000000-0005-0000-0000-0000AB790000}"/>
    <cellStyle name="Normal 84 5 2" xfId="6010" xr:uid="{00000000-0005-0000-0000-0000AC790000}"/>
    <cellStyle name="Normal 84 5 2 2" xfId="6011" xr:uid="{00000000-0005-0000-0000-0000AD790000}"/>
    <cellStyle name="Normal 84 5 2 2 2" xfId="6012" xr:uid="{00000000-0005-0000-0000-0000AE790000}"/>
    <cellStyle name="Normal 84 5 2 2 2 2" xfId="9871" xr:uid="{00000000-0005-0000-0000-0000AF790000}"/>
    <cellStyle name="Normal 84 5 2 2 2 2 2" xfId="19227" xr:uid="{00000000-0005-0000-0000-0000B0790000}"/>
    <cellStyle name="Normal 84 5 2 2 2 2 2 2" xfId="35801" xr:uid="{00000000-0005-0000-0000-0000B1790000}"/>
    <cellStyle name="Normal 84 5 2 2 2 2 3" xfId="27754" xr:uid="{00000000-0005-0000-0000-0000B2790000}"/>
    <cellStyle name="Normal 84 5 2 2 2 3" xfId="15475" xr:uid="{00000000-0005-0000-0000-0000B3790000}"/>
    <cellStyle name="Normal 84 5 2 2 2 3 2" xfId="32029" xr:uid="{00000000-0005-0000-0000-0000B4790000}"/>
    <cellStyle name="Normal 84 5 2 2 2 4" xfId="23986" xr:uid="{00000000-0005-0000-0000-0000B5790000}"/>
    <cellStyle name="Normal 84 5 2 2 3" xfId="9872" xr:uid="{00000000-0005-0000-0000-0000B6790000}"/>
    <cellStyle name="Normal 84 5 2 2 3 2" xfId="19228" xr:uid="{00000000-0005-0000-0000-0000B7790000}"/>
    <cellStyle name="Normal 84 5 2 2 3 2 2" xfId="35802" xr:uid="{00000000-0005-0000-0000-0000B8790000}"/>
    <cellStyle name="Normal 84 5 2 2 3 3" xfId="27755" xr:uid="{00000000-0005-0000-0000-0000B9790000}"/>
    <cellStyle name="Normal 84 5 2 2 4" xfId="15474" xr:uid="{00000000-0005-0000-0000-0000BA790000}"/>
    <cellStyle name="Normal 84 5 2 2 4 2" xfId="32028" xr:uid="{00000000-0005-0000-0000-0000BB790000}"/>
    <cellStyle name="Normal 84 5 2 2 5" xfId="23985" xr:uid="{00000000-0005-0000-0000-0000BC790000}"/>
    <cellStyle name="Normal 84 5 2 3" xfId="6013" xr:uid="{00000000-0005-0000-0000-0000BD790000}"/>
    <cellStyle name="Normal 84 5 2 3 2" xfId="9873" xr:uid="{00000000-0005-0000-0000-0000BE790000}"/>
    <cellStyle name="Normal 84 5 2 3 2 2" xfId="19229" xr:uid="{00000000-0005-0000-0000-0000BF790000}"/>
    <cellStyle name="Normal 84 5 2 3 2 2 2" xfId="35803" xr:uid="{00000000-0005-0000-0000-0000C0790000}"/>
    <cellStyle name="Normal 84 5 2 3 2 3" xfId="27756" xr:uid="{00000000-0005-0000-0000-0000C1790000}"/>
    <cellStyle name="Normal 84 5 2 3 3" xfId="15476" xr:uid="{00000000-0005-0000-0000-0000C2790000}"/>
    <cellStyle name="Normal 84 5 2 3 3 2" xfId="32030" xr:uid="{00000000-0005-0000-0000-0000C3790000}"/>
    <cellStyle name="Normal 84 5 2 3 4" xfId="23987" xr:uid="{00000000-0005-0000-0000-0000C4790000}"/>
    <cellStyle name="Normal 84 5 2 4" xfId="9874" xr:uid="{00000000-0005-0000-0000-0000C5790000}"/>
    <cellStyle name="Normal 84 5 2 4 2" xfId="19230" xr:uid="{00000000-0005-0000-0000-0000C6790000}"/>
    <cellStyle name="Normal 84 5 2 4 2 2" xfId="35804" xr:uid="{00000000-0005-0000-0000-0000C7790000}"/>
    <cellStyle name="Normal 84 5 2 4 3" xfId="27757" xr:uid="{00000000-0005-0000-0000-0000C8790000}"/>
    <cellStyle name="Normal 84 5 2 5" xfId="15473" xr:uid="{00000000-0005-0000-0000-0000C9790000}"/>
    <cellStyle name="Normal 84 5 2 5 2" xfId="32027" xr:uid="{00000000-0005-0000-0000-0000CA790000}"/>
    <cellStyle name="Normal 84 5 2 6" xfId="23984" xr:uid="{00000000-0005-0000-0000-0000CB790000}"/>
    <cellStyle name="Normal 84 5 3" xfId="6014" xr:uid="{00000000-0005-0000-0000-0000CC790000}"/>
    <cellStyle name="Normal 84 5 3 2" xfId="6015" xr:uid="{00000000-0005-0000-0000-0000CD790000}"/>
    <cellStyle name="Normal 84 5 3 2 2" xfId="9875" xr:uid="{00000000-0005-0000-0000-0000CE790000}"/>
    <cellStyle name="Normal 84 5 3 2 2 2" xfId="19231" xr:uid="{00000000-0005-0000-0000-0000CF790000}"/>
    <cellStyle name="Normal 84 5 3 2 2 2 2" xfId="35805" xr:uid="{00000000-0005-0000-0000-0000D0790000}"/>
    <cellStyle name="Normal 84 5 3 2 2 3" xfId="27758" xr:uid="{00000000-0005-0000-0000-0000D1790000}"/>
    <cellStyle name="Normal 84 5 3 2 3" xfId="15478" xr:uid="{00000000-0005-0000-0000-0000D2790000}"/>
    <cellStyle name="Normal 84 5 3 2 3 2" xfId="32032" xr:uid="{00000000-0005-0000-0000-0000D3790000}"/>
    <cellStyle name="Normal 84 5 3 2 4" xfId="23989" xr:uid="{00000000-0005-0000-0000-0000D4790000}"/>
    <cellStyle name="Normal 84 5 3 3" xfId="9876" xr:uid="{00000000-0005-0000-0000-0000D5790000}"/>
    <cellStyle name="Normal 84 5 3 3 2" xfId="19232" xr:uid="{00000000-0005-0000-0000-0000D6790000}"/>
    <cellStyle name="Normal 84 5 3 3 2 2" xfId="35806" xr:uid="{00000000-0005-0000-0000-0000D7790000}"/>
    <cellStyle name="Normal 84 5 3 3 3" xfId="27759" xr:uid="{00000000-0005-0000-0000-0000D8790000}"/>
    <cellStyle name="Normal 84 5 3 4" xfId="15477" xr:uid="{00000000-0005-0000-0000-0000D9790000}"/>
    <cellStyle name="Normal 84 5 3 4 2" xfId="32031" xr:uid="{00000000-0005-0000-0000-0000DA790000}"/>
    <cellStyle name="Normal 84 5 3 5" xfId="23988" xr:uid="{00000000-0005-0000-0000-0000DB790000}"/>
    <cellStyle name="Normal 84 5 4" xfId="6016" xr:uid="{00000000-0005-0000-0000-0000DC790000}"/>
    <cellStyle name="Normal 84 5 4 2" xfId="9877" xr:uid="{00000000-0005-0000-0000-0000DD790000}"/>
    <cellStyle name="Normal 84 5 4 2 2" xfId="19233" xr:uid="{00000000-0005-0000-0000-0000DE790000}"/>
    <cellStyle name="Normal 84 5 4 2 2 2" xfId="35807" xr:uid="{00000000-0005-0000-0000-0000DF790000}"/>
    <cellStyle name="Normal 84 5 4 2 3" xfId="27760" xr:uid="{00000000-0005-0000-0000-0000E0790000}"/>
    <cellStyle name="Normal 84 5 4 3" xfId="15479" xr:uid="{00000000-0005-0000-0000-0000E1790000}"/>
    <cellStyle name="Normal 84 5 4 3 2" xfId="32033" xr:uid="{00000000-0005-0000-0000-0000E2790000}"/>
    <cellStyle name="Normal 84 5 4 4" xfId="23990" xr:uid="{00000000-0005-0000-0000-0000E3790000}"/>
    <cellStyle name="Normal 84 5 5" xfId="9878" xr:uid="{00000000-0005-0000-0000-0000E4790000}"/>
    <cellStyle name="Normal 84 5 5 2" xfId="19234" xr:uid="{00000000-0005-0000-0000-0000E5790000}"/>
    <cellStyle name="Normal 84 5 5 2 2" xfId="35808" xr:uid="{00000000-0005-0000-0000-0000E6790000}"/>
    <cellStyle name="Normal 84 5 5 3" xfId="27761" xr:uid="{00000000-0005-0000-0000-0000E7790000}"/>
    <cellStyle name="Normal 84 5 6" xfId="15472" xr:uid="{00000000-0005-0000-0000-0000E8790000}"/>
    <cellStyle name="Normal 84 5 6 2" xfId="32026" xr:uid="{00000000-0005-0000-0000-0000E9790000}"/>
    <cellStyle name="Normal 84 5 7" xfId="23983" xr:uid="{00000000-0005-0000-0000-0000EA790000}"/>
    <cellStyle name="Normal 84 6" xfId="6017" xr:uid="{00000000-0005-0000-0000-0000EB790000}"/>
    <cellStyle name="Normal 84 6 2" xfId="6018" xr:uid="{00000000-0005-0000-0000-0000EC790000}"/>
    <cellStyle name="Normal 84 6 2 2" xfId="6019" xr:uid="{00000000-0005-0000-0000-0000ED790000}"/>
    <cellStyle name="Normal 84 6 2 2 2" xfId="9879" xr:uid="{00000000-0005-0000-0000-0000EE790000}"/>
    <cellStyle name="Normal 84 6 2 2 2 2" xfId="19235" xr:uid="{00000000-0005-0000-0000-0000EF790000}"/>
    <cellStyle name="Normal 84 6 2 2 2 2 2" xfId="35809" xr:uid="{00000000-0005-0000-0000-0000F0790000}"/>
    <cellStyle name="Normal 84 6 2 2 2 3" xfId="27762" xr:uid="{00000000-0005-0000-0000-0000F1790000}"/>
    <cellStyle name="Normal 84 6 2 2 3" xfId="15482" xr:uid="{00000000-0005-0000-0000-0000F2790000}"/>
    <cellStyle name="Normal 84 6 2 2 3 2" xfId="32036" xr:uid="{00000000-0005-0000-0000-0000F3790000}"/>
    <cellStyle name="Normal 84 6 2 2 4" xfId="23993" xr:uid="{00000000-0005-0000-0000-0000F4790000}"/>
    <cellStyle name="Normal 84 6 2 3" xfId="9880" xr:uid="{00000000-0005-0000-0000-0000F5790000}"/>
    <cellStyle name="Normal 84 6 2 3 2" xfId="19236" xr:uid="{00000000-0005-0000-0000-0000F6790000}"/>
    <cellStyle name="Normal 84 6 2 3 2 2" xfId="35810" xr:uid="{00000000-0005-0000-0000-0000F7790000}"/>
    <cellStyle name="Normal 84 6 2 3 3" xfId="27763" xr:uid="{00000000-0005-0000-0000-0000F8790000}"/>
    <cellStyle name="Normal 84 6 2 4" xfId="15481" xr:uid="{00000000-0005-0000-0000-0000F9790000}"/>
    <cellStyle name="Normal 84 6 2 4 2" xfId="32035" xr:uid="{00000000-0005-0000-0000-0000FA790000}"/>
    <cellStyle name="Normal 84 6 2 5" xfId="23992" xr:uid="{00000000-0005-0000-0000-0000FB790000}"/>
    <cellStyle name="Normal 84 6 3" xfId="6020" xr:uid="{00000000-0005-0000-0000-0000FC790000}"/>
    <cellStyle name="Normal 84 6 3 2" xfId="9881" xr:uid="{00000000-0005-0000-0000-0000FD790000}"/>
    <cellStyle name="Normal 84 6 3 2 2" xfId="19237" xr:uid="{00000000-0005-0000-0000-0000FE790000}"/>
    <cellStyle name="Normal 84 6 3 2 2 2" xfId="35811" xr:uid="{00000000-0005-0000-0000-0000FF790000}"/>
    <cellStyle name="Normal 84 6 3 2 3" xfId="27764" xr:uid="{00000000-0005-0000-0000-0000007A0000}"/>
    <cellStyle name="Normal 84 6 3 3" xfId="15483" xr:uid="{00000000-0005-0000-0000-0000017A0000}"/>
    <cellStyle name="Normal 84 6 3 3 2" xfId="32037" xr:uid="{00000000-0005-0000-0000-0000027A0000}"/>
    <cellStyle name="Normal 84 6 3 4" xfId="23994" xr:uid="{00000000-0005-0000-0000-0000037A0000}"/>
    <cellStyle name="Normal 84 6 4" xfId="9882" xr:uid="{00000000-0005-0000-0000-0000047A0000}"/>
    <cellStyle name="Normal 84 6 4 2" xfId="19238" xr:uid="{00000000-0005-0000-0000-0000057A0000}"/>
    <cellStyle name="Normal 84 6 4 2 2" xfId="35812" xr:uid="{00000000-0005-0000-0000-0000067A0000}"/>
    <cellStyle name="Normal 84 6 4 3" xfId="27765" xr:uid="{00000000-0005-0000-0000-0000077A0000}"/>
    <cellStyle name="Normal 84 6 5" xfId="15480" xr:uid="{00000000-0005-0000-0000-0000087A0000}"/>
    <cellStyle name="Normal 84 6 5 2" xfId="32034" xr:uid="{00000000-0005-0000-0000-0000097A0000}"/>
    <cellStyle name="Normal 84 6 6" xfId="23991" xr:uid="{00000000-0005-0000-0000-00000A7A0000}"/>
    <cellStyle name="Normal 84 7" xfId="6021" xr:uid="{00000000-0005-0000-0000-00000B7A0000}"/>
    <cellStyle name="Normal 84 7 2" xfId="6022" xr:uid="{00000000-0005-0000-0000-00000C7A0000}"/>
    <cellStyle name="Normal 84 7 2 2" xfId="9883" xr:uid="{00000000-0005-0000-0000-00000D7A0000}"/>
    <cellStyle name="Normal 84 7 2 2 2" xfId="19239" xr:uid="{00000000-0005-0000-0000-00000E7A0000}"/>
    <cellStyle name="Normal 84 7 2 2 2 2" xfId="35813" xr:uid="{00000000-0005-0000-0000-00000F7A0000}"/>
    <cellStyle name="Normal 84 7 2 2 3" xfId="27766" xr:uid="{00000000-0005-0000-0000-0000107A0000}"/>
    <cellStyle name="Normal 84 7 2 3" xfId="15485" xr:uid="{00000000-0005-0000-0000-0000117A0000}"/>
    <cellStyle name="Normal 84 7 2 3 2" xfId="32039" xr:uid="{00000000-0005-0000-0000-0000127A0000}"/>
    <cellStyle name="Normal 84 7 2 4" xfId="23996" xr:uid="{00000000-0005-0000-0000-0000137A0000}"/>
    <cellStyle name="Normal 84 7 3" xfId="9884" xr:uid="{00000000-0005-0000-0000-0000147A0000}"/>
    <cellStyle name="Normal 84 7 3 2" xfId="19240" xr:uid="{00000000-0005-0000-0000-0000157A0000}"/>
    <cellStyle name="Normal 84 7 3 2 2" xfId="35814" xr:uid="{00000000-0005-0000-0000-0000167A0000}"/>
    <cellStyle name="Normal 84 7 3 3" xfId="27767" xr:uid="{00000000-0005-0000-0000-0000177A0000}"/>
    <cellStyle name="Normal 84 7 4" xfId="15484" xr:uid="{00000000-0005-0000-0000-0000187A0000}"/>
    <cellStyle name="Normal 84 7 4 2" xfId="32038" xr:uid="{00000000-0005-0000-0000-0000197A0000}"/>
    <cellStyle name="Normal 84 7 5" xfId="23995" xr:uid="{00000000-0005-0000-0000-00001A7A0000}"/>
    <cellStyle name="Normal 84 8" xfId="6023" xr:uid="{00000000-0005-0000-0000-00001B7A0000}"/>
    <cellStyle name="Normal 84 8 2" xfId="9885" xr:uid="{00000000-0005-0000-0000-00001C7A0000}"/>
    <cellStyle name="Normal 84 8 2 2" xfId="19241" xr:uid="{00000000-0005-0000-0000-00001D7A0000}"/>
    <cellStyle name="Normal 84 8 2 2 2" xfId="35815" xr:uid="{00000000-0005-0000-0000-00001E7A0000}"/>
    <cellStyle name="Normal 84 8 2 3" xfId="27768" xr:uid="{00000000-0005-0000-0000-00001F7A0000}"/>
    <cellStyle name="Normal 84 8 3" xfId="15486" xr:uid="{00000000-0005-0000-0000-0000207A0000}"/>
    <cellStyle name="Normal 84 8 3 2" xfId="32040" xr:uid="{00000000-0005-0000-0000-0000217A0000}"/>
    <cellStyle name="Normal 84 8 4" xfId="23997" xr:uid="{00000000-0005-0000-0000-0000227A0000}"/>
    <cellStyle name="Normal 84 9" xfId="9886" xr:uid="{00000000-0005-0000-0000-0000237A0000}"/>
    <cellStyle name="Normal 84 9 2" xfId="19242" xr:uid="{00000000-0005-0000-0000-0000247A0000}"/>
    <cellStyle name="Normal 84 9 2 2" xfId="35816" xr:uid="{00000000-0005-0000-0000-0000257A0000}"/>
    <cellStyle name="Normal 84 9 3" xfId="27769" xr:uid="{00000000-0005-0000-0000-0000267A0000}"/>
    <cellStyle name="Normal 85" xfId="6024" xr:uid="{00000000-0005-0000-0000-0000277A0000}"/>
    <cellStyle name="Normal 85 10" xfId="15487" xr:uid="{00000000-0005-0000-0000-0000287A0000}"/>
    <cellStyle name="Normal 85 10 2" xfId="32041" xr:uid="{00000000-0005-0000-0000-0000297A0000}"/>
    <cellStyle name="Normal 85 11" xfId="23998" xr:uid="{00000000-0005-0000-0000-00002A7A0000}"/>
    <cellStyle name="Normal 85 2" xfId="6025" xr:uid="{00000000-0005-0000-0000-00002B7A0000}"/>
    <cellStyle name="Normal 85 2 2" xfId="6026" xr:uid="{00000000-0005-0000-0000-00002C7A0000}"/>
    <cellStyle name="Normal 85 2 3" xfId="15488" xr:uid="{00000000-0005-0000-0000-00002D7A0000}"/>
    <cellStyle name="Normal 85 2 3 2" xfId="32042" xr:uid="{00000000-0005-0000-0000-00002E7A0000}"/>
    <cellStyle name="Normal 85 2 4" xfId="23999" xr:uid="{00000000-0005-0000-0000-00002F7A0000}"/>
    <cellStyle name="Normal 85 3" xfId="6027" xr:uid="{00000000-0005-0000-0000-0000307A0000}"/>
    <cellStyle name="Normal 85 3 2" xfId="6028" xr:uid="{00000000-0005-0000-0000-0000317A0000}"/>
    <cellStyle name="Normal 85 3 2 2" xfId="6029" xr:uid="{00000000-0005-0000-0000-0000327A0000}"/>
    <cellStyle name="Normal 85 3 2 2 2" xfId="6030" xr:uid="{00000000-0005-0000-0000-0000337A0000}"/>
    <cellStyle name="Normal 85 3 2 2 2 2" xfId="9887" xr:uid="{00000000-0005-0000-0000-0000347A0000}"/>
    <cellStyle name="Normal 85 3 2 2 2 2 2" xfId="19243" xr:uid="{00000000-0005-0000-0000-0000357A0000}"/>
    <cellStyle name="Normal 85 3 2 2 2 2 2 2" xfId="35817" xr:uid="{00000000-0005-0000-0000-0000367A0000}"/>
    <cellStyle name="Normal 85 3 2 2 2 2 3" xfId="27770" xr:uid="{00000000-0005-0000-0000-0000377A0000}"/>
    <cellStyle name="Normal 85 3 2 2 2 3" xfId="15491" xr:uid="{00000000-0005-0000-0000-0000387A0000}"/>
    <cellStyle name="Normal 85 3 2 2 2 3 2" xfId="32045" xr:uid="{00000000-0005-0000-0000-0000397A0000}"/>
    <cellStyle name="Normal 85 3 2 2 2 4" xfId="24002" xr:uid="{00000000-0005-0000-0000-00003A7A0000}"/>
    <cellStyle name="Normal 85 3 2 2 3" xfId="9888" xr:uid="{00000000-0005-0000-0000-00003B7A0000}"/>
    <cellStyle name="Normal 85 3 2 2 3 2" xfId="19244" xr:uid="{00000000-0005-0000-0000-00003C7A0000}"/>
    <cellStyle name="Normal 85 3 2 2 3 2 2" xfId="35818" xr:uid="{00000000-0005-0000-0000-00003D7A0000}"/>
    <cellStyle name="Normal 85 3 2 2 3 3" xfId="27771" xr:uid="{00000000-0005-0000-0000-00003E7A0000}"/>
    <cellStyle name="Normal 85 3 2 2 4" xfId="15490" xr:uid="{00000000-0005-0000-0000-00003F7A0000}"/>
    <cellStyle name="Normal 85 3 2 2 4 2" xfId="32044" xr:uid="{00000000-0005-0000-0000-0000407A0000}"/>
    <cellStyle name="Normal 85 3 2 2 5" xfId="24001" xr:uid="{00000000-0005-0000-0000-0000417A0000}"/>
    <cellStyle name="Normal 85 3 2 3" xfId="6031" xr:uid="{00000000-0005-0000-0000-0000427A0000}"/>
    <cellStyle name="Normal 85 3 2 3 2" xfId="9889" xr:uid="{00000000-0005-0000-0000-0000437A0000}"/>
    <cellStyle name="Normal 85 3 2 3 2 2" xfId="19245" xr:uid="{00000000-0005-0000-0000-0000447A0000}"/>
    <cellStyle name="Normal 85 3 2 3 2 2 2" xfId="35819" xr:uid="{00000000-0005-0000-0000-0000457A0000}"/>
    <cellStyle name="Normal 85 3 2 3 2 3" xfId="27772" xr:uid="{00000000-0005-0000-0000-0000467A0000}"/>
    <cellStyle name="Normal 85 3 2 3 3" xfId="15492" xr:uid="{00000000-0005-0000-0000-0000477A0000}"/>
    <cellStyle name="Normal 85 3 2 3 3 2" xfId="32046" xr:uid="{00000000-0005-0000-0000-0000487A0000}"/>
    <cellStyle name="Normal 85 3 2 3 4" xfId="24003" xr:uid="{00000000-0005-0000-0000-0000497A0000}"/>
    <cellStyle name="Normal 85 3 2 4" xfId="9890" xr:uid="{00000000-0005-0000-0000-00004A7A0000}"/>
    <cellStyle name="Normal 85 3 2 4 2" xfId="19246" xr:uid="{00000000-0005-0000-0000-00004B7A0000}"/>
    <cellStyle name="Normal 85 3 2 4 2 2" xfId="35820" xr:uid="{00000000-0005-0000-0000-00004C7A0000}"/>
    <cellStyle name="Normal 85 3 2 4 3" xfId="27773" xr:uid="{00000000-0005-0000-0000-00004D7A0000}"/>
    <cellStyle name="Normal 85 3 2 5" xfId="15489" xr:uid="{00000000-0005-0000-0000-00004E7A0000}"/>
    <cellStyle name="Normal 85 3 2 5 2" xfId="32043" xr:uid="{00000000-0005-0000-0000-00004F7A0000}"/>
    <cellStyle name="Normal 85 3 2 6" xfId="24000" xr:uid="{00000000-0005-0000-0000-0000507A0000}"/>
    <cellStyle name="Normal 85 3 3" xfId="6032" xr:uid="{00000000-0005-0000-0000-0000517A0000}"/>
    <cellStyle name="Normal 85 3 3 2" xfId="6033" xr:uid="{00000000-0005-0000-0000-0000527A0000}"/>
    <cellStyle name="Normal 85 3 3 2 2" xfId="9891" xr:uid="{00000000-0005-0000-0000-0000537A0000}"/>
    <cellStyle name="Normal 85 3 3 2 2 2" xfId="19247" xr:uid="{00000000-0005-0000-0000-0000547A0000}"/>
    <cellStyle name="Normal 85 3 3 2 2 2 2" xfId="35821" xr:uid="{00000000-0005-0000-0000-0000557A0000}"/>
    <cellStyle name="Normal 85 3 3 2 2 3" xfId="27774" xr:uid="{00000000-0005-0000-0000-0000567A0000}"/>
    <cellStyle name="Normal 85 3 3 2 3" xfId="15494" xr:uid="{00000000-0005-0000-0000-0000577A0000}"/>
    <cellStyle name="Normal 85 3 3 2 3 2" xfId="32048" xr:uid="{00000000-0005-0000-0000-0000587A0000}"/>
    <cellStyle name="Normal 85 3 3 2 4" xfId="24005" xr:uid="{00000000-0005-0000-0000-0000597A0000}"/>
    <cellStyle name="Normal 85 3 3 3" xfId="9892" xr:uid="{00000000-0005-0000-0000-00005A7A0000}"/>
    <cellStyle name="Normal 85 3 3 3 2" xfId="19248" xr:uid="{00000000-0005-0000-0000-00005B7A0000}"/>
    <cellStyle name="Normal 85 3 3 3 2 2" xfId="35822" xr:uid="{00000000-0005-0000-0000-00005C7A0000}"/>
    <cellStyle name="Normal 85 3 3 3 3" xfId="27775" xr:uid="{00000000-0005-0000-0000-00005D7A0000}"/>
    <cellStyle name="Normal 85 3 3 4" xfId="15493" xr:uid="{00000000-0005-0000-0000-00005E7A0000}"/>
    <cellStyle name="Normal 85 3 3 4 2" xfId="32047" xr:uid="{00000000-0005-0000-0000-00005F7A0000}"/>
    <cellStyle name="Normal 85 3 3 5" xfId="24004" xr:uid="{00000000-0005-0000-0000-0000607A0000}"/>
    <cellStyle name="Normal 85 3 4" xfId="6034" xr:uid="{00000000-0005-0000-0000-0000617A0000}"/>
    <cellStyle name="Normal 85 3 4 2" xfId="9893" xr:uid="{00000000-0005-0000-0000-0000627A0000}"/>
    <cellStyle name="Normal 85 3 4 2 2" xfId="19249" xr:uid="{00000000-0005-0000-0000-0000637A0000}"/>
    <cellStyle name="Normal 85 3 4 2 2 2" xfId="35823" xr:uid="{00000000-0005-0000-0000-0000647A0000}"/>
    <cellStyle name="Normal 85 3 4 2 3" xfId="27776" xr:uid="{00000000-0005-0000-0000-0000657A0000}"/>
    <cellStyle name="Normal 85 3 4 3" xfId="15495" xr:uid="{00000000-0005-0000-0000-0000667A0000}"/>
    <cellStyle name="Normal 85 3 4 3 2" xfId="32049" xr:uid="{00000000-0005-0000-0000-0000677A0000}"/>
    <cellStyle name="Normal 85 3 4 4" xfId="24006" xr:uid="{00000000-0005-0000-0000-0000687A0000}"/>
    <cellStyle name="Normal 85 3 5" xfId="6035" xr:uid="{00000000-0005-0000-0000-0000697A0000}"/>
    <cellStyle name="Normal 85 3 5 2" xfId="15496" xr:uid="{00000000-0005-0000-0000-00006A7A0000}"/>
    <cellStyle name="Normal 85 3 5 2 2" xfId="32050" xr:uid="{00000000-0005-0000-0000-00006B7A0000}"/>
    <cellStyle name="Normal 85 3 5 3" xfId="24007" xr:uid="{00000000-0005-0000-0000-00006C7A0000}"/>
    <cellStyle name="Normal 85 4" xfId="6036" xr:uid="{00000000-0005-0000-0000-00006D7A0000}"/>
    <cellStyle name="Normal 85 4 2" xfId="6037" xr:uid="{00000000-0005-0000-0000-00006E7A0000}"/>
    <cellStyle name="Normal 85 4 2 2" xfId="6038" xr:uid="{00000000-0005-0000-0000-00006F7A0000}"/>
    <cellStyle name="Normal 85 4 2 2 2" xfId="6039" xr:uid="{00000000-0005-0000-0000-0000707A0000}"/>
    <cellStyle name="Normal 85 4 2 2 2 2" xfId="9894" xr:uid="{00000000-0005-0000-0000-0000717A0000}"/>
    <cellStyle name="Normal 85 4 2 2 2 2 2" xfId="19250" xr:uid="{00000000-0005-0000-0000-0000727A0000}"/>
    <cellStyle name="Normal 85 4 2 2 2 2 2 2" xfId="35824" xr:uid="{00000000-0005-0000-0000-0000737A0000}"/>
    <cellStyle name="Normal 85 4 2 2 2 2 3" xfId="27777" xr:uid="{00000000-0005-0000-0000-0000747A0000}"/>
    <cellStyle name="Normal 85 4 2 2 2 3" xfId="15500" xr:uid="{00000000-0005-0000-0000-0000757A0000}"/>
    <cellStyle name="Normal 85 4 2 2 2 3 2" xfId="32054" xr:uid="{00000000-0005-0000-0000-0000767A0000}"/>
    <cellStyle name="Normal 85 4 2 2 2 4" xfId="24011" xr:uid="{00000000-0005-0000-0000-0000777A0000}"/>
    <cellStyle name="Normal 85 4 2 2 3" xfId="9895" xr:uid="{00000000-0005-0000-0000-0000787A0000}"/>
    <cellStyle name="Normal 85 4 2 2 3 2" xfId="19251" xr:uid="{00000000-0005-0000-0000-0000797A0000}"/>
    <cellStyle name="Normal 85 4 2 2 3 2 2" xfId="35825" xr:uid="{00000000-0005-0000-0000-00007A7A0000}"/>
    <cellStyle name="Normal 85 4 2 2 3 3" xfId="27778" xr:uid="{00000000-0005-0000-0000-00007B7A0000}"/>
    <cellStyle name="Normal 85 4 2 2 4" xfId="15499" xr:uid="{00000000-0005-0000-0000-00007C7A0000}"/>
    <cellStyle name="Normal 85 4 2 2 4 2" xfId="32053" xr:uid="{00000000-0005-0000-0000-00007D7A0000}"/>
    <cellStyle name="Normal 85 4 2 2 5" xfId="24010" xr:uid="{00000000-0005-0000-0000-00007E7A0000}"/>
    <cellStyle name="Normal 85 4 2 3" xfId="6040" xr:uid="{00000000-0005-0000-0000-00007F7A0000}"/>
    <cellStyle name="Normal 85 4 2 3 2" xfId="9896" xr:uid="{00000000-0005-0000-0000-0000807A0000}"/>
    <cellStyle name="Normal 85 4 2 3 2 2" xfId="19252" xr:uid="{00000000-0005-0000-0000-0000817A0000}"/>
    <cellStyle name="Normal 85 4 2 3 2 2 2" xfId="35826" xr:uid="{00000000-0005-0000-0000-0000827A0000}"/>
    <cellStyle name="Normal 85 4 2 3 2 3" xfId="27779" xr:uid="{00000000-0005-0000-0000-0000837A0000}"/>
    <cellStyle name="Normal 85 4 2 3 3" xfId="15501" xr:uid="{00000000-0005-0000-0000-0000847A0000}"/>
    <cellStyle name="Normal 85 4 2 3 3 2" xfId="32055" xr:uid="{00000000-0005-0000-0000-0000857A0000}"/>
    <cellStyle name="Normal 85 4 2 3 4" xfId="24012" xr:uid="{00000000-0005-0000-0000-0000867A0000}"/>
    <cellStyle name="Normal 85 4 2 4" xfId="9897" xr:uid="{00000000-0005-0000-0000-0000877A0000}"/>
    <cellStyle name="Normal 85 4 2 4 2" xfId="19253" xr:uid="{00000000-0005-0000-0000-0000887A0000}"/>
    <cellStyle name="Normal 85 4 2 4 2 2" xfId="35827" xr:uid="{00000000-0005-0000-0000-0000897A0000}"/>
    <cellStyle name="Normal 85 4 2 4 3" xfId="27780" xr:uid="{00000000-0005-0000-0000-00008A7A0000}"/>
    <cellStyle name="Normal 85 4 2 5" xfId="15498" xr:uid="{00000000-0005-0000-0000-00008B7A0000}"/>
    <cellStyle name="Normal 85 4 2 5 2" xfId="32052" xr:uid="{00000000-0005-0000-0000-00008C7A0000}"/>
    <cellStyle name="Normal 85 4 2 6" xfId="24009" xr:uid="{00000000-0005-0000-0000-00008D7A0000}"/>
    <cellStyle name="Normal 85 4 3" xfId="6041" xr:uid="{00000000-0005-0000-0000-00008E7A0000}"/>
    <cellStyle name="Normal 85 4 3 2" xfId="6042" xr:uid="{00000000-0005-0000-0000-00008F7A0000}"/>
    <cellStyle name="Normal 85 4 3 2 2" xfId="9898" xr:uid="{00000000-0005-0000-0000-0000907A0000}"/>
    <cellStyle name="Normal 85 4 3 2 2 2" xfId="19254" xr:uid="{00000000-0005-0000-0000-0000917A0000}"/>
    <cellStyle name="Normal 85 4 3 2 2 2 2" xfId="35828" xr:uid="{00000000-0005-0000-0000-0000927A0000}"/>
    <cellStyle name="Normal 85 4 3 2 2 3" xfId="27781" xr:uid="{00000000-0005-0000-0000-0000937A0000}"/>
    <cellStyle name="Normal 85 4 3 2 3" xfId="15503" xr:uid="{00000000-0005-0000-0000-0000947A0000}"/>
    <cellStyle name="Normal 85 4 3 2 3 2" xfId="32057" xr:uid="{00000000-0005-0000-0000-0000957A0000}"/>
    <cellStyle name="Normal 85 4 3 2 4" xfId="24014" xr:uid="{00000000-0005-0000-0000-0000967A0000}"/>
    <cellStyle name="Normal 85 4 3 3" xfId="9899" xr:uid="{00000000-0005-0000-0000-0000977A0000}"/>
    <cellStyle name="Normal 85 4 3 3 2" xfId="19255" xr:uid="{00000000-0005-0000-0000-0000987A0000}"/>
    <cellStyle name="Normal 85 4 3 3 2 2" xfId="35829" xr:uid="{00000000-0005-0000-0000-0000997A0000}"/>
    <cellStyle name="Normal 85 4 3 3 3" xfId="27782" xr:uid="{00000000-0005-0000-0000-00009A7A0000}"/>
    <cellStyle name="Normal 85 4 3 4" xfId="15502" xr:uid="{00000000-0005-0000-0000-00009B7A0000}"/>
    <cellStyle name="Normal 85 4 3 4 2" xfId="32056" xr:uid="{00000000-0005-0000-0000-00009C7A0000}"/>
    <cellStyle name="Normal 85 4 3 5" xfId="24013" xr:uid="{00000000-0005-0000-0000-00009D7A0000}"/>
    <cellStyle name="Normal 85 4 4" xfId="6043" xr:uid="{00000000-0005-0000-0000-00009E7A0000}"/>
    <cellStyle name="Normal 85 4 4 2" xfId="9900" xr:uid="{00000000-0005-0000-0000-00009F7A0000}"/>
    <cellStyle name="Normal 85 4 4 2 2" xfId="19256" xr:uid="{00000000-0005-0000-0000-0000A07A0000}"/>
    <cellStyle name="Normal 85 4 4 2 2 2" xfId="35830" xr:uid="{00000000-0005-0000-0000-0000A17A0000}"/>
    <cellStyle name="Normal 85 4 4 2 3" xfId="27783" xr:uid="{00000000-0005-0000-0000-0000A27A0000}"/>
    <cellStyle name="Normal 85 4 4 3" xfId="15504" xr:uid="{00000000-0005-0000-0000-0000A37A0000}"/>
    <cellStyle name="Normal 85 4 4 3 2" xfId="32058" xr:uid="{00000000-0005-0000-0000-0000A47A0000}"/>
    <cellStyle name="Normal 85 4 4 4" xfId="24015" xr:uid="{00000000-0005-0000-0000-0000A57A0000}"/>
    <cellStyle name="Normal 85 4 5" xfId="9901" xr:uid="{00000000-0005-0000-0000-0000A67A0000}"/>
    <cellStyle name="Normal 85 4 5 2" xfId="19257" xr:uid="{00000000-0005-0000-0000-0000A77A0000}"/>
    <cellStyle name="Normal 85 4 5 2 2" xfId="35831" xr:uid="{00000000-0005-0000-0000-0000A87A0000}"/>
    <cellStyle name="Normal 85 4 5 3" xfId="27784" xr:uid="{00000000-0005-0000-0000-0000A97A0000}"/>
    <cellStyle name="Normal 85 4 6" xfId="15497" xr:uid="{00000000-0005-0000-0000-0000AA7A0000}"/>
    <cellStyle name="Normal 85 4 6 2" xfId="32051" xr:uid="{00000000-0005-0000-0000-0000AB7A0000}"/>
    <cellStyle name="Normal 85 4 7" xfId="24008" xr:uid="{00000000-0005-0000-0000-0000AC7A0000}"/>
    <cellStyle name="Normal 85 5" xfId="6044" xr:uid="{00000000-0005-0000-0000-0000AD7A0000}"/>
    <cellStyle name="Normal 85 5 2" xfId="6045" xr:uid="{00000000-0005-0000-0000-0000AE7A0000}"/>
    <cellStyle name="Normal 85 5 2 2" xfId="6046" xr:uid="{00000000-0005-0000-0000-0000AF7A0000}"/>
    <cellStyle name="Normal 85 5 2 2 2" xfId="6047" xr:uid="{00000000-0005-0000-0000-0000B07A0000}"/>
    <cellStyle name="Normal 85 5 2 2 2 2" xfId="9902" xr:uid="{00000000-0005-0000-0000-0000B17A0000}"/>
    <cellStyle name="Normal 85 5 2 2 2 2 2" xfId="19258" xr:uid="{00000000-0005-0000-0000-0000B27A0000}"/>
    <cellStyle name="Normal 85 5 2 2 2 2 2 2" xfId="35832" xr:uid="{00000000-0005-0000-0000-0000B37A0000}"/>
    <cellStyle name="Normal 85 5 2 2 2 2 3" xfId="27785" xr:uid="{00000000-0005-0000-0000-0000B47A0000}"/>
    <cellStyle name="Normal 85 5 2 2 2 3" xfId="15508" xr:uid="{00000000-0005-0000-0000-0000B57A0000}"/>
    <cellStyle name="Normal 85 5 2 2 2 3 2" xfId="32062" xr:uid="{00000000-0005-0000-0000-0000B67A0000}"/>
    <cellStyle name="Normal 85 5 2 2 2 4" xfId="24019" xr:uid="{00000000-0005-0000-0000-0000B77A0000}"/>
    <cellStyle name="Normal 85 5 2 2 3" xfId="9903" xr:uid="{00000000-0005-0000-0000-0000B87A0000}"/>
    <cellStyle name="Normal 85 5 2 2 3 2" xfId="19259" xr:uid="{00000000-0005-0000-0000-0000B97A0000}"/>
    <cellStyle name="Normal 85 5 2 2 3 2 2" xfId="35833" xr:uid="{00000000-0005-0000-0000-0000BA7A0000}"/>
    <cellStyle name="Normal 85 5 2 2 3 3" xfId="27786" xr:uid="{00000000-0005-0000-0000-0000BB7A0000}"/>
    <cellStyle name="Normal 85 5 2 2 4" xfId="15507" xr:uid="{00000000-0005-0000-0000-0000BC7A0000}"/>
    <cellStyle name="Normal 85 5 2 2 4 2" xfId="32061" xr:uid="{00000000-0005-0000-0000-0000BD7A0000}"/>
    <cellStyle name="Normal 85 5 2 2 5" xfId="24018" xr:uid="{00000000-0005-0000-0000-0000BE7A0000}"/>
    <cellStyle name="Normal 85 5 2 3" xfId="6048" xr:uid="{00000000-0005-0000-0000-0000BF7A0000}"/>
    <cellStyle name="Normal 85 5 2 3 2" xfId="9904" xr:uid="{00000000-0005-0000-0000-0000C07A0000}"/>
    <cellStyle name="Normal 85 5 2 3 2 2" xfId="19260" xr:uid="{00000000-0005-0000-0000-0000C17A0000}"/>
    <cellStyle name="Normal 85 5 2 3 2 2 2" xfId="35834" xr:uid="{00000000-0005-0000-0000-0000C27A0000}"/>
    <cellStyle name="Normal 85 5 2 3 2 3" xfId="27787" xr:uid="{00000000-0005-0000-0000-0000C37A0000}"/>
    <cellStyle name="Normal 85 5 2 3 3" xfId="15509" xr:uid="{00000000-0005-0000-0000-0000C47A0000}"/>
    <cellStyle name="Normal 85 5 2 3 3 2" xfId="32063" xr:uid="{00000000-0005-0000-0000-0000C57A0000}"/>
    <cellStyle name="Normal 85 5 2 3 4" xfId="24020" xr:uid="{00000000-0005-0000-0000-0000C67A0000}"/>
    <cellStyle name="Normal 85 5 2 4" xfId="9905" xr:uid="{00000000-0005-0000-0000-0000C77A0000}"/>
    <cellStyle name="Normal 85 5 2 4 2" xfId="19261" xr:uid="{00000000-0005-0000-0000-0000C87A0000}"/>
    <cellStyle name="Normal 85 5 2 4 2 2" xfId="35835" xr:uid="{00000000-0005-0000-0000-0000C97A0000}"/>
    <cellStyle name="Normal 85 5 2 4 3" xfId="27788" xr:uid="{00000000-0005-0000-0000-0000CA7A0000}"/>
    <cellStyle name="Normal 85 5 2 5" xfId="15506" xr:uid="{00000000-0005-0000-0000-0000CB7A0000}"/>
    <cellStyle name="Normal 85 5 2 5 2" xfId="32060" xr:uid="{00000000-0005-0000-0000-0000CC7A0000}"/>
    <cellStyle name="Normal 85 5 2 6" xfId="24017" xr:uid="{00000000-0005-0000-0000-0000CD7A0000}"/>
    <cellStyle name="Normal 85 5 3" xfId="6049" xr:uid="{00000000-0005-0000-0000-0000CE7A0000}"/>
    <cellStyle name="Normal 85 5 3 2" xfId="6050" xr:uid="{00000000-0005-0000-0000-0000CF7A0000}"/>
    <cellStyle name="Normal 85 5 3 2 2" xfId="9906" xr:uid="{00000000-0005-0000-0000-0000D07A0000}"/>
    <cellStyle name="Normal 85 5 3 2 2 2" xfId="19262" xr:uid="{00000000-0005-0000-0000-0000D17A0000}"/>
    <cellStyle name="Normal 85 5 3 2 2 2 2" xfId="35836" xr:uid="{00000000-0005-0000-0000-0000D27A0000}"/>
    <cellStyle name="Normal 85 5 3 2 2 3" xfId="27789" xr:uid="{00000000-0005-0000-0000-0000D37A0000}"/>
    <cellStyle name="Normal 85 5 3 2 3" xfId="15511" xr:uid="{00000000-0005-0000-0000-0000D47A0000}"/>
    <cellStyle name="Normal 85 5 3 2 3 2" xfId="32065" xr:uid="{00000000-0005-0000-0000-0000D57A0000}"/>
    <cellStyle name="Normal 85 5 3 2 4" xfId="24022" xr:uid="{00000000-0005-0000-0000-0000D67A0000}"/>
    <cellStyle name="Normal 85 5 3 3" xfId="9907" xr:uid="{00000000-0005-0000-0000-0000D77A0000}"/>
    <cellStyle name="Normal 85 5 3 3 2" xfId="19263" xr:uid="{00000000-0005-0000-0000-0000D87A0000}"/>
    <cellStyle name="Normal 85 5 3 3 2 2" xfId="35837" xr:uid="{00000000-0005-0000-0000-0000D97A0000}"/>
    <cellStyle name="Normal 85 5 3 3 3" xfId="27790" xr:uid="{00000000-0005-0000-0000-0000DA7A0000}"/>
    <cellStyle name="Normal 85 5 3 4" xfId="15510" xr:uid="{00000000-0005-0000-0000-0000DB7A0000}"/>
    <cellStyle name="Normal 85 5 3 4 2" xfId="32064" xr:uid="{00000000-0005-0000-0000-0000DC7A0000}"/>
    <cellStyle name="Normal 85 5 3 5" xfId="24021" xr:uid="{00000000-0005-0000-0000-0000DD7A0000}"/>
    <cellStyle name="Normal 85 5 4" xfId="6051" xr:uid="{00000000-0005-0000-0000-0000DE7A0000}"/>
    <cellStyle name="Normal 85 5 4 2" xfId="9908" xr:uid="{00000000-0005-0000-0000-0000DF7A0000}"/>
    <cellStyle name="Normal 85 5 4 2 2" xfId="19264" xr:uid="{00000000-0005-0000-0000-0000E07A0000}"/>
    <cellStyle name="Normal 85 5 4 2 2 2" xfId="35838" xr:uid="{00000000-0005-0000-0000-0000E17A0000}"/>
    <cellStyle name="Normal 85 5 4 2 3" xfId="27791" xr:uid="{00000000-0005-0000-0000-0000E27A0000}"/>
    <cellStyle name="Normal 85 5 4 3" xfId="15512" xr:uid="{00000000-0005-0000-0000-0000E37A0000}"/>
    <cellStyle name="Normal 85 5 4 3 2" xfId="32066" xr:uid="{00000000-0005-0000-0000-0000E47A0000}"/>
    <cellStyle name="Normal 85 5 4 4" xfId="24023" xr:uid="{00000000-0005-0000-0000-0000E57A0000}"/>
    <cellStyle name="Normal 85 5 5" xfId="9909" xr:uid="{00000000-0005-0000-0000-0000E67A0000}"/>
    <cellStyle name="Normal 85 5 5 2" xfId="19265" xr:uid="{00000000-0005-0000-0000-0000E77A0000}"/>
    <cellStyle name="Normal 85 5 5 2 2" xfId="35839" xr:uid="{00000000-0005-0000-0000-0000E87A0000}"/>
    <cellStyle name="Normal 85 5 5 3" xfId="27792" xr:uid="{00000000-0005-0000-0000-0000E97A0000}"/>
    <cellStyle name="Normal 85 5 6" xfId="15505" xr:uid="{00000000-0005-0000-0000-0000EA7A0000}"/>
    <cellStyle name="Normal 85 5 6 2" xfId="32059" xr:uid="{00000000-0005-0000-0000-0000EB7A0000}"/>
    <cellStyle name="Normal 85 5 7" xfId="24016" xr:uid="{00000000-0005-0000-0000-0000EC7A0000}"/>
    <cellStyle name="Normal 85 6" xfId="6052" xr:uid="{00000000-0005-0000-0000-0000ED7A0000}"/>
    <cellStyle name="Normal 85 6 2" xfId="6053" xr:uid="{00000000-0005-0000-0000-0000EE7A0000}"/>
    <cellStyle name="Normal 85 6 2 2" xfId="6054" xr:uid="{00000000-0005-0000-0000-0000EF7A0000}"/>
    <cellStyle name="Normal 85 6 2 2 2" xfId="9910" xr:uid="{00000000-0005-0000-0000-0000F07A0000}"/>
    <cellStyle name="Normal 85 6 2 2 2 2" xfId="19266" xr:uid="{00000000-0005-0000-0000-0000F17A0000}"/>
    <cellStyle name="Normal 85 6 2 2 2 2 2" xfId="35840" xr:uid="{00000000-0005-0000-0000-0000F27A0000}"/>
    <cellStyle name="Normal 85 6 2 2 2 3" xfId="27793" xr:uid="{00000000-0005-0000-0000-0000F37A0000}"/>
    <cellStyle name="Normal 85 6 2 2 3" xfId="15515" xr:uid="{00000000-0005-0000-0000-0000F47A0000}"/>
    <cellStyle name="Normal 85 6 2 2 3 2" xfId="32069" xr:uid="{00000000-0005-0000-0000-0000F57A0000}"/>
    <cellStyle name="Normal 85 6 2 2 4" xfId="24026" xr:uid="{00000000-0005-0000-0000-0000F67A0000}"/>
    <cellStyle name="Normal 85 6 2 3" xfId="9911" xr:uid="{00000000-0005-0000-0000-0000F77A0000}"/>
    <cellStyle name="Normal 85 6 2 3 2" xfId="19267" xr:uid="{00000000-0005-0000-0000-0000F87A0000}"/>
    <cellStyle name="Normal 85 6 2 3 2 2" xfId="35841" xr:uid="{00000000-0005-0000-0000-0000F97A0000}"/>
    <cellStyle name="Normal 85 6 2 3 3" xfId="27794" xr:uid="{00000000-0005-0000-0000-0000FA7A0000}"/>
    <cellStyle name="Normal 85 6 2 4" xfId="15514" xr:uid="{00000000-0005-0000-0000-0000FB7A0000}"/>
    <cellStyle name="Normal 85 6 2 4 2" xfId="32068" xr:uid="{00000000-0005-0000-0000-0000FC7A0000}"/>
    <cellStyle name="Normal 85 6 2 5" xfId="24025" xr:uid="{00000000-0005-0000-0000-0000FD7A0000}"/>
    <cellStyle name="Normal 85 6 3" xfId="6055" xr:uid="{00000000-0005-0000-0000-0000FE7A0000}"/>
    <cellStyle name="Normal 85 6 3 2" xfId="9912" xr:uid="{00000000-0005-0000-0000-0000FF7A0000}"/>
    <cellStyle name="Normal 85 6 3 2 2" xfId="19268" xr:uid="{00000000-0005-0000-0000-0000007B0000}"/>
    <cellStyle name="Normal 85 6 3 2 2 2" xfId="35842" xr:uid="{00000000-0005-0000-0000-0000017B0000}"/>
    <cellStyle name="Normal 85 6 3 2 3" xfId="27795" xr:uid="{00000000-0005-0000-0000-0000027B0000}"/>
    <cellStyle name="Normal 85 6 3 3" xfId="15516" xr:uid="{00000000-0005-0000-0000-0000037B0000}"/>
    <cellStyle name="Normal 85 6 3 3 2" xfId="32070" xr:uid="{00000000-0005-0000-0000-0000047B0000}"/>
    <cellStyle name="Normal 85 6 3 4" xfId="24027" xr:uid="{00000000-0005-0000-0000-0000057B0000}"/>
    <cellStyle name="Normal 85 6 4" xfId="9913" xr:uid="{00000000-0005-0000-0000-0000067B0000}"/>
    <cellStyle name="Normal 85 6 4 2" xfId="19269" xr:uid="{00000000-0005-0000-0000-0000077B0000}"/>
    <cellStyle name="Normal 85 6 4 2 2" xfId="35843" xr:uid="{00000000-0005-0000-0000-0000087B0000}"/>
    <cellStyle name="Normal 85 6 4 3" xfId="27796" xr:uid="{00000000-0005-0000-0000-0000097B0000}"/>
    <cellStyle name="Normal 85 6 5" xfId="15513" xr:uid="{00000000-0005-0000-0000-00000A7B0000}"/>
    <cellStyle name="Normal 85 6 5 2" xfId="32067" xr:uid="{00000000-0005-0000-0000-00000B7B0000}"/>
    <cellStyle name="Normal 85 6 6" xfId="24024" xr:uid="{00000000-0005-0000-0000-00000C7B0000}"/>
    <cellStyle name="Normal 85 7" xfId="6056" xr:uid="{00000000-0005-0000-0000-00000D7B0000}"/>
    <cellStyle name="Normal 85 7 2" xfId="6057" xr:uid="{00000000-0005-0000-0000-00000E7B0000}"/>
    <cellStyle name="Normal 85 7 2 2" xfId="9914" xr:uid="{00000000-0005-0000-0000-00000F7B0000}"/>
    <cellStyle name="Normal 85 7 2 2 2" xfId="19270" xr:uid="{00000000-0005-0000-0000-0000107B0000}"/>
    <cellStyle name="Normal 85 7 2 2 2 2" xfId="35844" xr:uid="{00000000-0005-0000-0000-0000117B0000}"/>
    <cellStyle name="Normal 85 7 2 2 3" xfId="27797" xr:uid="{00000000-0005-0000-0000-0000127B0000}"/>
    <cellStyle name="Normal 85 7 2 3" xfId="15518" xr:uid="{00000000-0005-0000-0000-0000137B0000}"/>
    <cellStyle name="Normal 85 7 2 3 2" xfId="32072" xr:uid="{00000000-0005-0000-0000-0000147B0000}"/>
    <cellStyle name="Normal 85 7 2 4" xfId="24029" xr:uid="{00000000-0005-0000-0000-0000157B0000}"/>
    <cellStyle name="Normal 85 7 3" xfId="9915" xr:uid="{00000000-0005-0000-0000-0000167B0000}"/>
    <cellStyle name="Normal 85 7 3 2" xfId="19271" xr:uid="{00000000-0005-0000-0000-0000177B0000}"/>
    <cellStyle name="Normal 85 7 3 2 2" xfId="35845" xr:uid="{00000000-0005-0000-0000-0000187B0000}"/>
    <cellStyle name="Normal 85 7 3 3" xfId="27798" xr:uid="{00000000-0005-0000-0000-0000197B0000}"/>
    <cellStyle name="Normal 85 7 4" xfId="15517" xr:uid="{00000000-0005-0000-0000-00001A7B0000}"/>
    <cellStyle name="Normal 85 7 4 2" xfId="32071" xr:uid="{00000000-0005-0000-0000-00001B7B0000}"/>
    <cellStyle name="Normal 85 7 5" xfId="24028" xr:uid="{00000000-0005-0000-0000-00001C7B0000}"/>
    <cellStyle name="Normal 85 8" xfId="6058" xr:uid="{00000000-0005-0000-0000-00001D7B0000}"/>
    <cellStyle name="Normal 85 8 2" xfId="9916" xr:uid="{00000000-0005-0000-0000-00001E7B0000}"/>
    <cellStyle name="Normal 85 8 2 2" xfId="19272" xr:uid="{00000000-0005-0000-0000-00001F7B0000}"/>
    <cellStyle name="Normal 85 8 2 2 2" xfId="35846" xr:uid="{00000000-0005-0000-0000-0000207B0000}"/>
    <cellStyle name="Normal 85 8 2 3" xfId="27799" xr:uid="{00000000-0005-0000-0000-0000217B0000}"/>
    <cellStyle name="Normal 85 8 3" xfId="15519" xr:uid="{00000000-0005-0000-0000-0000227B0000}"/>
    <cellStyle name="Normal 85 8 3 2" xfId="32073" xr:uid="{00000000-0005-0000-0000-0000237B0000}"/>
    <cellStyle name="Normal 85 8 4" xfId="24030" xr:uid="{00000000-0005-0000-0000-0000247B0000}"/>
    <cellStyle name="Normal 85 9" xfId="9917" xr:uid="{00000000-0005-0000-0000-0000257B0000}"/>
    <cellStyle name="Normal 85 9 2" xfId="19273" xr:uid="{00000000-0005-0000-0000-0000267B0000}"/>
    <cellStyle name="Normal 85 9 2 2" xfId="35847" xr:uid="{00000000-0005-0000-0000-0000277B0000}"/>
    <cellStyle name="Normal 85 9 3" xfId="27800" xr:uid="{00000000-0005-0000-0000-0000287B0000}"/>
    <cellStyle name="Normal 86" xfId="6059" xr:uid="{00000000-0005-0000-0000-0000297B0000}"/>
    <cellStyle name="Normal 86 10" xfId="15520" xr:uid="{00000000-0005-0000-0000-00002A7B0000}"/>
    <cellStyle name="Normal 86 10 2" xfId="32074" xr:uid="{00000000-0005-0000-0000-00002B7B0000}"/>
    <cellStyle name="Normal 86 11" xfId="24031" xr:uid="{00000000-0005-0000-0000-00002C7B0000}"/>
    <cellStyle name="Normal 86 2" xfId="6060" xr:uid="{00000000-0005-0000-0000-00002D7B0000}"/>
    <cellStyle name="Normal 86 2 2" xfId="6061" xr:uid="{00000000-0005-0000-0000-00002E7B0000}"/>
    <cellStyle name="Normal 86 2 3" xfId="15521" xr:uid="{00000000-0005-0000-0000-00002F7B0000}"/>
    <cellStyle name="Normal 86 2 3 2" xfId="32075" xr:uid="{00000000-0005-0000-0000-0000307B0000}"/>
    <cellStyle name="Normal 86 2 4" xfId="24032" xr:uid="{00000000-0005-0000-0000-0000317B0000}"/>
    <cellStyle name="Normal 86 3" xfId="6062" xr:uid="{00000000-0005-0000-0000-0000327B0000}"/>
    <cellStyle name="Normal 86 3 2" xfId="6063" xr:uid="{00000000-0005-0000-0000-0000337B0000}"/>
    <cellStyle name="Normal 86 3 2 2" xfId="6064" xr:uid="{00000000-0005-0000-0000-0000347B0000}"/>
    <cellStyle name="Normal 86 3 2 2 2" xfId="6065" xr:uid="{00000000-0005-0000-0000-0000357B0000}"/>
    <cellStyle name="Normal 86 3 2 2 2 2" xfId="9918" xr:uid="{00000000-0005-0000-0000-0000367B0000}"/>
    <cellStyle name="Normal 86 3 2 2 2 2 2" xfId="19274" xr:uid="{00000000-0005-0000-0000-0000377B0000}"/>
    <cellStyle name="Normal 86 3 2 2 2 2 2 2" xfId="35848" xr:uid="{00000000-0005-0000-0000-0000387B0000}"/>
    <cellStyle name="Normal 86 3 2 2 2 2 3" xfId="27801" xr:uid="{00000000-0005-0000-0000-0000397B0000}"/>
    <cellStyle name="Normal 86 3 2 2 2 3" xfId="15524" xr:uid="{00000000-0005-0000-0000-00003A7B0000}"/>
    <cellStyle name="Normal 86 3 2 2 2 3 2" xfId="32078" xr:uid="{00000000-0005-0000-0000-00003B7B0000}"/>
    <cellStyle name="Normal 86 3 2 2 2 4" xfId="24035" xr:uid="{00000000-0005-0000-0000-00003C7B0000}"/>
    <cellStyle name="Normal 86 3 2 2 3" xfId="9919" xr:uid="{00000000-0005-0000-0000-00003D7B0000}"/>
    <cellStyle name="Normal 86 3 2 2 3 2" xfId="19275" xr:uid="{00000000-0005-0000-0000-00003E7B0000}"/>
    <cellStyle name="Normal 86 3 2 2 3 2 2" xfId="35849" xr:uid="{00000000-0005-0000-0000-00003F7B0000}"/>
    <cellStyle name="Normal 86 3 2 2 3 3" xfId="27802" xr:uid="{00000000-0005-0000-0000-0000407B0000}"/>
    <cellStyle name="Normal 86 3 2 2 4" xfId="15523" xr:uid="{00000000-0005-0000-0000-0000417B0000}"/>
    <cellStyle name="Normal 86 3 2 2 4 2" xfId="32077" xr:uid="{00000000-0005-0000-0000-0000427B0000}"/>
    <cellStyle name="Normal 86 3 2 2 5" xfId="24034" xr:uid="{00000000-0005-0000-0000-0000437B0000}"/>
    <cellStyle name="Normal 86 3 2 3" xfId="6066" xr:uid="{00000000-0005-0000-0000-0000447B0000}"/>
    <cellStyle name="Normal 86 3 2 3 2" xfId="9920" xr:uid="{00000000-0005-0000-0000-0000457B0000}"/>
    <cellStyle name="Normal 86 3 2 3 2 2" xfId="19276" xr:uid="{00000000-0005-0000-0000-0000467B0000}"/>
    <cellStyle name="Normal 86 3 2 3 2 2 2" xfId="35850" xr:uid="{00000000-0005-0000-0000-0000477B0000}"/>
    <cellStyle name="Normal 86 3 2 3 2 3" xfId="27803" xr:uid="{00000000-0005-0000-0000-0000487B0000}"/>
    <cellStyle name="Normal 86 3 2 3 3" xfId="15525" xr:uid="{00000000-0005-0000-0000-0000497B0000}"/>
    <cellStyle name="Normal 86 3 2 3 3 2" xfId="32079" xr:uid="{00000000-0005-0000-0000-00004A7B0000}"/>
    <cellStyle name="Normal 86 3 2 3 4" xfId="24036" xr:uid="{00000000-0005-0000-0000-00004B7B0000}"/>
    <cellStyle name="Normal 86 3 2 4" xfId="9921" xr:uid="{00000000-0005-0000-0000-00004C7B0000}"/>
    <cellStyle name="Normal 86 3 2 4 2" xfId="19277" xr:uid="{00000000-0005-0000-0000-00004D7B0000}"/>
    <cellStyle name="Normal 86 3 2 4 2 2" xfId="35851" xr:uid="{00000000-0005-0000-0000-00004E7B0000}"/>
    <cellStyle name="Normal 86 3 2 4 3" xfId="27804" xr:uid="{00000000-0005-0000-0000-00004F7B0000}"/>
    <cellStyle name="Normal 86 3 2 5" xfId="15522" xr:uid="{00000000-0005-0000-0000-0000507B0000}"/>
    <cellStyle name="Normal 86 3 2 5 2" xfId="32076" xr:uid="{00000000-0005-0000-0000-0000517B0000}"/>
    <cellStyle name="Normal 86 3 2 6" xfId="24033" xr:uid="{00000000-0005-0000-0000-0000527B0000}"/>
    <cellStyle name="Normal 86 3 3" xfId="6067" xr:uid="{00000000-0005-0000-0000-0000537B0000}"/>
    <cellStyle name="Normal 86 3 3 2" xfId="6068" xr:uid="{00000000-0005-0000-0000-0000547B0000}"/>
    <cellStyle name="Normal 86 3 3 2 2" xfId="9922" xr:uid="{00000000-0005-0000-0000-0000557B0000}"/>
    <cellStyle name="Normal 86 3 3 2 2 2" xfId="19278" xr:uid="{00000000-0005-0000-0000-0000567B0000}"/>
    <cellStyle name="Normal 86 3 3 2 2 2 2" xfId="35852" xr:uid="{00000000-0005-0000-0000-0000577B0000}"/>
    <cellStyle name="Normal 86 3 3 2 2 3" xfId="27805" xr:uid="{00000000-0005-0000-0000-0000587B0000}"/>
    <cellStyle name="Normal 86 3 3 2 3" xfId="15527" xr:uid="{00000000-0005-0000-0000-0000597B0000}"/>
    <cellStyle name="Normal 86 3 3 2 3 2" xfId="32081" xr:uid="{00000000-0005-0000-0000-00005A7B0000}"/>
    <cellStyle name="Normal 86 3 3 2 4" xfId="24038" xr:uid="{00000000-0005-0000-0000-00005B7B0000}"/>
    <cellStyle name="Normal 86 3 3 3" xfId="9923" xr:uid="{00000000-0005-0000-0000-00005C7B0000}"/>
    <cellStyle name="Normal 86 3 3 3 2" xfId="19279" xr:uid="{00000000-0005-0000-0000-00005D7B0000}"/>
    <cellStyle name="Normal 86 3 3 3 2 2" xfId="35853" xr:uid="{00000000-0005-0000-0000-00005E7B0000}"/>
    <cellStyle name="Normal 86 3 3 3 3" xfId="27806" xr:uid="{00000000-0005-0000-0000-00005F7B0000}"/>
    <cellStyle name="Normal 86 3 3 4" xfId="15526" xr:uid="{00000000-0005-0000-0000-0000607B0000}"/>
    <cellStyle name="Normal 86 3 3 4 2" xfId="32080" xr:uid="{00000000-0005-0000-0000-0000617B0000}"/>
    <cellStyle name="Normal 86 3 3 5" xfId="24037" xr:uid="{00000000-0005-0000-0000-0000627B0000}"/>
    <cellStyle name="Normal 86 3 4" xfId="6069" xr:uid="{00000000-0005-0000-0000-0000637B0000}"/>
    <cellStyle name="Normal 86 3 4 2" xfId="9924" xr:uid="{00000000-0005-0000-0000-0000647B0000}"/>
    <cellStyle name="Normal 86 3 4 2 2" xfId="19280" xr:uid="{00000000-0005-0000-0000-0000657B0000}"/>
    <cellStyle name="Normal 86 3 4 2 2 2" xfId="35854" xr:uid="{00000000-0005-0000-0000-0000667B0000}"/>
    <cellStyle name="Normal 86 3 4 2 3" xfId="27807" xr:uid="{00000000-0005-0000-0000-0000677B0000}"/>
    <cellStyle name="Normal 86 3 4 3" xfId="15528" xr:uid="{00000000-0005-0000-0000-0000687B0000}"/>
    <cellStyle name="Normal 86 3 4 3 2" xfId="32082" xr:uid="{00000000-0005-0000-0000-0000697B0000}"/>
    <cellStyle name="Normal 86 3 4 4" xfId="24039" xr:uid="{00000000-0005-0000-0000-00006A7B0000}"/>
    <cellStyle name="Normal 86 3 5" xfId="6070" xr:uid="{00000000-0005-0000-0000-00006B7B0000}"/>
    <cellStyle name="Normal 86 3 5 2" xfId="15529" xr:uid="{00000000-0005-0000-0000-00006C7B0000}"/>
    <cellStyle name="Normal 86 3 5 2 2" xfId="32083" xr:uid="{00000000-0005-0000-0000-00006D7B0000}"/>
    <cellStyle name="Normal 86 3 5 3" xfId="24040" xr:uid="{00000000-0005-0000-0000-00006E7B0000}"/>
    <cellStyle name="Normal 86 4" xfId="6071" xr:uid="{00000000-0005-0000-0000-00006F7B0000}"/>
    <cellStyle name="Normal 86 4 2" xfId="6072" xr:uid="{00000000-0005-0000-0000-0000707B0000}"/>
    <cellStyle name="Normal 86 4 2 2" xfId="6073" xr:uid="{00000000-0005-0000-0000-0000717B0000}"/>
    <cellStyle name="Normal 86 4 2 2 2" xfId="6074" xr:uid="{00000000-0005-0000-0000-0000727B0000}"/>
    <cellStyle name="Normal 86 4 2 2 2 2" xfId="9925" xr:uid="{00000000-0005-0000-0000-0000737B0000}"/>
    <cellStyle name="Normal 86 4 2 2 2 2 2" xfId="19281" xr:uid="{00000000-0005-0000-0000-0000747B0000}"/>
    <cellStyle name="Normal 86 4 2 2 2 2 2 2" xfId="35855" xr:uid="{00000000-0005-0000-0000-0000757B0000}"/>
    <cellStyle name="Normal 86 4 2 2 2 2 3" xfId="27808" xr:uid="{00000000-0005-0000-0000-0000767B0000}"/>
    <cellStyle name="Normal 86 4 2 2 2 3" xfId="15533" xr:uid="{00000000-0005-0000-0000-0000777B0000}"/>
    <cellStyle name="Normal 86 4 2 2 2 3 2" xfId="32087" xr:uid="{00000000-0005-0000-0000-0000787B0000}"/>
    <cellStyle name="Normal 86 4 2 2 2 4" xfId="24044" xr:uid="{00000000-0005-0000-0000-0000797B0000}"/>
    <cellStyle name="Normal 86 4 2 2 3" xfId="9926" xr:uid="{00000000-0005-0000-0000-00007A7B0000}"/>
    <cellStyle name="Normal 86 4 2 2 3 2" xfId="19282" xr:uid="{00000000-0005-0000-0000-00007B7B0000}"/>
    <cellStyle name="Normal 86 4 2 2 3 2 2" xfId="35856" xr:uid="{00000000-0005-0000-0000-00007C7B0000}"/>
    <cellStyle name="Normal 86 4 2 2 3 3" xfId="27809" xr:uid="{00000000-0005-0000-0000-00007D7B0000}"/>
    <cellStyle name="Normal 86 4 2 2 4" xfId="15532" xr:uid="{00000000-0005-0000-0000-00007E7B0000}"/>
    <cellStyle name="Normal 86 4 2 2 4 2" xfId="32086" xr:uid="{00000000-0005-0000-0000-00007F7B0000}"/>
    <cellStyle name="Normal 86 4 2 2 5" xfId="24043" xr:uid="{00000000-0005-0000-0000-0000807B0000}"/>
    <cellStyle name="Normal 86 4 2 3" xfId="6075" xr:uid="{00000000-0005-0000-0000-0000817B0000}"/>
    <cellStyle name="Normal 86 4 2 3 2" xfId="9927" xr:uid="{00000000-0005-0000-0000-0000827B0000}"/>
    <cellStyle name="Normal 86 4 2 3 2 2" xfId="19283" xr:uid="{00000000-0005-0000-0000-0000837B0000}"/>
    <cellStyle name="Normal 86 4 2 3 2 2 2" xfId="35857" xr:uid="{00000000-0005-0000-0000-0000847B0000}"/>
    <cellStyle name="Normal 86 4 2 3 2 3" xfId="27810" xr:uid="{00000000-0005-0000-0000-0000857B0000}"/>
    <cellStyle name="Normal 86 4 2 3 3" xfId="15534" xr:uid="{00000000-0005-0000-0000-0000867B0000}"/>
    <cellStyle name="Normal 86 4 2 3 3 2" xfId="32088" xr:uid="{00000000-0005-0000-0000-0000877B0000}"/>
    <cellStyle name="Normal 86 4 2 3 4" xfId="24045" xr:uid="{00000000-0005-0000-0000-0000887B0000}"/>
    <cellStyle name="Normal 86 4 2 4" xfId="9928" xr:uid="{00000000-0005-0000-0000-0000897B0000}"/>
    <cellStyle name="Normal 86 4 2 4 2" xfId="19284" xr:uid="{00000000-0005-0000-0000-00008A7B0000}"/>
    <cellStyle name="Normal 86 4 2 4 2 2" xfId="35858" xr:uid="{00000000-0005-0000-0000-00008B7B0000}"/>
    <cellStyle name="Normal 86 4 2 4 3" xfId="27811" xr:uid="{00000000-0005-0000-0000-00008C7B0000}"/>
    <cellStyle name="Normal 86 4 2 5" xfId="15531" xr:uid="{00000000-0005-0000-0000-00008D7B0000}"/>
    <cellStyle name="Normal 86 4 2 5 2" xfId="32085" xr:uid="{00000000-0005-0000-0000-00008E7B0000}"/>
    <cellStyle name="Normal 86 4 2 6" xfId="24042" xr:uid="{00000000-0005-0000-0000-00008F7B0000}"/>
    <cellStyle name="Normal 86 4 3" xfId="6076" xr:uid="{00000000-0005-0000-0000-0000907B0000}"/>
    <cellStyle name="Normal 86 4 3 2" xfId="6077" xr:uid="{00000000-0005-0000-0000-0000917B0000}"/>
    <cellStyle name="Normal 86 4 3 2 2" xfId="9929" xr:uid="{00000000-0005-0000-0000-0000927B0000}"/>
    <cellStyle name="Normal 86 4 3 2 2 2" xfId="19285" xr:uid="{00000000-0005-0000-0000-0000937B0000}"/>
    <cellStyle name="Normal 86 4 3 2 2 2 2" xfId="35859" xr:uid="{00000000-0005-0000-0000-0000947B0000}"/>
    <cellStyle name="Normal 86 4 3 2 2 3" xfId="27812" xr:uid="{00000000-0005-0000-0000-0000957B0000}"/>
    <cellStyle name="Normal 86 4 3 2 3" xfId="15536" xr:uid="{00000000-0005-0000-0000-0000967B0000}"/>
    <cellStyle name="Normal 86 4 3 2 3 2" xfId="32090" xr:uid="{00000000-0005-0000-0000-0000977B0000}"/>
    <cellStyle name="Normal 86 4 3 2 4" xfId="24047" xr:uid="{00000000-0005-0000-0000-0000987B0000}"/>
    <cellStyle name="Normal 86 4 3 3" xfId="9930" xr:uid="{00000000-0005-0000-0000-0000997B0000}"/>
    <cellStyle name="Normal 86 4 3 3 2" xfId="19286" xr:uid="{00000000-0005-0000-0000-00009A7B0000}"/>
    <cellStyle name="Normal 86 4 3 3 2 2" xfId="35860" xr:uid="{00000000-0005-0000-0000-00009B7B0000}"/>
    <cellStyle name="Normal 86 4 3 3 3" xfId="27813" xr:uid="{00000000-0005-0000-0000-00009C7B0000}"/>
    <cellStyle name="Normal 86 4 3 4" xfId="15535" xr:uid="{00000000-0005-0000-0000-00009D7B0000}"/>
    <cellStyle name="Normal 86 4 3 4 2" xfId="32089" xr:uid="{00000000-0005-0000-0000-00009E7B0000}"/>
    <cellStyle name="Normal 86 4 3 5" xfId="24046" xr:uid="{00000000-0005-0000-0000-00009F7B0000}"/>
    <cellStyle name="Normal 86 4 4" xfId="6078" xr:uid="{00000000-0005-0000-0000-0000A07B0000}"/>
    <cellStyle name="Normal 86 4 4 2" xfId="9931" xr:uid="{00000000-0005-0000-0000-0000A17B0000}"/>
    <cellStyle name="Normal 86 4 4 2 2" xfId="19287" xr:uid="{00000000-0005-0000-0000-0000A27B0000}"/>
    <cellStyle name="Normal 86 4 4 2 2 2" xfId="35861" xr:uid="{00000000-0005-0000-0000-0000A37B0000}"/>
    <cellStyle name="Normal 86 4 4 2 3" xfId="27814" xr:uid="{00000000-0005-0000-0000-0000A47B0000}"/>
    <cellStyle name="Normal 86 4 4 3" xfId="15537" xr:uid="{00000000-0005-0000-0000-0000A57B0000}"/>
    <cellStyle name="Normal 86 4 4 3 2" xfId="32091" xr:uid="{00000000-0005-0000-0000-0000A67B0000}"/>
    <cellStyle name="Normal 86 4 4 4" xfId="24048" xr:uid="{00000000-0005-0000-0000-0000A77B0000}"/>
    <cellStyle name="Normal 86 4 5" xfId="9932" xr:uid="{00000000-0005-0000-0000-0000A87B0000}"/>
    <cellStyle name="Normal 86 4 5 2" xfId="19288" xr:uid="{00000000-0005-0000-0000-0000A97B0000}"/>
    <cellStyle name="Normal 86 4 5 2 2" xfId="35862" xr:uid="{00000000-0005-0000-0000-0000AA7B0000}"/>
    <cellStyle name="Normal 86 4 5 3" xfId="27815" xr:uid="{00000000-0005-0000-0000-0000AB7B0000}"/>
    <cellStyle name="Normal 86 4 6" xfId="15530" xr:uid="{00000000-0005-0000-0000-0000AC7B0000}"/>
    <cellStyle name="Normal 86 4 6 2" xfId="32084" xr:uid="{00000000-0005-0000-0000-0000AD7B0000}"/>
    <cellStyle name="Normal 86 4 7" xfId="24041" xr:uid="{00000000-0005-0000-0000-0000AE7B0000}"/>
    <cellStyle name="Normal 86 5" xfId="6079" xr:uid="{00000000-0005-0000-0000-0000AF7B0000}"/>
    <cellStyle name="Normal 86 5 2" xfId="6080" xr:uid="{00000000-0005-0000-0000-0000B07B0000}"/>
    <cellStyle name="Normal 86 5 2 2" xfId="6081" xr:uid="{00000000-0005-0000-0000-0000B17B0000}"/>
    <cellStyle name="Normal 86 5 2 2 2" xfId="6082" xr:uid="{00000000-0005-0000-0000-0000B27B0000}"/>
    <cellStyle name="Normal 86 5 2 2 2 2" xfId="9933" xr:uid="{00000000-0005-0000-0000-0000B37B0000}"/>
    <cellStyle name="Normal 86 5 2 2 2 2 2" xfId="19289" xr:uid="{00000000-0005-0000-0000-0000B47B0000}"/>
    <cellStyle name="Normal 86 5 2 2 2 2 2 2" xfId="35863" xr:uid="{00000000-0005-0000-0000-0000B57B0000}"/>
    <cellStyle name="Normal 86 5 2 2 2 2 3" xfId="27816" xr:uid="{00000000-0005-0000-0000-0000B67B0000}"/>
    <cellStyle name="Normal 86 5 2 2 2 3" xfId="15541" xr:uid="{00000000-0005-0000-0000-0000B77B0000}"/>
    <cellStyle name="Normal 86 5 2 2 2 3 2" xfId="32095" xr:uid="{00000000-0005-0000-0000-0000B87B0000}"/>
    <cellStyle name="Normal 86 5 2 2 2 4" xfId="24052" xr:uid="{00000000-0005-0000-0000-0000B97B0000}"/>
    <cellStyle name="Normal 86 5 2 2 3" xfId="9934" xr:uid="{00000000-0005-0000-0000-0000BA7B0000}"/>
    <cellStyle name="Normal 86 5 2 2 3 2" xfId="19290" xr:uid="{00000000-0005-0000-0000-0000BB7B0000}"/>
    <cellStyle name="Normal 86 5 2 2 3 2 2" xfId="35864" xr:uid="{00000000-0005-0000-0000-0000BC7B0000}"/>
    <cellStyle name="Normal 86 5 2 2 3 3" xfId="27817" xr:uid="{00000000-0005-0000-0000-0000BD7B0000}"/>
    <cellStyle name="Normal 86 5 2 2 4" xfId="15540" xr:uid="{00000000-0005-0000-0000-0000BE7B0000}"/>
    <cellStyle name="Normal 86 5 2 2 4 2" xfId="32094" xr:uid="{00000000-0005-0000-0000-0000BF7B0000}"/>
    <cellStyle name="Normal 86 5 2 2 5" xfId="24051" xr:uid="{00000000-0005-0000-0000-0000C07B0000}"/>
    <cellStyle name="Normal 86 5 2 3" xfId="6083" xr:uid="{00000000-0005-0000-0000-0000C17B0000}"/>
    <cellStyle name="Normal 86 5 2 3 2" xfId="9935" xr:uid="{00000000-0005-0000-0000-0000C27B0000}"/>
    <cellStyle name="Normal 86 5 2 3 2 2" xfId="19291" xr:uid="{00000000-0005-0000-0000-0000C37B0000}"/>
    <cellStyle name="Normal 86 5 2 3 2 2 2" xfId="35865" xr:uid="{00000000-0005-0000-0000-0000C47B0000}"/>
    <cellStyle name="Normal 86 5 2 3 2 3" xfId="27818" xr:uid="{00000000-0005-0000-0000-0000C57B0000}"/>
    <cellStyle name="Normal 86 5 2 3 3" xfId="15542" xr:uid="{00000000-0005-0000-0000-0000C67B0000}"/>
    <cellStyle name="Normal 86 5 2 3 3 2" xfId="32096" xr:uid="{00000000-0005-0000-0000-0000C77B0000}"/>
    <cellStyle name="Normal 86 5 2 3 4" xfId="24053" xr:uid="{00000000-0005-0000-0000-0000C87B0000}"/>
    <cellStyle name="Normal 86 5 2 4" xfId="9936" xr:uid="{00000000-0005-0000-0000-0000C97B0000}"/>
    <cellStyle name="Normal 86 5 2 4 2" xfId="19292" xr:uid="{00000000-0005-0000-0000-0000CA7B0000}"/>
    <cellStyle name="Normal 86 5 2 4 2 2" xfId="35866" xr:uid="{00000000-0005-0000-0000-0000CB7B0000}"/>
    <cellStyle name="Normal 86 5 2 4 3" xfId="27819" xr:uid="{00000000-0005-0000-0000-0000CC7B0000}"/>
    <cellStyle name="Normal 86 5 2 5" xfId="15539" xr:uid="{00000000-0005-0000-0000-0000CD7B0000}"/>
    <cellStyle name="Normal 86 5 2 5 2" xfId="32093" xr:uid="{00000000-0005-0000-0000-0000CE7B0000}"/>
    <cellStyle name="Normal 86 5 2 6" xfId="24050" xr:uid="{00000000-0005-0000-0000-0000CF7B0000}"/>
    <cellStyle name="Normal 86 5 3" xfId="6084" xr:uid="{00000000-0005-0000-0000-0000D07B0000}"/>
    <cellStyle name="Normal 86 5 3 2" xfId="6085" xr:uid="{00000000-0005-0000-0000-0000D17B0000}"/>
    <cellStyle name="Normal 86 5 3 2 2" xfId="9937" xr:uid="{00000000-0005-0000-0000-0000D27B0000}"/>
    <cellStyle name="Normal 86 5 3 2 2 2" xfId="19293" xr:uid="{00000000-0005-0000-0000-0000D37B0000}"/>
    <cellStyle name="Normal 86 5 3 2 2 2 2" xfId="35867" xr:uid="{00000000-0005-0000-0000-0000D47B0000}"/>
    <cellStyle name="Normal 86 5 3 2 2 3" xfId="27820" xr:uid="{00000000-0005-0000-0000-0000D57B0000}"/>
    <cellStyle name="Normal 86 5 3 2 3" xfId="15544" xr:uid="{00000000-0005-0000-0000-0000D67B0000}"/>
    <cellStyle name="Normal 86 5 3 2 3 2" xfId="32098" xr:uid="{00000000-0005-0000-0000-0000D77B0000}"/>
    <cellStyle name="Normal 86 5 3 2 4" xfId="24055" xr:uid="{00000000-0005-0000-0000-0000D87B0000}"/>
    <cellStyle name="Normal 86 5 3 3" xfId="9938" xr:uid="{00000000-0005-0000-0000-0000D97B0000}"/>
    <cellStyle name="Normal 86 5 3 3 2" xfId="19294" xr:uid="{00000000-0005-0000-0000-0000DA7B0000}"/>
    <cellStyle name="Normal 86 5 3 3 2 2" xfId="35868" xr:uid="{00000000-0005-0000-0000-0000DB7B0000}"/>
    <cellStyle name="Normal 86 5 3 3 3" xfId="27821" xr:uid="{00000000-0005-0000-0000-0000DC7B0000}"/>
    <cellStyle name="Normal 86 5 3 4" xfId="15543" xr:uid="{00000000-0005-0000-0000-0000DD7B0000}"/>
    <cellStyle name="Normal 86 5 3 4 2" xfId="32097" xr:uid="{00000000-0005-0000-0000-0000DE7B0000}"/>
    <cellStyle name="Normal 86 5 3 5" xfId="24054" xr:uid="{00000000-0005-0000-0000-0000DF7B0000}"/>
    <cellStyle name="Normal 86 5 4" xfId="6086" xr:uid="{00000000-0005-0000-0000-0000E07B0000}"/>
    <cellStyle name="Normal 86 5 4 2" xfId="9939" xr:uid="{00000000-0005-0000-0000-0000E17B0000}"/>
    <cellStyle name="Normal 86 5 4 2 2" xfId="19295" xr:uid="{00000000-0005-0000-0000-0000E27B0000}"/>
    <cellStyle name="Normal 86 5 4 2 2 2" xfId="35869" xr:uid="{00000000-0005-0000-0000-0000E37B0000}"/>
    <cellStyle name="Normal 86 5 4 2 3" xfId="27822" xr:uid="{00000000-0005-0000-0000-0000E47B0000}"/>
    <cellStyle name="Normal 86 5 4 3" xfId="15545" xr:uid="{00000000-0005-0000-0000-0000E57B0000}"/>
    <cellStyle name="Normal 86 5 4 3 2" xfId="32099" xr:uid="{00000000-0005-0000-0000-0000E67B0000}"/>
    <cellStyle name="Normal 86 5 4 4" xfId="24056" xr:uid="{00000000-0005-0000-0000-0000E77B0000}"/>
    <cellStyle name="Normal 86 5 5" xfId="9940" xr:uid="{00000000-0005-0000-0000-0000E87B0000}"/>
    <cellStyle name="Normal 86 5 5 2" xfId="19296" xr:uid="{00000000-0005-0000-0000-0000E97B0000}"/>
    <cellStyle name="Normal 86 5 5 2 2" xfId="35870" xr:uid="{00000000-0005-0000-0000-0000EA7B0000}"/>
    <cellStyle name="Normal 86 5 5 3" xfId="27823" xr:uid="{00000000-0005-0000-0000-0000EB7B0000}"/>
    <cellStyle name="Normal 86 5 6" xfId="15538" xr:uid="{00000000-0005-0000-0000-0000EC7B0000}"/>
    <cellStyle name="Normal 86 5 6 2" xfId="32092" xr:uid="{00000000-0005-0000-0000-0000ED7B0000}"/>
    <cellStyle name="Normal 86 5 7" xfId="24049" xr:uid="{00000000-0005-0000-0000-0000EE7B0000}"/>
    <cellStyle name="Normal 86 6" xfId="6087" xr:uid="{00000000-0005-0000-0000-0000EF7B0000}"/>
    <cellStyle name="Normal 86 6 2" xfId="6088" xr:uid="{00000000-0005-0000-0000-0000F07B0000}"/>
    <cellStyle name="Normal 86 6 2 2" xfId="6089" xr:uid="{00000000-0005-0000-0000-0000F17B0000}"/>
    <cellStyle name="Normal 86 6 2 2 2" xfId="9941" xr:uid="{00000000-0005-0000-0000-0000F27B0000}"/>
    <cellStyle name="Normal 86 6 2 2 2 2" xfId="19297" xr:uid="{00000000-0005-0000-0000-0000F37B0000}"/>
    <cellStyle name="Normal 86 6 2 2 2 2 2" xfId="35871" xr:uid="{00000000-0005-0000-0000-0000F47B0000}"/>
    <cellStyle name="Normal 86 6 2 2 2 3" xfId="27824" xr:uid="{00000000-0005-0000-0000-0000F57B0000}"/>
    <cellStyle name="Normal 86 6 2 2 3" xfId="15548" xr:uid="{00000000-0005-0000-0000-0000F67B0000}"/>
    <cellStyle name="Normal 86 6 2 2 3 2" xfId="32102" xr:uid="{00000000-0005-0000-0000-0000F77B0000}"/>
    <cellStyle name="Normal 86 6 2 2 4" xfId="24059" xr:uid="{00000000-0005-0000-0000-0000F87B0000}"/>
    <cellStyle name="Normal 86 6 2 3" xfId="9942" xr:uid="{00000000-0005-0000-0000-0000F97B0000}"/>
    <cellStyle name="Normal 86 6 2 3 2" xfId="19298" xr:uid="{00000000-0005-0000-0000-0000FA7B0000}"/>
    <cellStyle name="Normal 86 6 2 3 2 2" xfId="35872" xr:uid="{00000000-0005-0000-0000-0000FB7B0000}"/>
    <cellStyle name="Normal 86 6 2 3 3" xfId="27825" xr:uid="{00000000-0005-0000-0000-0000FC7B0000}"/>
    <cellStyle name="Normal 86 6 2 4" xfId="15547" xr:uid="{00000000-0005-0000-0000-0000FD7B0000}"/>
    <cellStyle name="Normal 86 6 2 4 2" xfId="32101" xr:uid="{00000000-0005-0000-0000-0000FE7B0000}"/>
    <cellStyle name="Normal 86 6 2 5" xfId="24058" xr:uid="{00000000-0005-0000-0000-0000FF7B0000}"/>
    <cellStyle name="Normal 86 6 3" xfId="6090" xr:uid="{00000000-0005-0000-0000-0000007C0000}"/>
    <cellStyle name="Normal 86 6 3 2" xfId="9943" xr:uid="{00000000-0005-0000-0000-0000017C0000}"/>
    <cellStyle name="Normal 86 6 3 2 2" xfId="19299" xr:uid="{00000000-0005-0000-0000-0000027C0000}"/>
    <cellStyle name="Normal 86 6 3 2 2 2" xfId="35873" xr:uid="{00000000-0005-0000-0000-0000037C0000}"/>
    <cellStyle name="Normal 86 6 3 2 3" xfId="27826" xr:uid="{00000000-0005-0000-0000-0000047C0000}"/>
    <cellStyle name="Normal 86 6 3 3" xfId="15549" xr:uid="{00000000-0005-0000-0000-0000057C0000}"/>
    <cellStyle name="Normal 86 6 3 3 2" xfId="32103" xr:uid="{00000000-0005-0000-0000-0000067C0000}"/>
    <cellStyle name="Normal 86 6 3 4" xfId="24060" xr:uid="{00000000-0005-0000-0000-0000077C0000}"/>
    <cellStyle name="Normal 86 6 4" xfId="9944" xr:uid="{00000000-0005-0000-0000-0000087C0000}"/>
    <cellStyle name="Normal 86 6 4 2" xfId="19300" xr:uid="{00000000-0005-0000-0000-0000097C0000}"/>
    <cellStyle name="Normal 86 6 4 2 2" xfId="35874" xr:uid="{00000000-0005-0000-0000-00000A7C0000}"/>
    <cellStyle name="Normal 86 6 4 3" xfId="27827" xr:uid="{00000000-0005-0000-0000-00000B7C0000}"/>
    <cellStyle name="Normal 86 6 5" xfId="15546" xr:uid="{00000000-0005-0000-0000-00000C7C0000}"/>
    <cellStyle name="Normal 86 6 5 2" xfId="32100" xr:uid="{00000000-0005-0000-0000-00000D7C0000}"/>
    <cellStyle name="Normal 86 6 6" xfId="24057" xr:uid="{00000000-0005-0000-0000-00000E7C0000}"/>
    <cellStyle name="Normal 86 7" xfId="6091" xr:uid="{00000000-0005-0000-0000-00000F7C0000}"/>
    <cellStyle name="Normal 86 7 2" xfId="6092" xr:uid="{00000000-0005-0000-0000-0000107C0000}"/>
    <cellStyle name="Normal 86 7 2 2" xfId="9945" xr:uid="{00000000-0005-0000-0000-0000117C0000}"/>
    <cellStyle name="Normal 86 7 2 2 2" xfId="19301" xr:uid="{00000000-0005-0000-0000-0000127C0000}"/>
    <cellStyle name="Normal 86 7 2 2 2 2" xfId="35875" xr:uid="{00000000-0005-0000-0000-0000137C0000}"/>
    <cellStyle name="Normal 86 7 2 2 3" xfId="27828" xr:uid="{00000000-0005-0000-0000-0000147C0000}"/>
    <cellStyle name="Normal 86 7 2 3" xfId="15551" xr:uid="{00000000-0005-0000-0000-0000157C0000}"/>
    <cellStyle name="Normal 86 7 2 3 2" xfId="32105" xr:uid="{00000000-0005-0000-0000-0000167C0000}"/>
    <cellStyle name="Normal 86 7 2 4" xfId="24062" xr:uid="{00000000-0005-0000-0000-0000177C0000}"/>
    <cellStyle name="Normal 86 7 3" xfId="9946" xr:uid="{00000000-0005-0000-0000-0000187C0000}"/>
    <cellStyle name="Normal 86 7 3 2" xfId="19302" xr:uid="{00000000-0005-0000-0000-0000197C0000}"/>
    <cellStyle name="Normal 86 7 3 2 2" xfId="35876" xr:uid="{00000000-0005-0000-0000-00001A7C0000}"/>
    <cellStyle name="Normal 86 7 3 3" xfId="27829" xr:uid="{00000000-0005-0000-0000-00001B7C0000}"/>
    <cellStyle name="Normal 86 7 4" xfId="15550" xr:uid="{00000000-0005-0000-0000-00001C7C0000}"/>
    <cellStyle name="Normal 86 7 4 2" xfId="32104" xr:uid="{00000000-0005-0000-0000-00001D7C0000}"/>
    <cellStyle name="Normal 86 7 5" xfId="24061" xr:uid="{00000000-0005-0000-0000-00001E7C0000}"/>
    <cellStyle name="Normal 86 8" xfId="6093" xr:uid="{00000000-0005-0000-0000-00001F7C0000}"/>
    <cellStyle name="Normal 86 8 2" xfId="9947" xr:uid="{00000000-0005-0000-0000-0000207C0000}"/>
    <cellStyle name="Normal 86 8 2 2" xfId="19303" xr:uid="{00000000-0005-0000-0000-0000217C0000}"/>
    <cellStyle name="Normal 86 8 2 2 2" xfId="35877" xr:uid="{00000000-0005-0000-0000-0000227C0000}"/>
    <cellStyle name="Normal 86 8 2 3" xfId="27830" xr:uid="{00000000-0005-0000-0000-0000237C0000}"/>
    <cellStyle name="Normal 86 8 3" xfId="15552" xr:uid="{00000000-0005-0000-0000-0000247C0000}"/>
    <cellStyle name="Normal 86 8 3 2" xfId="32106" xr:uid="{00000000-0005-0000-0000-0000257C0000}"/>
    <cellStyle name="Normal 86 8 4" xfId="24063" xr:uid="{00000000-0005-0000-0000-0000267C0000}"/>
    <cellStyle name="Normal 86 9" xfId="9948" xr:uid="{00000000-0005-0000-0000-0000277C0000}"/>
    <cellStyle name="Normal 86 9 2" xfId="19304" xr:uid="{00000000-0005-0000-0000-0000287C0000}"/>
    <cellStyle name="Normal 86 9 2 2" xfId="35878" xr:uid="{00000000-0005-0000-0000-0000297C0000}"/>
    <cellStyle name="Normal 86 9 3" xfId="27831" xr:uid="{00000000-0005-0000-0000-00002A7C0000}"/>
    <cellStyle name="Normal 87" xfId="6094" xr:uid="{00000000-0005-0000-0000-00002B7C0000}"/>
    <cellStyle name="Normal 87 10" xfId="15553" xr:uid="{00000000-0005-0000-0000-00002C7C0000}"/>
    <cellStyle name="Normal 87 10 2" xfId="32107" xr:uid="{00000000-0005-0000-0000-00002D7C0000}"/>
    <cellStyle name="Normal 87 11" xfId="24064" xr:uid="{00000000-0005-0000-0000-00002E7C0000}"/>
    <cellStyle name="Normal 87 2" xfId="6095" xr:uid="{00000000-0005-0000-0000-00002F7C0000}"/>
    <cellStyle name="Normal 87 2 2" xfId="6096" xr:uid="{00000000-0005-0000-0000-0000307C0000}"/>
    <cellStyle name="Normal 87 2 3" xfId="15554" xr:uid="{00000000-0005-0000-0000-0000317C0000}"/>
    <cellStyle name="Normal 87 2 3 2" xfId="32108" xr:uid="{00000000-0005-0000-0000-0000327C0000}"/>
    <cellStyle name="Normal 87 2 4" xfId="24065" xr:uid="{00000000-0005-0000-0000-0000337C0000}"/>
    <cellStyle name="Normal 87 3" xfId="6097" xr:uid="{00000000-0005-0000-0000-0000347C0000}"/>
    <cellStyle name="Normal 87 3 2" xfId="6098" xr:uid="{00000000-0005-0000-0000-0000357C0000}"/>
    <cellStyle name="Normal 87 3 2 2" xfId="6099" xr:uid="{00000000-0005-0000-0000-0000367C0000}"/>
    <cellStyle name="Normal 87 3 2 2 2" xfId="6100" xr:uid="{00000000-0005-0000-0000-0000377C0000}"/>
    <cellStyle name="Normal 87 3 2 2 2 2" xfId="9949" xr:uid="{00000000-0005-0000-0000-0000387C0000}"/>
    <cellStyle name="Normal 87 3 2 2 2 2 2" xfId="19305" xr:uid="{00000000-0005-0000-0000-0000397C0000}"/>
    <cellStyle name="Normal 87 3 2 2 2 2 2 2" xfId="35879" xr:uid="{00000000-0005-0000-0000-00003A7C0000}"/>
    <cellStyle name="Normal 87 3 2 2 2 2 3" xfId="27832" xr:uid="{00000000-0005-0000-0000-00003B7C0000}"/>
    <cellStyle name="Normal 87 3 2 2 2 3" xfId="15557" xr:uid="{00000000-0005-0000-0000-00003C7C0000}"/>
    <cellStyle name="Normal 87 3 2 2 2 3 2" xfId="32111" xr:uid="{00000000-0005-0000-0000-00003D7C0000}"/>
    <cellStyle name="Normal 87 3 2 2 2 4" xfId="24068" xr:uid="{00000000-0005-0000-0000-00003E7C0000}"/>
    <cellStyle name="Normal 87 3 2 2 3" xfId="9950" xr:uid="{00000000-0005-0000-0000-00003F7C0000}"/>
    <cellStyle name="Normal 87 3 2 2 3 2" xfId="19306" xr:uid="{00000000-0005-0000-0000-0000407C0000}"/>
    <cellStyle name="Normal 87 3 2 2 3 2 2" xfId="35880" xr:uid="{00000000-0005-0000-0000-0000417C0000}"/>
    <cellStyle name="Normal 87 3 2 2 3 3" xfId="27833" xr:uid="{00000000-0005-0000-0000-0000427C0000}"/>
    <cellStyle name="Normal 87 3 2 2 4" xfId="15556" xr:uid="{00000000-0005-0000-0000-0000437C0000}"/>
    <cellStyle name="Normal 87 3 2 2 4 2" xfId="32110" xr:uid="{00000000-0005-0000-0000-0000447C0000}"/>
    <cellStyle name="Normal 87 3 2 2 5" xfId="24067" xr:uid="{00000000-0005-0000-0000-0000457C0000}"/>
    <cellStyle name="Normal 87 3 2 3" xfId="6101" xr:uid="{00000000-0005-0000-0000-0000467C0000}"/>
    <cellStyle name="Normal 87 3 2 3 2" xfId="9951" xr:uid="{00000000-0005-0000-0000-0000477C0000}"/>
    <cellStyle name="Normal 87 3 2 3 2 2" xfId="19307" xr:uid="{00000000-0005-0000-0000-0000487C0000}"/>
    <cellStyle name="Normal 87 3 2 3 2 2 2" xfId="35881" xr:uid="{00000000-0005-0000-0000-0000497C0000}"/>
    <cellStyle name="Normal 87 3 2 3 2 3" xfId="27834" xr:uid="{00000000-0005-0000-0000-00004A7C0000}"/>
    <cellStyle name="Normal 87 3 2 3 3" xfId="15558" xr:uid="{00000000-0005-0000-0000-00004B7C0000}"/>
    <cellStyle name="Normal 87 3 2 3 3 2" xfId="32112" xr:uid="{00000000-0005-0000-0000-00004C7C0000}"/>
    <cellStyle name="Normal 87 3 2 3 4" xfId="24069" xr:uid="{00000000-0005-0000-0000-00004D7C0000}"/>
    <cellStyle name="Normal 87 3 2 4" xfId="9952" xr:uid="{00000000-0005-0000-0000-00004E7C0000}"/>
    <cellStyle name="Normal 87 3 2 4 2" xfId="19308" xr:uid="{00000000-0005-0000-0000-00004F7C0000}"/>
    <cellStyle name="Normal 87 3 2 4 2 2" xfId="35882" xr:uid="{00000000-0005-0000-0000-0000507C0000}"/>
    <cellStyle name="Normal 87 3 2 4 3" xfId="27835" xr:uid="{00000000-0005-0000-0000-0000517C0000}"/>
    <cellStyle name="Normal 87 3 2 5" xfId="15555" xr:uid="{00000000-0005-0000-0000-0000527C0000}"/>
    <cellStyle name="Normal 87 3 2 5 2" xfId="32109" xr:uid="{00000000-0005-0000-0000-0000537C0000}"/>
    <cellStyle name="Normal 87 3 2 6" xfId="24066" xr:uid="{00000000-0005-0000-0000-0000547C0000}"/>
    <cellStyle name="Normal 87 3 3" xfId="6102" xr:uid="{00000000-0005-0000-0000-0000557C0000}"/>
    <cellStyle name="Normal 87 3 3 2" xfId="6103" xr:uid="{00000000-0005-0000-0000-0000567C0000}"/>
    <cellStyle name="Normal 87 3 3 2 2" xfId="9953" xr:uid="{00000000-0005-0000-0000-0000577C0000}"/>
    <cellStyle name="Normal 87 3 3 2 2 2" xfId="19309" xr:uid="{00000000-0005-0000-0000-0000587C0000}"/>
    <cellStyle name="Normal 87 3 3 2 2 2 2" xfId="35883" xr:uid="{00000000-0005-0000-0000-0000597C0000}"/>
    <cellStyle name="Normal 87 3 3 2 2 3" xfId="27836" xr:uid="{00000000-0005-0000-0000-00005A7C0000}"/>
    <cellStyle name="Normal 87 3 3 2 3" xfId="15560" xr:uid="{00000000-0005-0000-0000-00005B7C0000}"/>
    <cellStyle name="Normal 87 3 3 2 3 2" xfId="32114" xr:uid="{00000000-0005-0000-0000-00005C7C0000}"/>
    <cellStyle name="Normal 87 3 3 2 4" xfId="24071" xr:uid="{00000000-0005-0000-0000-00005D7C0000}"/>
    <cellStyle name="Normal 87 3 3 3" xfId="9954" xr:uid="{00000000-0005-0000-0000-00005E7C0000}"/>
    <cellStyle name="Normal 87 3 3 3 2" xfId="19310" xr:uid="{00000000-0005-0000-0000-00005F7C0000}"/>
    <cellStyle name="Normal 87 3 3 3 2 2" xfId="35884" xr:uid="{00000000-0005-0000-0000-0000607C0000}"/>
    <cellStyle name="Normal 87 3 3 3 3" xfId="27837" xr:uid="{00000000-0005-0000-0000-0000617C0000}"/>
    <cellStyle name="Normal 87 3 3 4" xfId="15559" xr:uid="{00000000-0005-0000-0000-0000627C0000}"/>
    <cellStyle name="Normal 87 3 3 4 2" xfId="32113" xr:uid="{00000000-0005-0000-0000-0000637C0000}"/>
    <cellStyle name="Normal 87 3 3 5" xfId="24070" xr:uid="{00000000-0005-0000-0000-0000647C0000}"/>
    <cellStyle name="Normal 87 3 4" xfId="6104" xr:uid="{00000000-0005-0000-0000-0000657C0000}"/>
    <cellStyle name="Normal 87 3 4 2" xfId="9955" xr:uid="{00000000-0005-0000-0000-0000667C0000}"/>
    <cellStyle name="Normal 87 3 4 2 2" xfId="19311" xr:uid="{00000000-0005-0000-0000-0000677C0000}"/>
    <cellStyle name="Normal 87 3 4 2 2 2" xfId="35885" xr:uid="{00000000-0005-0000-0000-0000687C0000}"/>
    <cellStyle name="Normal 87 3 4 2 3" xfId="27838" xr:uid="{00000000-0005-0000-0000-0000697C0000}"/>
    <cellStyle name="Normal 87 3 4 3" xfId="15561" xr:uid="{00000000-0005-0000-0000-00006A7C0000}"/>
    <cellStyle name="Normal 87 3 4 3 2" xfId="32115" xr:uid="{00000000-0005-0000-0000-00006B7C0000}"/>
    <cellStyle name="Normal 87 3 4 4" xfId="24072" xr:uid="{00000000-0005-0000-0000-00006C7C0000}"/>
    <cellStyle name="Normal 87 3 5" xfId="6105" xr:uid="{00000000-0005-0000-0000-00006D7C0000}"/>
    <cellStyle name="Normal 87 3 5 2" xfId="15562" xr:uid="{00000000-0005-0000-0000-00006E7C0000}"/>
    <cellStyle name="Normal 87 3 5 2 2" xfId="32116" xr:uid="{00000000-0005-0000-0000-00006F7C0000}"/>
    <cellStyle name="Normal 87 3 5 3" xfId="24073" xr:uid="{00000000-0005-0000-0000-0000707C0000}"/>
    <cellStyle name="Normal 87 4" xfId="6106" xr:uid="{00000000-0005-0000-0000-0000717C0000}"/>
    <cellStyle name="Normal 87 4 2" xfId="6107" xr:uid="{00000000-0005-0000-0000-0000727C0000}"/>
    <cellStyle name="Normal 87 4 2 2" xfId="6108" xr:uid="{00000000-0005-0000-0000-0000737C0000}"/>
    <cellStyle name="Normal 87 4 2 2 2" xfId="6109" xr:uid="{00000000-0005-0000-0000-0000747C0000}"/>
    <cellStyle name="Normal 87 4 2 2 2 2" xfId="9956" xr:uid="{00000000-0005-0000-0000-0000757C0000}"/>
    <cellStyle name="Normal 87 4 2 2 2 2 2" xfId="19312" xr:uid="{00000000-0005-0000-0000-0000767C0000}"/>
    <cellStyle name="Normal 87 4 2 2 2 2 2 2" xfId="35886" xr:uid="{00000000-0005-0000-0000-0000777C0000}"/>
    <cellStyle name="Normal 87 4 2 2 2 2 3" xfId="27839" xr:uid="{00000000-0005-0000-0000-0000787C0000}"/>
    <cellStyle name="Normal 87 4 2 2 2 3" xfId="15566" xr:uid="{00000000-0005-0000-0000-0000797C0000}"/>
    <cellStyle name="Normal 87 4 2 2 2 3 2" xfId="32120" xr:uid="{00000000-0005-0000-0000-00007A7C0000}"/>
    <cellStyle name="Normal 87 4 2 2 2 4" xfId="24077" xr:uid="{00000000-0005-0000-0000-00007B7C0000}"/>
    <cellStyle name="Normal 87 4 2 2 3" xfId="9957" xr:uid="{00000000-0005-0000-0000-00007C7C0000}"/>
    <cellStyle name="Normal 87 4 2 2 3 2" xfId="19313" xr:uid="{00000000-0005-0000-0000-00007D7C0000}"/>
    <cellStyle name="Normal 87 4 2 2 3 2 2" xfId="35887" xr:uid="{00000000-0005-0000-0000-00007E7C0000}"/>
    <cellStyle name="Normal 87 4 2 2 3 3" xfId="27840" xr:uid="{00000000-0005-0000-0000-00007F7C0000}"/>
    <cellStyle name="Normal 87 4 2 2 4" xfId="15565" xr:uid="{00000000-0005-0000-0000-0000807C0000}"/>
    <cellStyle name="Normal 87 4 2 2 4 2" xfId="32119" xr:uid="{00000000-0005-0000-0000-0000817C0000}"/>
    <cellStyle name="Normal 87 4 2 2 5" xfId="24076" xr:uid="{00000000-0005-0000-0000-0000827C0000}"/>
    <cellStyle name="Normal 87 4 2 3" xfId="6110" xr:uid="{00000000-0005-0000-0000-0000837C0000}"/>
    <cellStyle name="Normal 87 4 2 3 2" xfId="9958" xr:uid="{00000000-0005-0000-0000-0000847C0000}"/>
    <cellStyle name="Normal 87 4 2 3 2 2" xfId="19314" xr:uid="{00000000-0005-0000-0000-0000857C0000}"/>
    <cellStyle name="Normal 87 4 2 3 2 2 2" xfId="35888" xr:uid="{00000000-0005-0000-0000-0000867C0000}"/>
    <cellStyle name="Normal 87 4 2 3 2 3" xfId="27841" xr:uid="{00000000-0005-0000-0000-0000877C0000}"/>
    <cellStyle name="Normal 87 4 2 3 3" xfId="15567" xr:uid="{00000000-0005-0000-0000-0000887C0000}"/>
    <cellStyle name="Normal 87 4 2 3 3 2" xfId="32121" xr:uid="{00000000-0005-0000-0000-0000897C0000}"/>
    <cellStyle name="Normal 87 4 2 3 4" xfId="24078" xr:uid="{00000000-0005-0000-0000-00008A7C0000}"/>
    <cellStyle name="Normal 87 4 2 4" xfId="9959" xr:uid="{00000000-0005-0000-0000-00008B7C0000}"/>
    <cellStyle name="Normal 87 4 2 4 2" xfId="19315" xr:uid="{00000000-0005-0000-0000-00008C7C0000}"/>
    <cellStyle name="Normal 87 4 2 4 2 2" xfId="35889" xr:uid="{00000000-0005-0000-0000-00008D7C0000}"/>
    <cellStyle name="Normal 87 4 2 4 3" xfId="27842" xr:uid="{00000000-0005-0000-0000-00008E7C0000}"/>
    <cellStyle name="Normal 87 4 2 5" xfId="15564" xr:uid="{00000000-0005-0000-0000-00008F7C0000}"/>
    <cellStyle name="Normal 87 4 2 5 2" xfId="32118" xr:uid="{00000000-0005-0000-0000-0000907C0000}"/>
    <cellStyle name="Normal 87 4 2 6" xfId="24075" xr:uid="{00000000-0005-0000-0000-0000917C0000}"/>
    <cellStyle name="Normal 87 4 3" xfId="6111" xr:uid="{00000000-0005-0000-0000-0000927C0000}"/>
    <cellStyle name="Normal 87 4 3 2" xfId="6112" xr:uid="{00000000-0005-0000-0000-0000937C0000}"/>
    <cellStyle name="Normal 87 4 3 2 2" xfId="9960" xr:uid="{00000000-0005-0000-0000-0000947C0000}"/>
    <cellStyle name="Normal 87 4 3 2 2 2" xfId="19316" xr:uid="{00000000-0005-0000-0000-0000957C0000}"/>
    <cellStyle name="Normal 87 4 3 2 2 2 2" xfId="35890" xr:uid="{00000000-0005-0000-0000-0000967C0000}"/>
    <cellStyle name="Normal 87 4 3 2 2 3" xfId="27843" xr:uid="{00000000-0005-0000-0000-0000977C0000}"/>
    <cellStyle name="Normal 87 4 3 2 3" xfId="15569" xr:uid="{00000000-0005-0000-0000-0000987C0000}"/>
    <cellStyle name="Normal 87 4 3 2 3 2" xfId="32123" xr:uid="{00000000-0005-0000-0000-0000997C0000}"/>
    <cellStyle name="Normal 87 4 3 2 4" xfId="24080" xr:uid="{00000000-0005-0000-0000-00009A7C0000}"/>
    <cellStyle name="Normal 87 4 3 3" xfId="9961" xr:uid="{00000000-0005-0000-0000-00009B7C0000}"/>
    <cellStyle name="Normal 87 4 3 3 2" xfId="19317" xr:uid="{00000000-0005-0000-0000-00009C7C0000}"/>
    <cellStyle name="Normal 87 4 3 3 2 2" xfId="35891" xr:uid="{00000000-0005-0000-0000-00009D7C0000}"/>
    <cellStyle name="Normal 87 4 3 3 3" xfId="27844" xr:uid="{00000000-0005-0000-0000-00009E7C0000}"/>
    <cellStyle name="Normal 87 4 3 4" xfId="15568" xr:uid="{00000000-0005-0000-0000-00009F7C0000}"/>
    <cellStyle name="Normal 87 4 3 4 2" xfId="32122" xr:uid="{00000000-0005-0000-0000-0000A07C0000}"/>
    <cellStyle name="Normal 87 4 3 5" xfId="24079" xr:uid="{00000000-0005-0000-0000-0000A17C0000}"/>
    <cellStyle name="Normal 87 4 4" xfId="6113" xr:uid="{00000000-0005-0000-0000-0000A27C0000}"/>
    <cellStyle name="Normal 87 4 4 2" xfId="9962" xr:uid="{00000000-0005-0000-0000-0000A37C0000}"/>
    <cellStyle name="Normal 87 4 4 2 2" xfId="19318" xr:uid="{00000000-0005-0000-0000-0000A47C0000}"/>
    <cellStyle name="Normal 87 4 4 2 2 2" xfId="35892" xr:uid="{00000000-0005-0000-0000-0000A57C0000}"/>
    <cellStyle name="Normal 87 4 4 2 3" xfId="27845" xr:uid="{00000000-0005-0000-0000-0000A67C0000}"/>
    <cellStyle name="Normal 87 4 4 3" xfId="15570" xr:uid="{00000000-0005-0000-0000-0000A77C0000}"/>
    <cellStyle name="Normal 87 4 4 3 2" xfId="32124" xr:uid="{00000000-0005-0000-0000-0000A87C0000}"/>
    <cellStyle name="Normal 87 4 4 4" xfId="24081" xr:uid="{00000000-0005-0000-0000-0000A97C0000}"/>
    <cellStyle name="Normal 87 4 5" xfId="9963" xr:uid="{00000000-0005-0000-0000-0000AA7C0000}"/>
    <cellStyle name="Normal 87 4 5 2" xfId="19319" xr:uid="{00000000-0005-0000-0000-0000AB7C0000}"/>
    <cellStyle name="Normal 87 4 5 2 2" xfId="35893" xr:uid="{00000000-0005-0000-0000-0000AC7C0000}"/>
    <cellStyle name="Normal 87 4 5 3" xfId="27846" xr:uid="{00000000-0005-0000-0000-0000AD7C0000}"/>
    <cellStyle name="Normal 87 4 6" xfId="15563" xr:uid="{00000000-0005-0000-0000-0000AE7C0000}"/>
    <cellStyle name="Normal 87 4 6 2" xfId="32117" xr:uid="{00000000-0005-0000-0000-0000AF7C0000}"/>
    <cellStyle name="Normal 87 4 7" xfId="24074" xr:uid="{00000000-0005-0000-0000-0000B07C0000}"/>
    <cellStyle name="Normal 87 5" xfId="6114" xr:uid="{00000000-0005-0000-0000-0000B17C0000}"/>
    <cellStyle name="Normal 87 5 2" xfId="6115" xr:uid="{00000000-0005-0000-0000-0000B27C0000}"/>
    <cellStyle name="Normal 87 5 2 2" xfId="6116" xr:uid="{00000000-0005-0000-0000-0000B37C0000}"/>
    <cellStyle name="Normal 87 5 2 2 2" xfId="6117" xr:uid="{00000000-0005-0000-0000-0000B47C0000}"/>
    <cellStyle name="Normal 87 5 2 2 2 2" xfId="9964" xr:uid="{00000000-0005-0000-0000-0000B57C0000}"/>
    <cellStyle name="Normal 87 5 2 2 2 2 2" xfId="19320" xr:uid="{00000000-0005-0000-0000-0000B67C0000}"/>
    <cellStyle name="Normal 87 5 2 2 2 2 2 2" xfId="35894" xr:uid="{00000000-0005-0000-0000-0000B77C0000}"/>
    <cellStyle name="Normal 87 5 2 2 2 2 3" xfId="27847" xr:uid="{00000000-0005-0000-0000-0000B87C0000}"/>
    <cellStyle name="Normal 87 5 2 2 2 3" xfId="15574" xr:uid="{00000000-0005-0000-0000-0000B97C0000}"/>
    <cellStyle name="Normal 87 5 2 2 2 3 2" xfId="32128" xr:uid="{00000000-0005-0000-0000-0000BA7C0000}"/>
    <cellStyle name="Normal 87 5 2 2 2 4" xfId="24085" xr:uid="{00000000-0005-0000-0000-0000BB7C0000}"/>
    <cellStyle name="Normal 87 5 2 2 3" xfId="9965" xr:uid="{00000000-0005-0000-0000-0000BC7C0000}"/>
    <cellStyle name="Normal 87 5 2 2 3 2" xfId="19321" xr:uid="{00000000-0005-0000-0000-0000BD7C0000}"/>
    <cellStyle name="Normal 87 5 2 2 3 2 2" xfId="35895" xr:uid="{00000000-0005-0000-0000-0000BE7C0000}"/>
    <cellStyle name="Normal 87 5 2 2 3 3" xfId="27848" xr:uid="{00000000-0005-0000-0000-0000BF7C0000}"/>
    <cellStyle name="Normal 87 5 2 2 4" xfId="15573" xr:uid="{00000000-0005-0000-0000-0000C07C0000}"/>
    <cellStyle name="Normal 87 5 2 2 4 2" xfId="32127" xr:uid="{00000000-0005-0000-0000-0000C17C0000}"/>
    <cellStyle name="Normal 87 5 2 2 5" xfId="24084" xr:uid="{00000000-0005-0000-0000-0000C27C0000}"/>
    <cellStyle name="Normal 87 5 2 3" xfId="6118" xr:uid="{00000000-0005-0000-0000-0000C37C0000}"/>
    <cellStyle name="Normal 87 5 2 3 2" xfId="9966" xr:uid="{00000000-0005-0000-0000-0000C47C0000}"/>
    <cellStyle name="Normal 87 5 2 3 2 2" xfId="19322" xr:uid="{00000000-0005-0000-0000-0000C57C0000}"/>
    <cellStyle name="Normal 87 5 2 3 2 2 2" xfId="35896" xr:uid="{00000000-0005-0000-0000-0000C67C0000}"/>
    <cellStyle name="Normal 87 5 2 3 2 3" xfId="27849" xr:uid="{00000000-0005-0000-0000-0000C77C0000}"/>
    <cellStyle name="Normal 87 5 2 3 3" xfId="15575" xr:uid="{00000000-0005-0000-0000-0000C87C0000}"/>
    <cellStyle name="Normal 87 5 2 3 3 2" xfId="32129" xr:uid="{00000000-0005-0000-0000-0000C97C0000}"/>
    <cellStyle name="Normal 87 5 2 3 4" xfId="24086" xr:uid="{00000000-0005-0000-0000-0000CA7C0000}"/>
    <cellStyle name="Normal 87 5 2 4" xfId="9967" xr:uid="{00000000-0005-0000-0000-0000CB7C0000}"/>
    <cellStyle name="Normal 87 5 2 4 2" xfId="19323" xr:uid="{00000000-0005-0000-0000-0000CC7C0000}"/>
    <cellStyle name="Normal 87 5 2 4 2 2" xfId="35897" xr:uid="{00000000-0005-0000-0000-0000CD7C0000}"/>
    <cellStyle name="Normal 87 5 2 4 3" xfId="27850" xr:uid="{00000000-0005-0000-0000-0000CE7C0000}"/>
    <cellStyle name="Normal 87 5 2 5" xfId="15572" xr:uid="{00000000-0005-0000-0000-0000CF7C0000}"/>
    <cellStyle name="Normal 87 5 2 5 2" xfId="32126" xr:uid="{00000000-0005-0000-0000-0000D07C0000}"/>
    <cellStyle name="Normal 87 5 2 6" xfId="24083" xr:uid="{00000000-0005-0000-0000-0000D17C0000}"/>
    <cellStyle name="Normal 87 5 3" xfId="6119" xr:uid="{00000000-0005-0000-0000-0000D27C0000}"/>
    <cellStyle name="Normal 87 5 3 2" xfId="6120" xr:uid="{00000000-0005-0000-0000-0000D37C0000}"/>
    <cellStyle name="Normal 87 5 3 2 2" xfId="9968" xr:uid="{00000000-0005-0000-0000-0000D47C0000}"/>
    <cellStyle name="Normal 87 5 3 2 2 2" xfId="19324" xr:uid="{00000000-0005-0000-0000-0000D57C0000}"/>
    <cellStyle name="Normal 87 5 3 2 2 2 2" xfId="35898" xr:uid="{00000000-0005-0000-0000-0000D67C0000}"/>
    <cellStyle name="Normal 87 5 3 2 2 3" xfId="27851" xr:uid="{00000000-0005-0000-0000-0000D77C0000}"/>
    <cellStyle name="Normal 87 5 3 2 3" xfId="15577" xr:uid="{00000000-0005-0000-0000-0000D87C0000}"/>
    <cellStyle name="Normal 87 5 3 2 3 2" xfId="32131" xr:uid="{00000000-0005-0000-0000-0000D97C0000}"/>
    <cellStyle name="Normal 87 5 3 2 4" xfId="24088" xr:uid="{00000000-0005-0000-0000-0000DA7C0000}"/>
    <cellStyle name="Normal 87 5 3 3" xfId="9969" xr:uid="{00000000-0005-0000-0000-0000DB7C0000}"/>
    <cellStyle name="Normal 87 5 3 3 2" xfId="19325" xr:uid="{00000000-0005-0000-0000-0000DC7C0000}"/>
    <cellStyle name="Normal 87 5 3 3 2 2" xfId="35899" xr:uid="{00000000-0005-0000-0000-0000DD7C0000}"/>
    <cellStyle name="Normal 87 5 3 3 3" xfId="27852" xr:uid="{00000000-0005-0000-0000-0000DE7C0000}"/>
    <cellStyle name="Normal 87 5 3 4" xfId="15576" xr:uid="{00000000-0005-0000-0000-0000DF7C0000}"/>
    <cellStyle name="Normal 87 5 3 4 2" xfId="32130" xr:uid="{00000000-0005-0000-0000-0000E07C0000}"/>
    <cellStyle name="Normal 87 5 3 5" xfId="24087" xr:uid="{00000000-0005-0000-0000-0000E17C0000}"/>
    <cellStyle name="Normal 87 5 4" xfId="6121" xr:uid="{00000000-0005-0000-0000-0000E27C0000}"/>
    <cellStyle name="Normal 87 5 4 2" xfId="9970" xr:uid="{00000000-0005-0000-0000-0000E37C0000}"/>
    <cellStyle name="Normal 87 5 4 2 2" xfId="19326" xr:uid="{00000000-0005-0000-0000-0000E47C0000}"/>
    <cellStyle name="Normal 87 5 4 2 2 2" xfId="35900" xr:uid="{00000000-0005-0000-0000-0000E57C0000}"/>
    <cellStyle name="Normal 87 5 4 2 3" xfId="27853" xr:uid="{00000000-0005-0000-0000-0000E67C0000}"/>
    <cellStyle name="Normal 87 5 4 3" xfId="15578" xr:uid="{00000000-0005-0000-0000-0000E77C0000}"/>
    <cellStyle name="Normal 87 5 4 3 2" xfId="32132" xr:uid="{00000000-0005-0000-0000-0000E87C0000}"/>
    <cellStyle name="Normal 87 5 4 4" xfId="24089" xr:uid="{00000000-0005-0000-0000-0000E97C0000}"/>
    <cellStyle name="Normal 87 5 5" xfId="9971" xr:uid="{00000000-0005-0000-0000-0000EA7C0000}"/>
    <cellStyle name="Normal 87 5 5 2" xfId="19327" xr:uid="{00000000-0005-0000-0000-0000EB7C0000}"/>
    <cellStyle name="Normal 87 5 5 2 2" xfId="35901" xr:uid="{00000000-0005-0000-0000-0000EC7C0000}"/>
    <cellStyle name="Normal 87 5 5 3" xfId="27854" xr:uid="{00000000-0005-0000-0000-0000ED7C0000}"/>
    <cellStyle name="Normal 87 5 6" xfId="15571" xr:uid="{00000000-0005-0000-0000-0000EE7C0000}"/>
    <cellStyle name="Normal 87 5 6 2" xfId="32125" xr:uid="{00000000-0005-0000-0000-0000EF7C0000}"/>
    <cellStyle name="Normal 87 5 7" xfId="24082" xr:uid="{00000000-0005-0000-0000-0000F07C0000}"/>
    <cellStyle name="Normal 87 6" xfId="6122" xr:uid="{00000000-0005-0000-0000-0000F17C0000}"/>
    <cellStyle name="Normal 87 6 2" xfId="6123" xr:uid="{00000000-0005-0000-0000-0000F27C0000}"/>
    <cellStyle name="Normal 87 6 2 2" xfId="6124" xr:uid="{00000000-0005-0000-0000-0000F37C0000}"/>
    <cellStyle name="Normal 87 6 2 2 2" xfId="9972" xr:uid="{00000000-0005-0000-0000-0000F47C0000}"/>
    <cellStyle name="Normal 87 6 2 2 2 2" xfId="19328" xr:uid="{00000000-0005-0000-0000-0000F57C0000}"/>
    <cellStyle name="Normal 87 6 2 2 2 2 2" xfId="35902" xr:uid="{00000000-0005-0000-0000-0000F67C0000}"/>
    <cellStyle name="Normal 87 6 2 2 2 3" xfId="27855" xr:uid="{00000000-0005-0000-0000-0000F77C0000}"/>
    <cellStyle name="Normal 87 6 2 2 3" xfId="15581" xr:uid="{00000000-0005-0000-0000-0000F87C0000}"/>
    <cellStyle name="Normal 87 6 2 2 3 2" xfId="32135" xr:uid="{00000000-0005-0000-0000-0000F97C0000}"/>
    <cellStyle name="Normal 87 6 2 2 4" xfId="24092" xr:uid="{00000000-0005-0000-0000-0000FA7C0000}"/>
    <cellStyle name="Normal 87 6 2 3" xfId="9973" xr:uid="{00000000-0005-0000-0000-0000FB7C0000}"/>
    <cellStyle name="Normal 87 6 2 3 2" xfId="19329" xr:uid="{00000000-0005-0000-0000-0000FC7C0000}"/>
    <cellStyle name="Normal 87 6 2 3 2 2" xfId="35903" xr:uid="{00000000-0005-0000-0000-0000FD7C0000}"/>
    <cellStyle name="Normal 87 6 2 3 3" xfId="27856" xr:uid="{00000000-0005-0000-0000-0000FE7C0000}"/>
    <cellStyle name="Normal 87 6 2 4" xfId="15580" xr:uid="{00000000-0005-0000-0000-0000FF7C0000}"/>
    <cellStyle name="Normal 87 6 2 4 2" xfId="32134" xr:uid="{00000000-0005-0000-0000-0000007D0000}"/>
    <cellStyle name="Normal 87 6 2 5" xfId="24091" xr:uid="{00000000-0005-0000-0000-0000017D0000}"/>
    <cellStyle name="Normal 87 6 3" xfId="6125" xr:uid="{00000000-0005-0000-0000-0000027D0000}"/>
    <cellStyle name="Normal 87 6 3 2" xfId="9974" xr:uid="{00000000-0005-0000-0000-0000037D0000}"/>
    <cellStyle name="Normal 87 6 3 2 2" xfId="19330" xr:uid="{00000000-0005-0000-0000-0000047D0000}"/>
    <cellStyle name="Normal 87 6 3 2 2 2" xfId="35904" xr:uid="{00000000-0005-0000-0000-0000057D0000}"/>
    <cellStyle name="Normal 87 6 3 2 3" xfId="27857" xr:uid="{00000000-0005-0000-0000-0000067D0000}"/>
    <cellStyle name="Normal 87 6 3 3" xfId="15582" xr:uid="{00000000-0005-0000-0000-0000077D0000}"/>
    <cellStyle name="Normal 87 6 3 3 2" xfId="32136" xr:uid="{00000000-0005-0000-0000-0000087D0000}"/>
    <cellStyle name="Normal 87 6 3 4" xfId="24093" xr:uid="{00000000-0005-0000-0000-0000097D0000}"/>
    <cellStyle name="Normal 87 6 4" xfId="9975" xr:uid="{00000000-0005-0000-0000-00000A7D0000}"/>
    <cellStyle name="Normal 87 6 4 2" xfId="19331" xr:uid="{00000000-0005-0000-0000-00000B7D0000}"/>
    <cellStyle name="Normal 87 6 4 2 2" xfId="35905" xr:uid="{00000000-0005-0000-0000-00000C7D0000}"/>
    <cellStyle name="Normal 87 6 4 3" xfId="27858" xr:uid="{00000000-0005-0000-0000-00000D7D0000}"/>
    <cellStyle name="Normal 87 6 5" xfId="15579" xr:uid="{00000000-0005-0000-0000-00000E7D0000}"/>
    <cellStyle name="Normal 87 6 5 2" xfId="32133" xr:uid="{00000000-0005-0000-0000-00000F7D0000}"/>
    <cellStyle name="Normal 87 6 6" xfId="24090" xr:uid="{00000000-0005-0000-0000-0000107D0000}"/>
    <cellStyle name="Normal 87 7" xfId="6126" xr:uid="{00000000-0005-0000-0000-0000117D0000}"/>
    <cellStyle name="Normal 87 7 2" xfId="6127" xr:uid="{00000000-0005-0000-0000-0000127D0000}"/>
    <cellStyle name="Normal 87 7 2 2" xfId="9976" xr:uid="{00000000-0005-0000-0000-0000137D0000}"/>
    <cellStyle name="Normal 87 7 2 2 2" xfId="19332" xr:uid="{00000000-0005-0000-0000-0000147D0000}"/>
    <cellStyle name="Normal 87 7 2 2 2 2" xfId="35906" xr:uid="{00000000-0005-0000-0000-0000157D0000}"/>
    <cellStyle name="Normal 87 7 2 2 3" xfId="27859" xr:uid="{00000000-0005-0000-0000-0000167D0000}"/>
    <cellStyle name="Normal 87 7 2 3" xfId="15584" xr:uid="{00000000-0005-0000-0000-0000177D0000}"/>
    <cellStyle name="Normal 87 7 2 3 2" xfId="32138" xr:uid="{00000000-0005-0000-0000-0000187D0000}"/>
    <cellStyle name="Normal 87 7 2 4" xfId="24095" xr:uid="{00000000-0005-0000-0000-0000197D0000}"/>
    <cellStyle name="Normal 87 7 3" xfId="9977" xr:uid="{00000000-0005-0000-0000-00001A7D0000}"/>
    <cellStyle name="Normal 87 7 3 2" xfId="19333" xr:uid="{00000000-0005-0000-0000-00001B7D0000}"/>
    <cellStyle name="Normal 87 7 3 2 2" xfId="35907" xr:uid="{00000000-0005-0000-0000-00001C7D0000}"/>
    <cellStyle name="Normal 87 7 3 3" xfId="27860" xr:uid="{00000000-0005-0000-0000-00001D7D0000}"/>
    <cellStyle name="Normal 87 7 4" xfId="15583" xr:uid="{00000000-0005-0000-0000-00001E7D0000}"/>
    <cellStyle name="Normal 87 7 4 2" xfId="32137" xr:uid="{00000000-0005-0000-0000-00001F7D0000}"/>
    <cellStyle name="Normal 87 7 5" xfId="24094" xr:uid="{00000000-0005-0000-0000-0000207D0000}"/>
    <cellStyle name="Normal 87 8" xfId="6128" xr:uid="{00000000-0005-0000-0000-0000217D0000}"/>
    <cellStyle name="Normal 87 8 2" xfId="9978" xr:uid="{00000000-0005-0000-0000-0000227D0000}"/>
    <cellStyle name="Normal 87 8 2 2" xfId="19334" xr:uid="{00000000-0005-0000-0000-0000237D0000}"/>
    <cellStyle name="Normal 87 8 2 2 2" xfId="35908" xr:uid="{00000000-0005-0000-0000-0000247D0000}"/>
    <cellStyle name="Normal 87 8 2 3" xfId="27861" xr:uid="{00000000-0005-0000-0000-0000257D0000}"/>
    <cellStyle name="Normal 87 8 3" xfId="15585" xr:uid="{00000000-0005-0000-0000-0000267D0000}"/>
    <cellStyle name="Normal 87 8 3 2" xfId="32139" xr:uid="{00000000-0005-0000-0000-0000277D0000}"/>
    <cellStyle name="Normal 87 8 4" xfId="24096" xr:uid="{00000000-0005-0000-0000-0000287D0000}"/>
    <cellStyle name="Normal 87 9" xfId="9979" xr:uid="{00000000-0005-0000-0000-0000297D0000}"/>
    <cellStyle name="Normal 87 9 2" xfId="19335" xr:uid="{00000000-0005-0000-0000-00002A7D0000}"/>
    <cellStyle name="Normal 87 9 2 2" xfId="35909" xr:uid="{00000000-0005-0000-0000-00002B7D0000}"/>
    <cellStyle name="Normal 87 9 3" xfId="27862" xr:uid="{00000000-0005-0000-0000-00002C7D0000}"/>
    <cellStyle name="Normal 88" xfId="6129" xr:uid="{00000000-0005-0000-0000-00002D7D0000}"/>
    <cellStyle name="Normal 88 10" xfId="15586" xr:uid="{00000000-0005-0000-0000-00002E7D0000}"/>
    <cellStyle name="Normal 88 10 2" xfId="32140" xr:uid="{00000000-0005-0000-0000-00002F7D0000}"/>
    <cellStyle name="Normal 88 11" xfId="24097" xr:uid="{00000000-0005-0000-0000-0000307D0000}"/>
    <cellStyle name="Normal 88 2" xfId="6130" xr:uid="{00000000-0005-0000-0000-0000317D0000}"/>
    <cellStyle name="Normal 88 2 2" xfId="6131" xr:uid="{00000000-0005-0000-0000-0000327D0000}"/>
    <cellStyle name="Normal 88 2 3" xfId="15587" xr:uid="{00000000-0005-0000-0000-0000337D0000}"/>
    <cellStyle name="Normal 88 2 3 2" xfId="32141" xr:uid="{00000000-0005-0000-0000-0000347D0000}"/>
    <cellStyle name="Normal 88 2 4" xfId="24098" xr:uid="{00000000-0005-0000-0000-0000357D0000}"/>
    <cellStyle name="Normal 88 3" xfId="6132" xr:uid="{00000000-0005-0000-0000-0000367D0000}"/>
    <cellStyle name="Normal 88 3 2" xfId="6133" xr:uid="{00000000-0005-0000-0000-0000377D0000}"/>
    <cellStyle name="Normal 88 3 2 2" xfId="6134" xr:uid="{00000000-0005-0000-0000-0000387D0000}"/>
    <cellStyle name="Normal 88 3 2 2 2" xfId="6135" xr:uid="{00000000-0005-0000-0000-0000397D0000}"/>
    <cellStyle name="Normal 88 3 2 2 2 2" xfId="9980" xr:uid="{00000000-0005-0000-0000-00003A7D0000}"/>
    <cellStyle name="Normal 88 3 2 2 2 2 2" xfId="19336" xr:uid="{00000000-0005-0000-0000-00003B7D0000}"/>
    <cellStyle name="Normal 88 3 2 2 2 2 2 2" xfId="35910" xr:uid="{00000000-0005-0000-0000-00003C7D0000}"/>
    <cellStyle name="Normal 88 3 2 2 2 2 3" xfId="27863" xr:uid="{00000000-0005-0000-0000-00003D7D0000}"/>
    <cellStyle name="Normal 88 3 2 2 2 3" xfId="15590" xr:uid="{00000000-0005-0000-0000-00003E7D0000}"/>
    <cellStyle name="Normal 88 3 2 2 2 3 2" xfId="32144" xr:uid="{00000000-0005-0000-0000-00003F7D0000}"/>
    <cellStyle name="Normal 88 3 2 2 2 4" xfId="24101" xr:uid="{00000000-0005-0000-0000-0000407D0000}"/>
    <cellStyle name="Normal 88 3 2 2 3" xfId="9981" xr:uid="{00000000-0005-0000-0000-0000417D0000}"/>
    <cellStyle name="Normal 88 3 2 2 3 2" xfId="19337" xr:uid="{00000000-0005-0000-0000-0000427D0000}"/>
    <cellStyle name="Normal 88 3 2 2 3 2 2" xfId="35911" xr:uid="{00000000-0005-0000-0000-0000437D0000}"/>
    <cellStyle name="Normal 88 3 2 2 3 3" xfId="27864" xr:uid="{00000000-0005-0000-0000-0000447D0000}"/>
    <cellStyle name="Normal 88 3 2 2 4" xfId="15589" xr:uid="{00000000-0005-0000-0000-0000457D0000}"/>
    <cellStyle name="Normal 88 3 2 2 4 2" xfId="32143" xr:uid="{00000000-0005-0000-0000-0000467D0000}"/>
    <cellStyle name="Normal 88 3 2 2 5" xfId="24100" xr:uid="{00000000-0005-0000-0000-0000477D0000}"/>
    <cellStyle name="Normal 88 3 2 3" xfId="6136" xr:uid="{00000000-0005-0000-0000-0000487D0000}"/>
    <cellStyle name="Normal 88 3 2 3 2" xfId="9982" xr:uid="{00000000-0005-0000-0000-0000497D0000}"/>
    <cellStyle name="Normal 88 3 2 3 2 2" xfId="19338" xr:uid="{00000000-0005-0000-0000-00004A7D0000}"/>
    <cellStyle name="Normal 88 3 2 3 2 2 2" xfId="35912" xr:uid="{00000000-0005-0000-0000-00004B7D0000}"/>
    <cellStyle name="Normal 88 3 2 3 2 3" xfId="27865" xr:uid="{00000000-0005-0000-0000-00004C7D0000}"/>
    <cellStyle name="Normal 88 3 2 3 3" xfId="15591" xr:uid="{00000000-0005-0000-0000-00004D7D0000}"/>
    <cellStyle name="Normal 88 3 2 3 3 2" xfId="32145" xr:uid="{00000000-0005-0000-0000-00004E7D0000}"/>
    <cellStyle name="Normal 88 3 2 3 4" xfId="24102" xr:uid="{00000000-0005-0000-0000-00004F7D0000}"/>
    <cellStyle name="Normal 88 3 2 4" xfId="9983" xr:uid="{00000000-0005-0000-0000-0000507D0000}"/>
    <cellStyle name="Normal 88 3 2 4 2" xfId="19339" xr:uid="{00000000-0005-0000-0000-0000517D0000}"/>
    <cellStyle name="Normal 88 3 2 4 2 2" xfId="35913" xr:uid="{00000000-0005-0000-0000-0000527D0000}"/>
    <cellStyle name="Normal 88 3 2 4 3" xfId="27866" xr:uid="{00000000-0005-0000-0000-0000537D0000}"/>
    <cellStyle name="Normal 88 3 2 5" xfId="15588" xr:uid="{00000000-0005-0000-0000-0000547D0000}"/>
    <cellStyle name="Normal 88 3 2 5 2" xfId="32142" xr:uid="{00000000-0005-0000-0000-0000557D0000}"/>
    <cellStyle name="Normal 88 3 2 6" xfId="24099" xr:uid="{00000000-0005-0000-0000-0000567D0000}"/>
    <cellStyle name="Normal 88 3 3" xfId="6137" xr:uid="{00000000-0005-0000-0000-0000577D0000}"/>
    <cellStyle name="Normal 88 3 3 2" xfId="6138" xr:uid="{00000000-0005-0000-0000-0000587D0000}"/>
    <cellStyle name="Normal 88 3 3 2 2" xfId="9984" xr:uid="{00000000-0005-0000-0000-0000597D0000}"/>
    <cellStyle name="Normal 88 3 3 2 2 2" xfId="19340" xr:uid="{00000000-0005-0000-0000-00005A7D0000}"/>
    <cellStyle name="Normal 88 3 3 2 2 2 2" xfId="35914" xr:uid="{00000000-0005-0000-0000-00005B7D0000}"/>
    <cellStyle name="Normal 88 3 3 2 2 3" xfId="27867" xr:uid="{00000000-0005-0000-0000-00005C7D0000}"/>
    <cellStyle name="Normal 88 3 3 2 3" xfId="15593" xr:uid="{00000000-0005-0000-0000-00005D7D0000}"/>
    <cellStyle name="Normal 88 3 3 2 3 2" xfId="32147" xr:uid="{00000000-0005-0000-0000-00005E7D0000}"/>
    <cellStyle name="Normal 88 3 3 2 4" xfId="24104" xr:uid="{00000000-0005-0000-0000-00005F7D0000}"/>
    <cellStyle name="Normal 88 3 3 3" xfId="9985" xr:uid="{00000000-0005-0000-0000-0000607D0000}"/>
    <cellStyle name="Normal 88 3 3 3 2" xfId="19341" xr:uid="{00000000-0005-0000-0000-0000617D0000}"/>
    <cellStyle name="Normal 88 3 3 3 2 2" xfId="35915" xr:uid="{00000000-0005-0000-0000-0000627D0000}"/>
    <cellStyle name="Normal 88 3 3 3 3" xfId="27868" xr:uid="{00000000-0005-0000-0000-0000637D0000}"/>
    <cellStyle name="Normal 88 3 3 4" xfId="15592" xr:uid="{00000000-0005-0000-0000-0000647D0000}"/>
    <cellStyle name="Normal 88 3 3 4 2" xfId="32146" xr:uid="{00000000-0005-0000-0000-0000657D0000}"/>
    <cellStyle name="Normal 88 3 3 5" xfId="24103" xr:uid="{00000000-0005-0000-0000-0000667D0000}"/>
    <cellStyle name="Normal 88 3 4" xfId="6139" xr:uid="{00000000-0005-0000-0000-0000677D0000}"/>
    <cellStyle name="Normal 88 3 4 2" xfId="9986" xr:uid="{00000000-0005-0000-0000-0000687D0000}"/>
    <cellStyle name="Normal 88 3 4 2 2" xfId="19342" xr:uid="{00000000-0005-0000-0000-0000697D0000}"/>
    <cellStyle name="Normal 88 3 4 2 2 2" xfId="35916" xr:uid="{00000000-0005-0000-0000-00006A7D0000}"/>
    <cellStyle name="Normal 88 3 4 2 3" xfId="27869" xr:uid="{00000000-0005-0000-0000-00006B7D0000}"/>
    <cellStyle name="Normal 88 3 4 3" xfId="15594" xr:uid="{00000000-0005-0000-0000-00006C7D0000}"/>
    <cellStyle name="Normal 88 3 4 3 2" xfId="32148" xr:uid="{00000000-0005-0000-0000-00006D7D0000}"/>
    <cellStyle name="Normal 88 3 4 4" xfId="24105" xr:uid="{00000000-0005-0000-0000-00006E7D0000}"/>
    <cellStyle name="Normal 88 3 5" xfId="6140" xr:uid="{00000000-0005-0000-0000-00006F7D0000}"/>
    <cellStyle name="Normal 88 3 5 2" xfId="15595" xr:uid="{00000000-0005-0000-0000-0000707D0000}"/>
    <cellStyle name="Normal 88 3 5 2 2" xfId="32149" xr:uid="{00000000-0005-0000-0000-0000717D0000}"/>
    <cellStyle name="Normal 88 3 5 3" xfId="24106" xr:uid="{00000000-0005-0000-0000-0000727D0000}"/>
    <cellStyle name="Normal 88 4" xfId="6141" xr:uid="{00000000-0005-0000-0000-0000737D0000}"/>
    <cellStyle name="Normal 88 4 2" xfId="6142" xr:uid="{00000000-0005-0000-0000-0000747D0000}"/>
    <cellStyle name="Normal 88 4 2 2" xfId="6143" xr:uid="{00000000-0005-0000-0000-0000757D0000}"/>
    <cellStyle name="Normal 88 4 2 2 2" xfId="6144" xr:uid="{00000000-0005-0000-0000-0000767D0000}"/>
    <cellStyle name="Normal 88 4 2 2 2 2" xfId="9987" xr:uid="{00000000-0005-0000-0000-0000777D0000}"/>
    <cellStyle name="Normal 88 4 2 2 2 2 2" xfId="19343" xr:uid="{00000000-0005-0000-0000-0000787D0000}"/>
    <cellStyle name="Normal 88 4 2 2 2 2 2 2" xfId="35917" xr:uid="{00000000-0005-0000-0000-0000797D0000}"/>
    <cellStyle name="Normal 88 4 2 2 2 2 3" xfId="27870" xr:uid="{00000000-0005-0000-0000-00007A7D0000}"/>
    <cellStyle name="Normal 88 4 2 2 2 3" xfId="15599" xr:uid="{00000000-0005-0000-0000-00007B7D0000}"/>
    <cellStyle name="Normal 88 4 2 2 2 3 2" xfId="32153" xr:uid="{00000000-0005-0000-0000-00007C7D0000}"/>
    <cellStyle name="Normal 88 4 2 2 2 4" xfId="24110" xr:uid="{00000000-0005-0000-0000-00007D7D0000}"/>
    <cellStyle name="Normal 88 4 2 2 3" xfId="9988" xr:uid="{00000000-0005-0000-0000-00007E7D0000}"/>
    <cellStyle name="Normal 88 4 2 2 3 2" xfId="19344" xr:uid="{00000000-0005-0000-0000-00007F7D0000}"/>
    <cellStyle name="Normal 88 4 2 2 3 2 2" xfId="35918" xr:uid="{00000000-0005-0000-0000-0000807D0000}"/>
    <cellStyle name="Normal 88 4 2 2 3 3" xfId="27871" xr:uid="{00000000-0005-0000-0000-0000817D0000}"/>
    <cellStyle name="Normal 88 4 2 2 4" xfId="15598" xr:uid="{00000000-0005-0000-0000-0000827D0000}"/>
    <cellStyle name="Normal 88 4 2 2 4 2" xfId="32152" xr:uid="{00000000-0005-0000-0000-0000837D0000}"/>
    <cellStyle name="Normal 88 4 2 2 5" xfId="24109" xr:uid="{00000000-0005-0000-0000-0000847D0000}"/>
    <cellStyle name="Normal 88 4 2 3" xfId="6145" xr:uid="{00000000-0005-0000-0000-0000857D0000}"/>
    <cellStyle name="Normal 88 4 2 3 2" xfId="9989" xr:uid="{00000000-0005-0000-0000-0000867D0000}"/>
    <cellStyle name="Normal 88 4 2 3 2 2" xfId="19345" xr:uid="{00000000-0005-0000-0000-0000877D0000}"/>
    <cellStyle name="Normal 88 4 2 3 2 2 2" xfId="35919" xr:uid="{00000000-0005-0000-0000-0000887D0000}"/>
    <cellStyle name="Normal 88 4 2 3 2 3" xfId="27872" xr:uid="{00000000-0005-0000-0000-0000897D0000}"/>
    <cellStyle name="Normal 88 4 2 3 3" xfId="15600" xr:uid="{00000000-0005-0000-0000-00008A7D0000}"/>
    <cellStyle name="Normal 88 4 2 3 3 2" xfId="32154" xr:uid="{00000000-0005-0000-0000-00008B7D0000}"/>
    <cellStyle name="Normal 88 4 2 3 4" xfId="24111" xr:uid="{00000000-0005-0000-0000-00008C7D0000}"/>
    <cellStyle name="Normal 88 4 2 4" xfId="9990" xr:uid="{00000000-0005-0000-0000-00008D7D0000}"/>
    <cellStyle name="Normal 88 4 2 4 2" xfId="19346" xr:uid="{00000000-0005-0000-0000-00008E7D0000}"/>
    <cellStyle name="Normal 88 4 2 4 2 2" xfId="35920" xr:uid="{00000000-0005-0000-0000-00008F7D0000}"/>
    <cellStyle name="Normal 88 4 2 4 3" xfId="27873" xr:uid="{00000000-0005-0000-0000-0000907D0000}"/>
    <cellStyle name="Normal 88 4 2 5" xfId="15597" xr:uid="{00000000-0005-0000-0000-0000917D0000}"/>
    <cellStyle name="Normal 88 4 2 5 2" xfId="32151" xr:uid="{00000000-0005-0000-0000-0000927D0000}"/>
    <cellStyle name="Normal 88 4 2 6" xfId="24108" xr:uid="{00000000-0005-0000-0000-0000937D0000}"/>
    <cellStyle name="Normal 88 4 3" xfId="6146" xr:uid="{00000000-0005-0000-0000-0000947D0000}"/>
    <cellStyle name="Normal 88 4 3 2" xfId="6147" xr:uid="{00000000-0005-0000-0000-0000957D0000}"/>
    <cellStyle name="Normal 88 4 3 2 2" xfId="9991" xr:uid="{00000000-0005-0000-0000-0000967D0000}"/>
    <cellStyle name="Normal 88 4 3 2 2 2" xfId="19347" xr:uid="{00000000-0005-0000-0000-0000977D0000}"/>
    <cellStyle name="Normal 88 4 3 2 2 2 2" xfId="35921" xr:uid="{00000000-0005-0000-0000-0000987D0000}"/>
    <cellStyle name="Normal 88 4 3 2 2 3" xfId="27874" xr:uid="{00000000-0005-0000-0000-0000997D0000}"/>
    <cellStyle name="Normal 88 4 3 2 3" xfId="15602" xr:uid="{00000000-0005-0000-0000-00009A7D0000}"/>
    <cellStyle name="Normal 88 4 3 2 3 2" xfId="32156" xr:uid="{00000000-0005-0000-0000-00009B7D0000}"/>
    <cellStyle name="Normal 88 4 3 2 4" xfId="24113" xr:uid="{00000000-0005-0000-0000-00009C7D0000}"/>
    <cellStyle name="Normal 88 4 3 3" xfId="9992" xr:uid="{00000000-0005-0000-0000-00009D7D0000}"/>
    <cellStyle name="Normal 88 4 3 3 2" xfId="19348" xr:uid="{00000000-0005-0000-0000-00009E7D0000}"/>
    <cellStyle name="Normal 88 4 3 3 2 2" xfId="35922" xr:uid="{00000000-0005-0000-0000-00009F7D0000}"/>
    <cellStyle name="Normal 88 4 3 3 3" xfId="27875" xr:uid="{00000000-0005-0000-0000-0000A07D0000}"/>
    <cellStyle name="Normal 88 4 3 4" xfId="15601" xr:uid="{00000000-0005-0000-0000-0000A17D0000}"/>
    <cellStyle name="Normal 88 4 3 4 2" xfId="32155" xr:uid="{00000000-0005-0000-0000-0000A27D0000}"/>
    <cellStyle name="Normal 88 4 3 5" xfId="24112" xr:uid="{00000000-0005-0000-0000-0000A37D0000}"/>
    <cellStyle name="Normal 88 4 4" xfId="6148" xr:uid="{00000000-0005-0000-0000-0000A47D0000}"/>
    <cellStyle name="Normal 88 4 4 2" xfId="9993" xr:uid="{00000000-0005-0000-0000-0000A57D0000}"/>
    <cellStyle name="Normal 88 4 4 2 2" xfId="19349" xr:uid="{00000000-0005-0000-0000-0000A67D0000}"/>
    <cellStyle name="Normal 88 4 4 2 2 2" xfId="35923" xr:uid="{00000000-0005-0000-0000-0000A77D0000}"/>
    <cellStyle name="Normal 88 4 4 2 3" xfId="27876" xr:uid="{00000000-0005-0000-0000-0000A87D0000}"/>
    <cellStyle name="Normal 88 4 4 3" xfId="15603" xr:uid="{00000000-0005-0000-0000-0000A97D0000}"/>
    <cellStyle name="Normal 88 4 4 3 2" xfId="32157" xr:uid="{00000000-0005-0000-0000-0000AA7D0000}"/>
    <cellStyle name="Normal 88 4 4 4" xfId="24114" xr:uid="{00000000-0005-0000-0000-0000AB7D0000}"/>
    <cellStyle name="Normal 88 4 5" xfId="9994" xr:uid="{00000000-0005-0000-0000-0000AC7D0000}"/>
    <cellStyle name="Normal 88 4 5 2" xfId="19350" xr:uid="{00000000-0005-0000-0000-0000AD7D0000}"/>
    <cellStyle name="Normal 88 4 5 2 2" xfId="35924" xr:uid="{00000000-0005-0000-0000-0000AE7D0000}"/>
    <cellStyle name="Normal 88 4 5 3" xfId="27877" xr:uid="{00000000-0005-0000-0000-0000AF7D0000}"/>
    <cellStyle name="Normal 88 4 6" xfId="15596" xr:uid="{00000000-0005-0000-0000-0000B07D0000}"/>
    <cellStyle name="Normal 88 4 6 2" xfId="32150" xr:uid="{00000000-0005-0000-0000-0000B17D0000}"/>
    <cellStyle name="Normal 88 4 7" xfId="24107" xr:uid="{00000000-0005-0000-0000-0000B27D0000}"/>
    <cellStyle name="Normal 88 5" xfId="6149" xr:uid="{00000000-0005-0000-0000-0000B37D0000}"/>
    <cellStyle name="Normal 88 5 2" xfId="6150" xr:uid="{00000000-0005-0000-0000-0000B47D0000}"/>
    <cellStyle name="Normal 88 5 2 2" xfId="6151" xr:uid="{00000000-0005-0000-0000-0000B57D0000}"/>
    <cellStyle name="Normal 88 5 2 2 2" xfId="6152" xr:uid="{00000000-0005-0000-0000-0000B67D0000}"/>
    <cellStyle name="Normal 88 5 2 2 2 2" xfId="9995" xr:uid="{00000000-0005-0000-0000-0000B77D0000}"/>
    <cellStyle name="Normal 88 5 2 2 2 2 2" xfId="19351" xr:uid="{00000000-0005-0000-0000-0000B87D0000}"/>
    <cellStyle name="Normal 88 5 2 2 2 2 2 2" xfId="35925" xr:uid="{00000000-0005-0000-0000-0000B97D0000}"/>
    <cellStyle name="Normal 88 5 2 2 2 2 3" xfId="27878" xr:uid="{00000000-0005-0000-0000-0000BA7D0000}"/>
    <cellStyle name="Normal 88 5 2 2 2 3" xfId="15607" xr:uid="{00000000-0005-0000-0000-0000BB7D0000}"/>
    <cellStyle name="Normal 88 5 2 2 2 3 2" xfId="32161" xr:uid="{00000000-0005-0000-0000-0000BC7D0000}"/>
    <cellStyle name="Normal 88 5 2 2 2 4" xfId="24118" xr:uid="{00000000-0005-0000-0000-0000BD7D0000}"/>
    <cellStyle name="Normal 88 5 2 2 3" xfId="9996" xr:uid="{00000000-0005-0000-0000-0000BE7D0000}"/>
    <cellStyle name="Normal 88 5 2 2 3 2" xfId="19352" xr:uid="{00000000-0005-0000-0000-0000BF7D0000}"/>
    <cellStyle name="Normal 88 5 2 2 3 2 2" xfId="35926" xr:uid="{00000000-0005-0000-0000-0000C07D0000}"/>
    <cellStyle name="Normal 88 5 2 2 3 3" xfId="27879" xr:uid="{00000000-0005-0000-0000-0000C17D0000}"/>
    <cellStyle name="Normal 88 5 2 2 4" xfId="15606" xr:uid="{00000000-0005-0000-0000-0000C27D0000}"/>
    <cellStyle name="Normal 88 5 2 2 4 2" xfId="32160" xr:uid="{00000000-0005-0000-0000-0000C37D0000}"/>
    <cellStyle name="Normal 88 5 2 2 5" xfId="24117" xr:uid="{00000000-0005-0000-0000-0000C47D0000}"/>
    <cellStyle name="Normal 88 5 2 3" xfId="6153" xr:uid="{00000000-0005-0000-0000-0000C57D0000}"/>
    <cellStyle name="Normal 88 5 2 3 2" xfId="9997" xr:uid="{00000000-0005-0000-0000-0000C67D0000}"/>
    <cellStyle name="Normal 88 5 2 3 2 2" xfId="19353" xr:uid="{00000000-0005-0000-0000-0000C77D0000}"/>
    <cellStyle name="Normal 88 5 2 3 2 2 2" xfId="35927" xr:uid="{00000000-0005-0000-0000-0000C87D0000}"/>
    <cellStyle name="Normal 88 5 2 3 2 3" xfId="27880" xr:uid="{00000000-0005-0000-0000-0000C97D0000}"/>
    <cellStyle name="Normal 88 5 2 3 3" xfId="15608" xr:uid="{00000000-0005-0000-0000-0000CA7D0000}"/>
    <cellStyle name="Normal 88 5 2 3 3 2" xfId="32162" xr:uid="{00000000-0005-0000-0000-0000CB7D0000}"/>
    <cellStyle name="Normal 88 5 2 3 4" xfId="24119" xr:uid="{00000000-0005-0000-0000-0000CC7D0000}"/>
    <cellStyle name="Normal 88 5 2 4" xfId="9998" xr:uid="{00000000-0005-0000-0000-0000CD7D0000}"/>
    <cellStyle name="Normal 88 5 2 4 2" xfId="19354" xr:uid="{00000000-0005-0000-0000-0000CE7D0000}"/>
    <cellStyle name="Normal 88 5 2 4 2 2" xfId="35928" xr:uid="{00000000-0005-0000-0000-0000CF7D0000}"/>
    <cellStyle name="Normal 88 5 2 4 3" xfId="27881" xr:uid="{00000000-0005-0000-0000-0000D07D0000}"/>
    <cellStyle name="Normal 88 5 2 5" xfId="15605" xr:uid="{00000000-0005-0000-0000-0000D17D0000}"/>
    <cellStyle name="Normal 88 5 2 5 2" xfId="32159" xr:uid="{00000000-0005-0000-0000-0000D27D0000}"/>
    <cellStyle name="Normal 88 5 2 6" xfId="24116" xr:uid="{00000000-0005-0000-0000-0000D37D0000}"/>
    <cellStyle name="Normal 88 5 3" xfId="6154" xr:uid="{00000000-0005-0000-0000-0000D47D0000}"/>
    <cellStyle name="Normal 88 5 3 2" xfId="6155" xr:uid="{00000000-0005-0000-0000-0000D57D0000}"/>
    <cellStyle name="Normal 88 5 3 2 2" xfId="9999" xr:uid="{00000000-0005-0000-0000-0000D67D0000}"/>
    <cellStyle name="Normal 88 5 3 2 2 2" xfId="19355" xr:uid="{00000000-0005-0000-0000-0000D77D0000}"/>
    <cellStyle name="Normal 88 5 3 2 2 2 2" xfId="35929" xr:uid="{00000000-0005-0000-0000-0000D87D0000}"/>
    <cellStyle name="Normal 88 5 3 2 2 3" xfId="27882" xr:uid="{00000000-0005-0000-0000-0000D97D0000}"/>
    <cellStyle name="Normal 88 5 3 2 3" xfId="15610" xr:uid="{00000000-0005-0000-0000-0000DA7D0000}"/>
    <cellStyle name="Normal 88 5 3 2 3 2" xfId="32164" xr:uid="{00000000-0005-0000-0000-0000DB7D0000}"/>
    <cellStyle name="Normal 88 5 3 2 4" xfId="24121" xr:uid="{00000000-0005-0000-0000-0000DC7D0000}"/>
    <cellStyle name="Normal 88 5 3 3" xfId="10000" xr:uid="{00000000-0005-0000-0000-0000DD7D0000}"/>
    <cellStyle name="Normal 88 5 3 3 2" xfId="19356" xr:uid="{00000000-0005-0000-0000-0000DE7D0000}"/>
    <cellStyle name="Normal 88 5 3 3 2 2" xfId="35930" xr:uid="{00000000-0005-0000-0000-0000DF7D0000}"/>
    <cellStyle name="Normal 88 5 3 3 3" xfId="27883" xr:uid="{00000000-0005-0000-0000-0000E07D0000}"/>
    <cellStyle name="Normal 88 5 3 4" xfId="15609" xr:uid="{00000000-0005-0000-0000-0000E17D0000}"/>
    <cellStyle name="Normal 88 5 3 4 2" xfId="32163" xr:uid="{00000000-0005-0000-0000-0000E27D0000}"/>
    <cellStyle name="Normal 88 5 3 5" xfId="24120" xr:uid="{00000000-0005-0000-0000-0000E37D0000}"/>
    <cellStyle name="Normal 88 5 4" xfId="6156" xr:uid="{00000000-0005-0000-0000-0000E47D0000}"/>
    <cellStyle name="Normal 88 5 4 2" xfId="10001" xr:uid="{00000000-0005-0000-0000-0000E57D0000}"/>
    <cellStyle name="Normal 88 5 4 2 2" xfId="19357" xr:uid="{00000000-0005-0000-0000-0000E67D0000}"/>
    <cellStyle name="Normal 88 5 4 2 2 2" xfId="35931" xr:uid="{00000000-0005-0000-0000-0000E77D0000}"/>
    <cellStyle name="Normal 88 5 4 2 3" xfId="27884" xr:uid="{00000000-0005-0000-0000-0000E87D0000}"/>
    <cellStyle name="Normal 88 5 4 3" xfId="15611" xr:uid="{00000000-0005-0000-0000-0000E97D0000}"/>
    <cellStyle name="Normal 88 5 4 3 2" xfId="32165" xr:uid="{00000000-0005-0000-0000-0000EA7D0000}"/>
    <cellStyle name="Normal 88 5 4 4" xfId="24122" xr:uid="{00000000-0005-0000-0000-0000EB7D0000}"/>
    <cellStyle name="Normal 88 5 5" xfId="10002" xr:uid="{00000000-0005-0000-0000-0000EC7D0000}"/>
    <cellStyle name="Normal 88 5 5 2" xfId="19358" xr:uid="{00000000-0005-0000-0000-0000ED7D0000}"/>
    <cellStyle name="Normal 88 5 5 2 2" xfId="35932" xr:uid="{00000000-0005-0000-0000-0000EE7D0000}"/>
    <cellStyle name="Normal 88 5 5 3" xfId="27885" xr:uid="{00000000-0005-0000-0000-0000EF7D0000}"/>
    <cellStyle name="Normal 88 5 6" xfId="15604" xr:uid="{00000000-0005-0000-0000-0000F07D0000}"/>
    <cellStyle name="Normal 88 5 6 2" xfId="32158" xr:uid="{00000000-0005-0000-0000-0000F17D0000}"/>
    <cellStyle name="Normal 88 5 7" xfId="24115" xr:uid="{00000000-0005-0000-0000-0000F27D0000}"/>
    <cellStyle name="Normal 88 6" xfId="6157" xr:uid="{00000000-0005-0000-0000-0000F37D0000}"/>
    <cellStyle name="Normal 88 6 2" xfId="6158" xr:uid="{00000000-0005-0000-0000-0000F47D0000}"/>
    <cellStyle name="Normal 88 6 2 2" xfId="6159" xr:uid="{00000000-0005-0000-0000-0000F57D0000}"/>
    <cellStyle name="Normal 88 6 2 2 2" xfId="10003" xr:uid="{00000000-0005-0000-0000-0000F67D0000}"/>
    <cellStyle name="Normal 88 6 2 2 2 2" xfId="19359" xr:uid="{00000000-0005-0000-0000-0000F77D0000}"/>
    <cellStyle name="Normal 88 6 2 2 2 2 2" xfId="35933" xr:uid="{00000000-0005-0000-0000-0000F87D0000}"/>
    <cellStyle name="Normal 88 6 2 2 2 3" xfId="27886" xr:uid="{00000000-0005-0000-0000-0000F97D0000}"/>
    <cellStyle name="Normal 88 6 2 2 3" xfId="15614" xr:uid="{00000000-0005-0000-0000-0000FA7D0000}"/>
    <cellStyle name="Normal 88 6 2 2 3 2" xfId="32168" xr:uid="{00000000-0005-0000-0000-0000FB7D0000}"/>
    <cellStyle name="Normal 88 6 2 2 4" xfId="24125" xr:uid="{00000000-0005-0000-0000-0000FC7D0000}"/>
    <cellStyle name="Normal 88 6 2 3" xfId="10004" xr:uid="{00000000-0005-0000-0000-0000FD7D0000}"/>
    <cellStyle name="Normal 88 6 2 3 2" xfId="19360" xr:uid="{00000000-0005-0000-0000-0000FE7D0000}"/>
    <cellStyle name="Normal 88 6 2 3 2 2" xfId="35934" xr:uid="{00000000-0005-0000-0000-0000FF7D0000}"/>
    <cellStyle name="Normal 88 6 2 3 3" xfId="27887" xr:uid="{00000000-0005-0000-0000-0000007E0000}"/>
    <cellStyle name="Normal 88 6 2 4" xfId="15613" xr:uid="{00000000-0005-0000-0000-0000017E0000}"/>
    <cellStyle name="Normal 88 6 2 4 2" xfId="32167" xr:uid="{00000000-0005-0000-0000-0000027E0000}"/>
    <cellStyle name="Normal 88 6 2 5" xfId="24124" xr:uid="{00000000-0005-0000-0000-0000037E0000}"/>
    <cellStyle name="Normal 88 6 3" xfId="6160" xr:uid="{00000000-0005-0000-0000-0000047E0000}"/>
    <cellStyle name="Normal 88 6 3 2" xfId="10005" xr:uid="{00000000-0005-0000-0000-0000057E0000}"/>
    <cellStyle name="Normal 88 6 3 2 2" xfId="19361" xr:uid="{00000000-0005-0000-0000-0000067E0000}"/>
    <cellStyle name="Normal 88 6 3 2 2 2" xfId="35935" xr:uid="{00000000-0005-0000-0000-0000077E0000}"/>
    <cellStyle name="Normal 88 6 3 2 3" xfId="27888" xr:uid="{00000000-0005-0000-0000-0000087E0000}"/>
    <cellStyle name="Normal 88 6 3 3" xfId="15615" xr:uid="{00000000-0005-0000-0000-0000097E0000}"/>
    <cellStyle name="Normal 88 6 3 3 2" xfId="32169" xr:uid="{00000000-0005-0000-0000-00000A7E0000}"/>
    <cellStyle name="Normal 88 6 3 4" xfId="24126" xr:uid="{00000000-0005-0000-0000-00000B7E0000}"/>
    <cellStyle name="Normal 88 6 4" xfId="10006" xr:uid="{00000000-0005-0000-0000-00000C7E0000}"/>
    <cellStyle name="Normal 88 6 4 2" xfId="19362" xr:uid="{00000000-0005-0000-0000-00000D7E0000}"/>
    <cellStyle name="Normal 88 6 4 2 2" xfId="35936" xr:uid="{00000000-0005-0000-0000-00000E7E0000}"/>
    <cellStyle name="Normal 88 6 4 3" xfId="27889" xr:uid="{00000000-0005-0000-0000-00000F7E0000}"/>
    <cellStyle name="Normal 88 6 5" xfId="15612" xr:uid="{00000000-0005-0000-0000-0000107E0000}"/>
    <cellStyle name="Normal 88 6 5 2" xfId="32166" xr:uid="{00000000-0005-0000-0000-0000117E0000}"/>
    <cellStyle name="Normal 88 6 6" xfId="24123" xr:uid="{00000000-0005-0000-0000-0000127E0000}"/>
    <cellStyle name="Normal 88 7" xfId="6161" xr:uid="{00000000-0005-0000-0000-0000137E0000}"/>
    <cellStyle name="Normal 88 7 2" xfId="6162" xr:uid="{00000000-0005-0000-0000-0000147E0000}"/>
    <cellStyle name="Normal 88 7 2 2" xfId="10007" xr:uid="{00000000-0005-0000-0000-0000157E0000}"/>
    <cellStyle name="Normal 88 7 2 2 2" xfId="19363" xr:uid="{00000000-0005-0000-0000-0000167E0000}"/>
    <cellStyle name="Normal 88 7 2 2 2 2" xfId="35937" xr:uid="{00000000-0005-0000-0000-0000177E0000}"/>
    <cellStyle name="Normal 88 7 2 2 3" xfId="27890" xr:uid="{00000000-0005-0000-0000-0000187E0000}"/>
    <cellStyle name="Normal 88 7 2 3" xfId="15617" xr:uid="{00000000-0005-0000-0000-0000197E0000}"/>
    <cellStyle name="Normal 88 7 2 3 2" xfId="32171" xr:uid="{00000000-0005-0000-0000-00001A7E0000}"/>
    <cellStyle name="Normal 88 7 2 4" xfId="24128" xr:uid="{00000000-0005-0000-0000-00001B7E0000}"/>
    <cellStyle name="Normal 88 7 3" xfId="10008" xr:uid="{00000000-0005-0000-0000-00001C7E0000}"/>
    <cellStyle name="Normal 88 7 3 2" xfId="19364" xr:uid="{00000000-0005-0000-0000-00001D7E0000}"/>
    <cellStyle name="Normal 88 7 3 2 2" xfId="35938" xr:uid="{00000000-0005-0000-0000-00001E7E0000}"/>
    <cellStyle name="Normal 88 7 3 3" xfId="27891" xr:uid="{00000000-0005-0000-0000-00001F7E0000}"/>
    <cellStyle name="Normal 88 7 4" xfId="15616" xr:uid="{00000000-0005-0000-0000-0000207E0000}"/>
    <cellStyle name="Normal 88 7 4 2" xfId="32170" xr:uid="{00000000-0005-0000-0000-0000217E0000}"/>
    <cellStyle name="Normal 88 7 5" xfId="24127" xr:uid="{00000000-0005-0000-0000-0000227E0000}"/>
    <cellStyle name="Normal 88 8" xfId="6163" xr:uid="{00000000-0005-0000-0000-0000237E0000}"/>
    <cellStyle name="Normal 88 8 2" xfId="10009" xr:uid="{00000000-0005-0000-0000-0000247E0000}"/>
    <cellStyle name="Normal 88 8 2 2" xfId="19365" xr:uid="{00000000-0005-0000-0000-0000257E0000}"/>
    <cellStyle name="Normal 88 8 2 2 2" xfId="35939" xr:uid="{00000000-0005-0000-0000-0000267E0000}"/>
    <cellStyle name="Normal 88 8 2 3" xfId="27892" xr:uid="{00000000-0005-0000-0000-0000277E0000}"/>
    <cellStyle name="Normal 88 8 3" xfId="15618" xr:uid="{00000000-0005-0000-0000-0000287E0000}"/>
    <cellStyle name="Normal 88 8 3 2" xfId="32172" xr:uid="{00000000-0005-0000-0000-0000297E0000}"/>
    <cellStyle name="Normal 88 8 4" xfId="24129" xr:uid="{00000000-0005-0000-0000-00002A7E0000}"/>
    <cellStyle name="Normal 88 9" xfId="10010" xr:uid="{00000000-0005-0000-0000-00002B7E0000}"/>
    <cellStyle name="Normal 88 9 2" xfId="19366" xr:uid="{00000000-0005-0000-0000-00002C7E0000}"/>
    <cellStyle name="Normal 88 9 2 2" xfId="35940" xr:uid="{00000000-0005-0000-0000-00002D7E0000}"/>
    <cellStyle name="Normal 88 9 3" xfId="27893" xr:uid="{00000000-0005-0000-0000-00002E7E0000}"/>
    <cellStyle name="Normal 89" xfId="6164" xr:uid="{00000000-0005-0000-0000-00002F7E0000}"/>
    <cellStyle name="Normal 89 10" xfId="15619" xr:uid="{00000000-0005-0000-0000-0000307E0000}"/>
    <cellStyle name="Normal 89 10 2" xfId="32173" xr:uid="{00000000-0005-0000-0000-0000317E0000}"/>
    <cellStyle name="Normal 89 11" xfId="24130" xr:uid="{00000000-0005-0000-0000-0000327E0000}"/>
    <cellStyle name="Normal 89 2" xfId="6165" xr:uid="{00000000-0005-0000-0000-0000337E0000}"/>
    <cellStyle name="Normal 89 2 2" xfId="6166" xr:uid="{00000000-0005-0000-0000-0000347E0000}"/>
    <cellStyle name="Normal 89 2 3" xfId="15620" xr:uid="{00000000-0005-0000-0000-0000357E0000}"/>
    <cellStyle name="Normal 89 2 3 2" xfId="32174" xr:uid="{00000000-0005-0000-0000-0000367E0000}"/>
    <cellStyle name="Normal 89 2 4" xfId="24131" xr:uid="{00000000-0005-0000-0000-0000377E0000}"/>
    <cellStyle name="Normal 89 3" xfId="6167" xr:uid="{00000000-0005-0000-0000-0000387E0000}"/>
    <cellStyle name="Normal 89 3 2" xfId="6168" xr:uid="{00000000-0005-0000-0000-0000397E0000}"/>
    <cellStyle name="Normal 89 3 2 2" xfId="6169" xr:uid="{00000000-0005-0000-0000-00003A7E0000}"/>
    <cellStyle name="Normal 89 3 2 2 2" xfId="6170" xr:uid="{00000000-0005-0000-0000-00003B7E0000}"/>
    <cellStyle name="Normal 89 3 2 2 2 2" xfId="10011" xr:uid="{00000000-0005-0000-0000-00003C7E0000}"/>
    <cellStyle name="Normal 89 3 2 2 2 2 2" xfId="19367" xr:uid="{00000000-0005-0000-0000-00003D7E0000}"/>
    <cellStyle name="Normal 89 3 2 2 2 2 2 2" xfId="35941" xr:uid="{00000000-0005-0000-0000-00003E7E0000}"/>
    <cellStyle name="Normal 89 3 2 2 2 2 3" xfId="27894" xr:uid="{00000000-0005-0000-0000-00003F7E0000}"/>
    <cellStyle name="Normal 89 3 2 2 2 3" xfId="15623" xr:uid="{00000000-0005-0000-0000-0000407E0000}"/>
    <cellStyle name="Normal 89 3 2 2 2 3 2" xfId="32177" xr:uid="{00000000-0005-0000-0000-0000417E0000}"/>
    <cellStyle name="Normal 89 3 2 2 2 4" xfId="24134" xr:uid="{00000000-0005-0000-0000-0000427E0000}"/>
    <cellStyle name="Normal 89 3 2 2 3" xfId="10012" xr:uid="{00000000-0005-0000-0000-0000437E0000}"/>
    <cellStyle name="Normal 89 3 2 2 3 2" xfId="19368" xr:uid="{00000000-0005-0000-0000-0000447E0000}"/>
    <cellStyle name="Normal 89 3 2 2 3 2 2" xfId="35942" xr:uid="{00000000-0005-0000-0000-0000457E0000}"/>
    <cellStyle name="Normal 89 3 2 2 3 3" xfId="27895" xr:uid="{00000000-0005-0000-0000-0000467E0000}"/>
    <cellStyle name="Normal 89 3 2 2 4" xfId="15622" xr:uid="{00000000-0005-0000-0000-0000477E0000}"/>
    <cellStyle name="Normal 89 3 2 2 4 2" xfId="32176" xr:uid="{00000000-0005-0000-0000-0000487E0000}"/>
    <cellStyle name="Normal 89 3 2 2 5" xfId="24133" xr:uid="{00000000-0005-0000-0000-0000497E0000}"/>
    <cellStyle name="Normal 89 3 2 3" xfId="6171" xr:uid="{00000000-0005-0000-0000-00004A7E0000}"/>
    <cellStyle name="Normal 89 3 2 3 2" xfId="10013" xr:uid="{00000000-0005-0000-0000-00004B7E0000}"/>
    <cellStyle name="Normal 89 3 2 3 2 2" xfId="19369" xr:uid="{00000000-0005-0000-0000-00004C7E0000}"/>
    <cellStyle name="Normal 89 3 2 3 2 2 2" xfId="35943" xr:uid="{00000000-0005-0000-0000-00004D7E0000}"/>
    <cellStyle name="Normal 89 3 2 3 2 3" xfId="27896" xr:uid="{00000000-0005-0000-0000-00004E7E0000}"/>
    <cellStyle name="Normal 89 3 2 3 3" xfId="15624" xr:uid="{00000000-0005-0000-0000-00004F7E0000}"/>
    <cellStyle name="Normal 89 3 2 3 3 2" xfId="32178" xr:uid="{00000000-0005-0000-0000-0000507E0000}"/>
    <cellStyle name="Normal 89 3 2 3 4" xfId="24135" xr:uid="{00000000-0005-0000-0000-0000517E0000}"/>
    <cellStyle name="Normal 89 3 2 4" xfId="10014" xr:uid="{00000000-0005-0000-0000-0000527E0000}"/>
    <cellStyle name="Normal 89 3 2 4 2" xfId="19370" xr:uid="{00000000-0005-0000-0000-0000537E0000}"/>
    <cellStyle name="Normal 89 3 2 4 2 2" xfId="35944" xr:uid="{00000000-0005-0000-0000-0000547E0000}"/>
    <cellStyle name="Normal 89 3 2 4 3" xfId="27897" xr:uid="{00000000-0005-0000-0000-0000557E0000}"/>
    <cellStyle name="Normal 89 3 2 5" xfId="15621" xr:uid="{00000000-0005-0000-0000-0000567E0000}"/>
    <cellStyle name="Normal 89 3 2 5 2" xfId="32175" xr:uid="{00000000-0005-0000-0000-0000577E0000}"/>
    <cellStyle name="Normal 89 3 2 6" xfId="24132" xr:uid="{00000000-0005-0000-0000-0000587E0000}"/>
    <cellStyle name="Normal 89 3 3" xfId="6172" xr:uid="{00000000-0005-0000-0000-0000597E0000}"/>
    <cellStyle name="Normal 89 3 3 2" xfId="6173" xr:uid="{00000000-0005-0000-0000-00005A7E0000}"/>
    <cellStyle name="Normal 89 3 3 2 2" xfId="10015" xr:uid="{00000000-0005-0000-0000-00005B7E0000}"/>
    <cellStyle name="Normal 89 3 3 2 2 2" xfId="19371" xr:uid="{00000000-0005-0000-0000-00005C7E0000}"/>
    <cellStyle name="Normal 89 3 3 2 2 2 2" xfId="35945" xr:uid="{00000000-0005-0000-0000-00005D7E0000}"/>
    <cellStyle name="Normal 89 3 3 2 2 3" xfId="27898" xr:uid="{00000000-0005-0000-0000-00005E7E0000}"/>
    <cellStyle name="Normal 89 3 3 2 3" xfId="15626" xr:uid="{00000000-0005-0000-0000-00005F7E0000}"/>
    <cellStyle name="Normal 89 3 3 2 3 2" xfId="32180" xr:uid="{00000000-0005-0000-0000-0000607E0000}"/>
    <cellStyle name="Normal 89 3 3 2 4" xfId="24137" xr:uid="{00000000-0005-0000-0000-0000617E0000}"/>
    <cellStyle name="Normal 89 3 3 3" xfId="10016" xr:uid="{00000000-0005-0000-0000-0000627E0000}"/>
    <cellStyle name="Normal 89 3 3 3 2" xfId="19372" xr:uid="{00000000-0005-0000-0000-0000637E0000}"/>
    <cellStyle name="Normal 89 3 3 3 2 2" xfId="35946" xr:uid="{00000000-0005-0000-0000-0000647E0000}"/>
    <cellStyle name="Normal 89 3 3 3 3" xfId="27899" xr:uid="{00000000-0005-0000-0000-0000657E0000}"/>
    <cellStyle name="Normal 89 3 3 4" xfId="15625" xr:uid="{00000000-0005-0000-0000-0000667E0000}"/>
    <cellStyle name="Normal 89 3 3 4 2" xfId="32179" xr:uid="{00000000-0005-0000-0000-0000677E0000}"/>
    <cellStyle name="Normal 89 3 3 5" xfId="24136" xr:uid="{00000000-0005-0000-0000-0000687E0000}"/>
    <cellStyle name="Normal 89 3 4" xfId="6174" xr:uid="{00000000-0005-0000-0000-0000697E0000}"/>
    <cellStyle name="Normal 89 3 4 2" xfId="10017" xr:uid="{00000000-0005-0000-0000-00006A7E0000}"/>
    <cellStyle name="Normal 89 3 4 2 2" xfId="19373" xr:uid="{00000000-0005-0000-0000-00006B7E0000}"/>
    <cellStyle name="Normal 89 3 4 2 2 2" xfId="35947" xr:uid="{00000000-0005-0000-0000-00006C7E0000}"/>
    <cellStyle name="Normal 89 3 4 2 3" xfId="27900" xr:uid="{00000000-0005-0000-0000-00006D7E0000}"/>
    <cellStyle name="Normal 89 3 4 3" xfId="15627" xr:uid="{00000000-0005-0000-0000-00006E7E0000}"/>
    <cellStyle name="Normal 89 3 4 3 2" xfId="32181" xr:uid="{00000000-0005-0000-0000-00006F7E0000}"/>
    <cellStyle name="Normal 89 3 4 4" xfId="24138" xr:uid="{00000000-0005-0000-0000-0000707E0000}"/>
    <cellStyle name="Normal 89 3 5" xfId="6175" xr:uid="{00000000-0005-0000-0000-0000717E0000}"/>
    <cellStyle name="Normal 89 3 5 2" xfId="15628" xr:uid="{00000000-0005-0000-0000-0000727E0000}"/>
    <cellStyle name="Normal 89 3 5 2 2" xfId="32182" xr:uid="{00000000-0005-0000-0000-0000737E0000}"/>
    <cellStyle name="Normal 89 3 5 3" xfId="24139" xr:uid="{00000000-0005-0000-0000-0000747E0000}"/>
    <cellStyle name="Normal 89 4" xfId="6176" xr:uid="{00000000-0005-0000-0000-0000757E0000}"/>
    <cellStyle name="Normal 89 4 2" xfId="6177" xr:uid="{00000000-0005-0000-0000-0000767E0000}"/>
    <cellStyle name="Normal 89 4 2 2" xfId="6178" xr:uid="{00000000-0005-0000-0000-0000777E0000}"/>
    <cellStyle name="Normal 89 4 2 2 2" xfId="6179" xr:uid="{00000000-0005-0000-0000-0000787E0000}"/>
    <cellStyle name="Normal 89 4 2 2 2 2" xfId="10018" xr:uid="{00000000-0005-0000-0000-0000797E0000}"/>
    <cellStyle name="Normal 89 4 2 2 2 2 2" xfId="19374" xr:uid="{00000000-0005-0000-0000-00007A7E0000}"/>
    <cellStyle name="Normal 89 4 2 2 2 2 2 2" xfId="35948" xr:uid="{00000000-0005-0000-0000-00007B7E0000}"/>
    <cellStyle name="Normal 89 4 2 2 2 2 3" xfId="27901" xr:uid="{00000000-0005-0000-0000-00007C7E0000}"/>
    <cellStyle name="Normal 89 4 2 2 2 3" xfId="15632" xr:uid="{00000000-0005-0000-0000-00007D7E0000}"/>
    <cellStyle name="Normal 89 4 2 2 2 3 2" xfId="32186" xr:uid="{00000000-0005-0000-0000-00007E7E0000}"/>
    <cellStyle name="Normal 89 4 2 2 2 4" xfId="24143" xr:uid="{00000000-0005-0000-0000-00007F7E0000}"/>
    <cellStyle name="Normal 89 4 2 2 3" xfId="10019" xr:uid="{00000000-0005-0000-0000-0000807E0000}"/>
    <cellStyle name="Normal 89 4 2 2 3 2" xfId="19375" xr:uid="{00000000-0005-0000-0000-0000817E0000}"/>
    <cellStyle name="Normal 89 4 2 2 3 2 2" xfId="35949" xr:uid="{00000000-0005-0000-0000-0000827E0000}"/>
    <cellStyle name="Normal 89 4 2 2 3 3" xfId="27902" xr:uid="{00000000-0005-0000-0000-0000837E0000}"/>
    <cellStyle name="Normal 89 4 2 2 4" xfId="15631" xr:uid="{00000000-0005-0000-0000-0000847E0000}"/>
    <cellStyle name="Normal 89 4 2 2 4 2" xfId="32185" xr:uid="{00000000-0005-0000-0000-0000857E0000}"/>
    <cellStyle name="Normal 89 4 2 2 5" xfId="24142" xr:uid="{00000000-0005-0000-0000-0000867E0000}"/>
    <cellStyle name="Normal 89 4 2 3" xfId="6180" xr:uid="{00000000-0005-0000-0000-0000877E0000}"/>
    <cellStyle name="Normal 89 4 2 3 2" xfId="10020" xr:uid="{00000000-0005-0000-0000-0000887E0000}"/>
    <cellStyle name="Normal 89 4 2 3 2 2" xfId="19376" xr:uid="{00000000-0005-0000-0000-0000897E0000}"/>
    <cellStyle name="Normal 89 4 2 3 2 2 2" xfId="35950" xr:uid="{00000000-0005-0000-0000-00008A7E0000}"/>
    <cellStyle name="Normal 89 4 2 3 2 3" xfId="27903" xr:uid="{00000000-0005-0000-0000-00008B7E0000}"/>
    <cellStyle name="Normal 89 4 2 3 3" xfId="15633" xr:uid="{00000000-0005-0000-0000-00008C7E0000}"/>
    <cellStyle name="Normal 89 4 2 3 3 2" xfId="32187" xr:uid="{00000000-0005-0000-0000-00008D7E0000}"/>
    <cellStyle name="Normal 89 4 2 3 4" xfId="24144" xr:uid="{00000000-0005-0000-0000-00008E7E0000}"/>
    <cellStyle name="Normal 89 4 2 4" xfId="10021" xr:uid="{00000000-0005-0000-0000-00008F7E0000}"/>
    <cellStyle name="Normal 89 4 2 4 2" xfId="19377" xr:uid="{00000000-0005-0000-0000-0000907E0000}"/>
    <cellStyle name="Normal 89 4 2 4 2 2" xfId="35951" xr:uid="{00000000-0005-0000-0000-0000917E0000}"/>
    <cellStyle name="Normal 89 4 2 4 3" xfId="27904" xr:uid="{00000000-0005-0000-0000-0000927E0000}"/>
    <cellStyle name="Normal 89 4 2 5" xfId="15630" xr:uid="{00000000-0005-0000-0000-0000937E0000}"/>
    <cellStyle name="Normal 89 4 2 5 2" xfId="32184" xr:uid="{00000000-0005-0000-0000-0000947E0000}"/>
    <cellStyle name="Normal 89 4 2 6" xfId="24141" xr:uid="{00000000-0005-0000-0000-0000957E0000}"/>
    <cellStyle name="Normal 89 4 3" xfId="6181" xr:uid="{00000000-0005-0000-0000-0000967E0000}"/>
    <cellStyle name="Normal 89 4 3 2" xfId="6182" xr:uid="{00000000-0005-0000-0000-0000977E0000}"/>
    <cellStyle name="Normal 89 4 3 2 2" xfId="10022" xr:uid="{00000000-0005-0000-0000-0000987E0000}"/>
    <cellStyle name="Normal 89 4 3 2 2 2" xfId="19378" xr:uid="{00000000-0005-0000-0000-0000997E0000}"/>
    <cellStyle name="Normal 89 4 3 2 2 2 2" xfId="35952" xr:uid="{00000000-0005-0000-0000-00009A7E0000}"/>
    <cellStyle name="Normal 89 4 3 2 2 3" xfId="27905" xr:uid="{00000000-0005-0000-0000-00009B7E0000}"/>
    <cellStyle name="Normal 89 4 3 2 3" xfId="15635" xr:uid="{00000000-0005-0000-0000-00009C7E0000}"/>
    <cellStyle name="Normal 89 4 3 2 3 2" xfId="32189" xr:uid="{00000000-0005-0000-0000-00009D7E0000}"/>
    <cellStyle name="Normal 89 4 3 2 4" xfId="24146" xr:uid="{00000000-0005-0000-0000-00009E7E0000}"/>
    <cellStyle name="Normal 89 4 3 3" xfId="10023" xr:uid="{00000000-0005-0000-0000-00009F7E0000}"/>
    <cellStyle name="Normal 89 4 3 3 2" xfId="19379" xr:uid="{00000000-0005-0000-0000-0000A07E0000}"/>
    <cellStyle name="Normal 89 4 3 3 2 2" xfId="35953" xr:uid="{00000000-0005-0000-0000-0000A17E0000}"/>
    <cellStyle name="Normal 89 4 3 3 3" xfId="27906" xr:uid="{00000000-0005-0000-0000-0000A27E0000}"/>
    <cellStyle name="Normal 89 4 3 4" xfId="15634" xr:uid="{00000000-0005-0000-0000-0000A37E0000}"/>
    <cellStyle name="Normal 89 4 3 4 2" xfId="32188" xr:uid="{00000000-0005-0000-0000-0000A47E0000}"/>
    <cellStyle name="Normal 89 4 3 5" xfId="24145" xr:uid="{00000000-0005-0000-0000-0000A57E0000}"/>
    <cellStyle name="Normal 89 4 4" xfId="6183" xr:uid="{00000000-0005-0000-0000-0000A67E0000}"/>
    <cellStyle name="Normal 89 4 4 2" xfId="10024" xr:uid="{00000000-0005-0000-0000-0000A77E0000}"/>
    <cellStyle name="Normal 89 4 4 2 2" xfId="19380" xr:uid="{00000000-0005-0000-0000-0000A87E0000}"/>
    <cellStyle name="Normal 89 4 4 2 2 2" xfId="35954" xr:uid="{00000000-0005-0000-0000-0000A97E0000}"/>
    <cellStyle name="Normal 89 4 4 2 3" xfId="27907" xr:uid="{00000000-0005-0000-0000-0000AA7E0000}"/>
    <cellStyle name="Normal 89 4 4 3" xfId="15636" xr:uid="{00000000-0005-0000-0000-0000AB7E0000}"/>
    <cellStyle name="Normal 89 4 4 3 2" xfId="32190" xr:uid="{00000000-0005-0000-0000-0000AC7E0000}"/>
    <cellStyle name="Normal 89 4 4 4" xfId="24147" xr:uid="{00000000-0005-0000-0000-0000AD7E0000}"/>
    <cellStyle name="Normal 89 4 5" xfId="10025" xr:uid="{00000000-0005-0000-0000-0000AE7E0000}"/>
    <cellStyle name="Normal 89 4 5 2" xfId="19381" xr:uid="{00000000-0005-0000-0000-0000AF7E0000}"/>
    <cellStyle name="Normal 89 4 5 2 2" xfId="35955" xr:uid="{00000000-0005-0000-0000-0000B07E0000}"/>
    <cellStyle name="Normal 89 4 5 3" xfId="27908" xr:uid="{00000000-0005-0000-0000-0000B17E0000}"/>
    <cellStyle name="Normal 89 4 6" xfId="15629" xr:uid="{00000000-0005-0000-0000-0000B27E0000}"/>
    <cellStyle name="Normal 89 4 6 2" xfId="32183" xr:uid="{00000000-0005-0000-0000-0000B37E0000}"/>
    <cellStyle name="Normal 89 4 7" xfId="24140" xr:uid="{00000000-0005-0000-0000-0000B47E0000}"/>
    <cellStyle name="Normal 89 5" xfId="6184" xr:uid="{00000000-0005-0000-0000-0000B57E0000}"/>
    <cellStyle name="Normal 89 5 2" xfId="6185" xr:uid="{00000000-0005-0000-0000-0000B67E0000}"/>
    <cellStyle name="Normal 89 5 2 2" xfId="6186" xr:uid="{00000000-0005-0000-0000-0000B77E0000}"/>
    <cellStyle name="Normal 89 5 2 2 2" xfId="6187" xr:uid="{00000000-0005-0000-0000-0000B87E0000}"/>
    <cellStyle name="Normal 89 5 2 2 2 2" xfId="10026" xr:uid="{00000000-0005-0000-0000-0000B97E0000}"/>
    <cellStyle name="Normal 89 5 2 2 2 2 2" xfId="19382" xr:uid="{00000000-0005-0000-0000-0000BA7E0000}"/>
    <cellStyle name="Normal 89 5 2 2 2 2 2 2" xfId="35956" xr:uid="{00000000-0005-0000-0000-0000BB7E0000}"/>
    <cellStyle name="Normal 89 5 2 2 2 2 3" xfId="27909" xr:uid="{00000000-0005-0000-0000-0000BC7E0000}"/>
    <cellStyle name="Normal 89 5 2 2 2 3" xfId="15640" xr:uid="{00000000-0005-0000-0000-0000BD7E0000}"/>
    <cellStyle name="Normal 89 5 2 2 2 3 2" xfId="32194" xr:uid="{00000000-0005-0000-0000-0000BE7E0000}"/>
    <cellStyle name="Normal 89 5 2 2 2 4" xfId="24151" xr:uid="{00000000-0005-0000-0000-0000BF7E0000}"/>
    <cellStyle name="Normal 89 5 2 2 3" xfId="10027" xr:uid="{00000000-0005-0000-0000-0000C07E0000}"/>
    <cellStyle name="Normal 89 5 2 2 3 2" xfId="19383" xr:uid="{00000000-0005-0000-0000-0000C17E0000}"/>
    <cellStyle name="Normal 89 5 2 2 3 2 2" xfId="35957" xr:uid="{00000000-0005-0000-0000-0000C27E0000}"/>
    <cellStyle name="Normal 89 5 2 2 3 3" xfId="27910" xr:uid="{00000000-0005-0000-0000-0000C37E0000}"/>
    <cellStyle name="Normal 89 5 2 2 4" xfId="15639" xr:uid="{00000000-0005-0000-0000-0000C47E0000}"/>
    <cellStyle name="Normal 89 5 2 2 4 2" xfId="32193" xr:uid="{00000000-0005-0000-0000-0000C57E0000}"/>
    <cellStyle name="Normal 89 5 2 2 5" xfId="24150" xr:uid="{00000000-0005-0000-0000-0000C67E0000}"/>
    <cellStyle name="Normal 89 5 2 3" xfId="6188" xr:uid="{00000000-0005-0000-0000-0000C77E0000}"/>
    <cellStyle name="Normal 89 5 2 3 2" xfId="10028" xr:uid="{00000000-0005-0000-0000-0000C87E0000}"/>
    <cellStyle name="Normal 89 5 2 3 2 2" xfId="19384" xr:uid="{00000000-0005-0000-0000-0000C97E0000}"/>
    <cellStyle name="Normal 89 5 2 3 2 2 2" xfId="35958" xr:uid="{00000000-0005-0000-0000-0000CA7E0000}"/>
    <cellStyle name="Normal 89 5 2 3 2 3" xfId="27911" xr:uid="{00000000-0005-0000-0000-0000CB7E0000}"/>
    <cellStyle name="Normal 89 5 2 3 3" xfId="15641" xr:uid="{00000000-0005-0000-0000-0000CC7E0000}"/>
    <cellStyle name="Normal 89 5 2 3 3 2" xfId="32195" xr:uid="{00000000-0005-0000-0000-0000CD7E0000}"/>
    <cellStyle name="Normal 89 5 2 3 4" xfId="24152" xr:uid="{00000000-0005-0000-0000-0000CE7E0000}"/>
    <cellStyle name="Normal 89 5 2 4" xfId="10029" xr:uid="{00000000-0005-0000-0000-0000CF7E0000}"/>
    <cellStyle name="Normal 89 5 2 4 2" xfId="19385" xr:uid="{00000000-0005-0000-0000-0000D07E0000}"/>
    <cellStyle name="Normal 89 5 2 4 2 2" xfId="35959" xr:uid="{00000000-0005-0000-0000-0000D17E0000}"/>
    <cellStyle name="Normal 89 5 2 4 3" xfId="27912" xr:uid="{00000000-0005-0000-0000-0000D27E0000}"/>
    <cellStyle name="Normal 89 5 2 5" xfId="15638" xr:uid="{00000000-0005-0000-0000-0000D37E0000}"/>
    <cellStyle name="Normal 89 5 2 5 2" xfId="32192" xr:uid="{00000000-0005-0000-0000-0000D47E0000}"/>
    <cellStyle name="Normal 89 5 2 6" xfId="24149" xr:uid="{00000000-0005-0000-0000-0000D57E0000}"/>
    <cellStyle name="Normal 89 5 3" xfId="6189" xr:uid="{00000000-0005-0000-0000-0000D67E0000}"/>
    <cellStyle name="Normal 89 5 3 2" xfId="6190" xr:uid="{00000000-0005-0000-0000-0000D77E0000}"/>
    <cellStyle name="Normal 89 5 3 2 2" xfId="10030" xr:uid="{00000000-0005-0000-0000-0000D87E0000}"/>
    <cellStyle name="Normal 89 5 3 2 2 2" xfId="19386" xr:uid="{00000000-0005-0000-0000-0000D97E0000}"/>
    <cellStyle name="Normal 89 5 3 2 2 2 2" xfId="35960" xr:uid="{00000000-0005-0000-0000-0000DA7E0000}"/>
    <cellStyle name="Normal 89 5 3 2 2 3" xfId="27913" xr:uid="{00000000-0005-0000-0000-0000DB7E0000}"/>
    <cellStyle name="Normal 89 5 3 2 3" xfId="15643" xr:uid="{00000000-0005-0000-0000-0000DC7E0000}"/>
    <cellStyle name="Normal 89 5 3 2 3 2" xfId="32197" xr:uid="{00000000-0005-0000-0000-0000DD7E0000}"/>
    <cellStyle name="Normal 89 5 3 2 4" xfId="24154" xr:uid="{00000000-0005-0000-0000-0000DE7E0000}"/>
    <cellStyle name="Normal 89 5 3 3" xfId="10031" xr:uid="{00000000-0005-0000-0000-0000DF7E0000}"/>
    <cellStyle name="Normal 89 5 3 3 2" xfId="19387" xr:uid="{00000000-0005-0000-0000-0000E07E0000}"/>
    <cellStyle name="Normal 89 5 3 3 2 2" xfId="35961" xr:uid="{00000000-0005-0000-0000-0000E17E0000}"/>
    <cellStyle name="Normal 89 5 3 3 3" xfId="27914" xr:uid="{00000000-0005-0000-0000-0000E27E0000}"/>
    <cellStyle name="Normal 89 5 3 4" xfId="15642" xr:uid="{00000000-0005-0000-0000-0000E37E0000}"/>
    <cellStyle name="Normal 89 5 3 4 2" xfId="32196" xr:uid="{00000000-0005-0000-0000-0000E47E0000}"/>
    <cellStyle name="Normal 89 5 3 5" xfId="24153" xr:uid="{00000000-0005-0000-0000-0000E57E0000}"/>
    <cellStyle name="Normal 89 5 4" xfId="6191" xr:uid="{00000000-0005-0000-0000-0000E67E0000}"/>
    <cellStyle name="Normal 89 5 4 2" xfId="10032" xr:uid="{00000000-0005-0000-0000-0000E77E0000}"/>
    <cellStyle name="Normal 89 5 4 2 2" xfId="19388" xr:uid="{00000000-0005-0000-0000-0000E87E0000}"/>
    <cellStyle name="Normal 89 5 4 2 2 2" xfId="35962" xr:uid="{00000000-0005-0000-0000-0000E97E0000}"/>
    <cellStyle name="Normal 89 5 4 2 3" xfId="27915" xr:uid="{00000000-0005-0000-0000-0000EA7E0000}"/>
    <cellStyle name="Normal 89 5 4 3" xfId="15644" xr:uid="{00000000-0005-0000-0000-0000EB7E0000}"/>
    <cellStyle name="Normal 89 5 4 3 2" xfId="32198" xr:uid="{00000000-0005-0000-0000-0000EC7E0000}"/>
    <cellStyle name="Normal 89 5 4 4" xfId="24155" xr:uid="{00000000-0005-0000-0000-0000ED7E0000}"/>
    <cellStyle name="Normal 89 5 5" xfId="10033" xr:uid="{00000000-0005-0000-0000-0000EE7E0000}"/>
    <cellStyle name="Normal 89 5 5 2" xfId="19389" xr:uid="{00000000-0005-0000-0000-0000EF7E0000}"/>
    <cellStyle name="Normal 89 5 5 2 2" xfId="35963" xr:uid="{00000000-0005-0000-0000-0000F07E0000}"/>
    <cellStyle name="Normal 89 5 5 3" xfId="27916" xr:uid="{00000000-0005-0000-0000-0000F17E0000}"/>
    <cellStyle name="Normal 89 5 6" xfId="15637" xr:uid="{00000000-0005-0000-0000-0000F27E0000}"/>
    <cellStyle name="Normal 89 5 6 2" xfId="32191" xr:uid="{00000000-0005-0000-0000-0000F37E0000}"/>
    <cellStyle name="Normal 89 5 7" xfId="24148" xr:uid="{00000000-0005-0000-0000-0000F47E0000}"/>
    <cellStyle name="Normal 89 6" xfId="6192" xr:uid="{00000000-0005-0000-0000-0000F57E0000}"/>
    <cellStyle name="Normal 89 6 2" xfId="6193" xr:uid="{00000000-0005-0000-0000-0000F67E0000}"/>
    <cellStyle name="Normal 89 6 2 2" xfId="6194" xr:uid="{00000000-0005-0000-0000-0000F77E0000}"/>
    <cellStyle name="Normal 89 6 2 2 2" xfId="10034" xr:uid="{00000000-0005-0000-0000-0000F87E0000}"/>
    <cellStyle name="Normal 89 6 2 2 2 2" xfId="19390" xr:uid="{00000000-0005-0000-0000-0000F97E0000}"/>
    <cellStyle name="Normal 89 6 2 2 2 2 2" xfId="35964" xr:uid="{00000000-0005-0000-0000-0000FA7E0000}"/>
    <cellStyle name="Normal 89 6 2 2 2 3" xfId="27917" xr:uid="{00000000-0005-0000-0000-0000FB7E0000}"/>
    <cellStyle name="Normal 89 6 2 2 3" xfId="15647" xr:uid="{00000000-0005-0000-0000-0000FC7E0000}"/>
    <cellStyle name="Normal 89 6 2 2 3 2" xfId="32201" xr:uid="{00000000-0005-0000-0000-0000FD7E0000}"/>
    <cellStyle name="Normal 89 6 2 2 4" xfId="24158" xr:uid="{00000000-0005-0000-0000-0000FE7E0000}"/>
    <cellStyle name="Normal 89 6 2 3" xfId="10035" xr:uid="{00000000-0005-0000-0000-0000FF7E0000}"/>
    <cellStyle name="Normal 89 6 2 3 2" xfId="19391" xr:uid="{00000000-0005-0000-0000-0000007F0000}"/>
    <cellStyle name="Normal 89 6 2 3 2 2" xfId="35965" xr:uid="{00000000-0005-0000-0000-0000017F0000}"/>
    <cellStyle name="Normal 89 6 2 3 3" xfId="27918" xr:uid="{00000000-0005-0000-0000-0000027F0000}"/>
    <cellStyle name="Normal 89 6 2 4" xfId="15646" xr:uid="{00000000-0005-0000-0000-0000037F0000}"/>
    <cellStyle name="Normal 89 6 2 4 2" xfId="32200" xr:uid="{00000000-0005-0000-0000-0000047F0000}"/>
    <cellStyle name="Normal 89 6 2 5" xfId="24157" xr:uid="{00000000-0005-0000-0000-0000057F0000}"/>
    <cellStyle name="Normal 89 6 3" xfId="6195" xr:uid="{00000000-0005-0000-0000-0000067F0000}"/>
    <cellStyle name="Normal 89 6 3 2" xfId="10036" xr:uid="{00000000-0005-0000-0000-0000077F0000}"/>
    <cellStyle name="Normal 89 6 3 2 2" xfId="19392" xr:uid="{00000000-0005-0000-0000-0000087F0000}"/>
    <cellStyle name="Normal 89 6 3 2 2 2" xfId="35966" xr:uid="{00000000-0005-0000-0000-0000097F0000}"/>
    <cellStyle name="Normal 89 6 3 2 3" xfId="27919" xr:uid="{00000000-0005-0000-0000-00000A7F0000}"/>
    <cellStyle name="Normal 89 6 3 3" xfId="15648" xr:uid="{00000000-0005-0000-0000-00000B7F0000}"/>
    <cellStyle name="Normal 89 6 3 3 2" xfId="32202" xr:uid="{00000000-0005-0000-0000-00000C7F0000}"/>
    <cellStyle name="Normal 89 6 3 4" xfId="24159" xr:uid="{00000000-0005-0000-0000-00000D7F0000}"/>
    <cellStyle name="Normal 89 6 4" xfId="10037" xr:uid="{00000000-0005-0000-0000-00000E7F0000}"/>
    <cellStyle name="Normal 89 6 4 2" xfId="19393" xr:uid="{00000000-0005-0000-0000-00000F7F0000}"/>
    <cellStyle name="Normal 89 6 4 2 2" xfId="35967" xr:uid="{00000000-0005-0000-0000-0000107F0000}"/>
    <cellStyle name="Normal 89 6 4 3" xfId="27920" xr:uid="{00000000-0005-0000-0000-0000117F0000}"/>
    <cellStyle name="Normal 89 6 5" xfId="15645" xr:uid="{00000000-0005-0000-0000-0000127F0000}"/>
    <cellStyle name="Normal 89 6 5 2" xfId="32199" xr:uid="{00000000-0005-0000-0000-0000137F0000}"/>
    <cellStyle name="Normal 89 6 6" xfId="24156" xr:uid="{00000000-0005-0000-0000-0000147F0000}"/>
    <cellStyle name="Normal 89 7" xfId="6196" xr:uid="{00000000-0005-0000-0000-0000157F0000}"/>
    <cellStyle name="Normal 89 7 2" xfId="6197" xr:uid="{00000000-0005-0000-0000-0000167F0000}"/>
    <cellStyle name="Normal 89 7 2 2" xfId="10038" xr:uid="{00000000-0005-0000-0000-0000177F0000}"/>
    <cellStyle name="Normal 89 7 2 2 2" xfId="19394" xr:uid="{00000000-0005-0000-0000-0000187F0000}"/>
    <cellStyle name="Normal 89 7 2 2 2 2" xfId="35968" xr:uid="{00000000-0005-0000-0000-0000197F0000}"/>
    <cellStyle name="Normal 89 7 2 2 3" xfId="27921" xr:uid="{00000000-0005-0000-0000-00001A7F0000}"/>
    <cellStyle name="Normal 89 7 2 3" xfId="15650" xr:uid="{00000000-0005-0000-0000-00001B7F0000}"/>
    <cellStyle name="Normal 89 7 2 3 2" xfId="32204" xr:uid="{00000000-0005-0000-0000-00001C7F0000}"/>
    <cellStyle name="Normal 89 7 2 4" xfId="24161" xr:uid="{00000000-0005-0000-0000-00001D7F0000}"/>
    <cellStyle name="Normal 89 7 3" xfId="10039" xr:uid="{00000000-0005-0000-0000-00001E7F0000}"/>
    <cellStyle name="Normal 89 7 3 2" xfId="19395" xr:uid="{00000000-0005-0000-0000-00001F7F0000}"/>
    <cellStyle name="Normal 89 7 3 2 2" xfId="35969" xr:uid="{00000000-0005-0000-0000-0000207F0000}"/>
    <cellStyle name="Normal 89 7 3 3" xfId="27922" xr:uid="{00000000-0005-0000-0000-0000217F0000}"/>
    <cellStyle name="Normal 89 7 4" xfId="15649" xr:uid="{00000000-0005-0000-0000-0000227F0000}"/>
    <cellStyle name="Normal 89 7 4 2" xfId="32203" xr:uid="{00000000-0005-0000-0000-0000237F0000}"/>
    <cellStyle name="Normal 89 7 5" xfId="24160" xr:uid="{00000000-0005-0000-0000-0000247F0000}"/>
    <cellStyle name="Normal 89 8" xfId="6198" xr:uid="{00000000-0005-0000-0000-0000257F0000}"/>
    <cellStyle name="Normal 89 8 2" xfId="10040" xr:uid="{00000000-0005-0000-0000-0000267F0000}"/>
    <cellStyle name="Normal 89 8 2 2" xfId="19396" xr:uid="{00000000-0005-0000-0000-0000277F0000}"/>
    <cellStyle name="Normal 89 8 2 2 2" xfId="35970" xr:uid="{00000000-0005-0000-0000-0000287F0000}"/>
    <cellStyle name="Normal 89 8 2 3" xfId="27923" xr:uid="{00000000-0005-0000-0000-0000297F0000}"/>
    <cellStyle name="Normal 89 8 3" xfId="15651" xr:uid="{00000000-0005-0000-0000-00002A7F0000}"/>
    <cellStyle name="Normal 89 8 3 2" xfId="32205" xr:uid="{00000000-0005-0000-0000-00002B7F0000}"/>
    <cellStyle name="Normal 89 8 4" xfId="24162" xr:uid="{00000000-0005-0000-0000-00002C7F0000}"/>
    <cellStyle name="Normal 89 9" xfId="10041" xr:uid="{00000000-0005-0000-0000-00002D7F0000}"/>
    <cellStyle name="Normal 89 9 2" xfId="19397" xr:uid="{00000000-0005-0000-0000-00002E7F0000}"/>
    <cellStyle name="Normal 89 9 2 2" xfId="35971" xr:uid="{00000000-0005-0000-0000-00002F7F0000}"/>
    <cellStyle name="Normal 89 9 3" xfId="27924" xr:uid="{00000000-0005-0000-0000-0000307F0000}"/>
    <cellStyle name="Normal 9" xfId="292" xr:uid="{00000000-0005-0000-0000-0000317F0000}"/>
    <cellStyle name="Normal 9 10" xfId="11305" xr:uid="{00000000-0005-0000-0000-0000327F0000}"/>
    <cellStyle name="Normal 9 11" xfId="15652" xr:uid="{00000000-0005-0000-0000-0000337F0000}"/>
    <cellStyle name="Normal 9 11 2" xfId="32206" xr:uid="{00000000-0005-0000-0000-0000347F0000}"/>
    <cellStyle name="Normal 9 12" xfId="24163" xr:uid="{00000000-0005-0000-0000-0000357F0000}"/>
    <cellStyle name="Normal 9 2" xfId="293" xr:uid="{00000000-0005-0000-0000-0000367F0000}"/>
    <cellStyle name="Normal 9 2 2" xfId="294" xr:uid="{00000000-0005-0000-0000-0000377F0000}"/>
    <cellStyle name="Normal 9 2 2 2" xfId="6199" xr:uid="{00000000-0005-0000-0000-0000387F0000}"/>
    <cellStyle name="Normal 9 2 3" xfId="15653" xr:uid="{00000000-0005-0000-0000-0000397F0000}"/>
    <cellStyle name="Normal 9 2 3 2" xfId="32207" xr:uid="{00000000-0005-0000-0000-00003A7F0000}"/>
    <cellStyle name="Normal 9 2 4" xfId="24164" xr:uid="{00000000-0005-0000-0000-00003B7F0000}"/>
    <cellStyle name="Normal 9 3" xfId="295" xr:uid="{00000000-0005-0000-0000-00003C7F0000}"/>
    <cellStyle name="Normal 9 3 2" xfId="6201" xr:uid="{00000000-0005-0000-0000-00003D7F0000}"/>
    <cellStyle name="Normal 9 3 2 2" xfId="6202" xr:uid="{00000000-0005-0000-0000-00003E7F0000}"/>
    <cellStyle name="Normal 9 3 2 2 2" xfId="6203" xr:uid="{00000000-0005-0000-0000-00003F7F0000}"/>
    <cellStyle name="Normal 9 3 2 2 2 2" xfId="10042" xr:uid="{00000000-0005-0000-0000-0000407F0000}"/>
    <cellStyle name="Normal 9 3 2 2 2 2 2" xfId="19398" xr:uid="{00000000-0005-0000-0000-0000417F0000}"/>
    <cellStyle name="Normal 9 3 2 2 2 2 2 2" xfId="35972" xr:uid="{00000000-0005-0000-0000-0000427F0000}"/>
    <cellStyle name="Normal 9 3 2 2 2 2 3" xfId="27925" xr:uid="{00000000-0005-0000-0000-0000437F0000}"/>
    <cellStyle name="Normal 9 3 2 2 2 3" xfId="15656" xr:uid="{00000000-0005-0000-0000-0000447F0000}"/>
    <cellStyle name="Normal 9 3 2 2 2 3 2" xfId="32210" xr:uid="{00000000-0005-0000-0000-0000457F0000}"/>
    <cellStyle name="Normal 9 3 2 2 2 4" xfId="24167" xr:uid="{00000000-0005-0000-0000-0000467F0000}"/>
    <cellStyle name="Normal 9 3 2 2 3" xfId="10043" xr:uid="{00000000-0005-0000-0000-0000477F0000}"/>
    <cellStyle name="Normal 9 3 2 2 3 2" xfId="19399" xr:uid="{00000000-0005-0000-0000-0000487F0000}"/>
    <cellStyle name="Normal 9 3 2 2 3 2 2" xfId="35973" xr:uid="{00000000-0005-0000-0000-0000497F0000}"/>
    <cellStyle name="Normal 9 3 2 2 3 3" xfId="27926" xr:uid="{00000000-0005-0000-0000-00004A7F0000}"/>
    <cellStyle name="Normal 9 3 2 2 4" xfId="15655" xr:uid="{00000000-0005-0000-0000-00004B7F0000}"/>
    <cellStyle name="Normal 9 3 2 2 4 2" xfId="32209" xr:uid="{00000000-0005-0000-0000-00004C7F0000}"/>
    <cellStyle name="Normal 9 3 2 2 5" xfId="24166" xr:uid="{00000000-0005-0000-0000-00004D7F0000}"/>
    <cellStyle name="Normal 9 3 2 3" xfId="6204" xr:uid="{00000000-0005-0000-0000-00004E7F0000}"/>
    <cellStyle name="Normal 9 3 2 3 2" xfId="10044" xr:uid="{00000000-0005-0000-0000-00004F7F0000}"/>
    <cellStyle name="Normal 9 3 2 3 2 2" xfId="19400" xr:uid="{00000000-0005-0000-0000-0000507F0000}"/>
    <cellStyle name="Normal 9 3 2 3 2 2 2" xfId="35974" xr:uid="{00000000-0005-0000-0000-0000517F0000}"/>
    <cellStyle name="Normal 9 3 2 3 2 3" xfId="27927" xr:uid="{00000000-0005-0000-0000-0000527F0000}"/>
    <cellStyle name="Normal 9 3 2 3 3" xfId="15657" xr:uid="{00000000-0005-0000-0000-0000537F0000}"/>
    <cellStyle name="Normal 9 3 2 3 3 2" xfId="32211" xr:uid="{00000000-0005-0000-0000-0000547F0000}"/>
    <cellStyle name="Normal 9 3 2 3 4" xfId="24168" xr:uid="{00000000-0005-0000-0000-0000557F0000}"/>
    <cellStyle name="Normal 9 3 2 4" xfId="10045" xr:uid="{00000000-0005-0000-0000-0000567F0000}"/>
    <cellStyle name="Normal 9 3 2 4 2" xfId="19401" xr:uid="{00000000-0005-0000-0000-0000577F0000}"/>
    <cellStyle name="Normal 9 3 2 4 2 2" xfId="35975" xr:uid="{00000000-0005-0000-0000-0000587F0000}"/>
    <cellStyle name="Normal 9 3 2 4 3" xfId="27928" xr:uid="{00000000-0005-0000-0000-0000597F0000}"/>
    <cellStyle name="Normal 9 3 2 5" xfId="15654" xr:uid="{00000000-0005-0000-0000-00005A7F0000}"/>
    <cellStyle name="Normal 9 3 2 5 2" xfId="32208" xr:uid="{00000000-0005-0000-0000-00005B7F0000}"/>
    <cellStyle name="Normal 9 3 2 6" xfId="24165" xr:uid="{00000000-0005-0000-0000-00005C7F0000}"/>
    <cellStyle name="Normal 9 3 3" xfId="6205" xr:uid="{00000000-0005-0000-0000-00005D7F0000}"/>
    <cellStyle name="Normal 9 3 3 2" xfId="6206" xr:uid="{00000000-0005-0000-0000-00005E7F0000}"/>
    <cellStyle name="Normal 9 3 3 2 2" xfId="10046" xr:uid="{00000000-0005-0000-0000-00005F7F0000}"/>
    <cellStyle name="Normal 9 3 3 2 2 2" xfId="19402" xr:uid="{00000000-0005-0000-0000-0000607F0000}"/>
    <cellStyle name="Normal 9 3 3 2 2 2 2" xfId="35976" xr:uid="{00000000-0005-0000-0000-0000617F0000}"/>
    <cellStyle name="Normal 9 3 3 2 2 3" xfId="27929" xr:uid="{00000000-0005-0000-0000-0000627F0000}"/>
    <cellStyle name="Normal 9 3 3 2 3" xfId="15659" xr:uid="{00000000-0005-0000-0000-0000637F0000}"/>
    <cellStyle name="Normal 9 3 3 2 3 2" xfId="32213" xr:uid="{00000000-0005-0000-0000-0000647F0000}"/>
    <cellStyle name="Normal 9 3 3 2 4" xfId="24170" xr:uid="{00000000-0005-0000-0000-0000657F0000}"/>
    <cellStyle name="Normal 9 3 3 3" xfId="10047" xr:uid="{00000000-0005-0000-0000-0000667F0000}"/>
    <cellStyle name="Normal 9 3 3 3 2" xfId="19403" xr:uid="{00000000-0005-0000-0000-0000677F0000}"/>
    <cellStyle name="Normal 9 3 3 3 2 2" xfId="35977" xr:uid="{00000000-0005-0000-0000-0000687F0000}"/>
    <cellStyle name="Normal 9 3 3 3 3" xfId="27930" xr:uid="{00000000-0005-0000-0000-0000697F0000}"/>
    <cellStyle name="Normal 9 3 3 4" xfId="15658" xr:uid="{00000000-0005-0000-0000-00006A7F0000}"/>
    <cellStyle name="Normal 9 3 3 4 2" xfId="32212" xr:uid="{00000000-0005-0000-0000-00006B7F0000}"/>
    <cellStyle name="Normal 9 3 3 5" xfId="24169" xr:uid="{00000000-0005-0000-0000-00006C7F0000}"/>
    <cellStyle name="Normal 9 3 4" xfId="6207" xr:uid="{00000000-0005-0000-0000-00006D7F0000}"/>
    <cellStyle name="Normal 9 3 4 2" xfId="10048" xr:uid="{00000000-0005-0000-0000-00006E7F0000}"/>
    <cellStyle name="Normal 9 3 4 2 2" xfId="19404" xr:uid="{00000000-0005-0000-0000-00006F7F0000}"/>
    <cellStyle name="Normal 9 3 4 2 2 2" xfId="35978" xr:uid="{00000000-0005-0000-0000-0000707F0000}"/>
    <cellStyle name="Normal 9 3 4 2 3" xfId="27931" xr:uid="{00000000-0005-0000-0000-0000717F0000}"/>
    <cellStyle name="Normal 9 3 4 3" xfId="15660" xr:uid="{00000000-0005-0000-0000-0000727F0000}"/>
    <cellStyle name="Normal 9 3 4 3 2" xfId="32214" xr:uid="{00000000-0005-0000-0000-0000737F0000}"/>
    <cellStyle name="Normal 9 3 4 4" xfId="24171" xr:uid="{00000000-0005-0000-0000-0000747F0000}"/>
    <cellStyle name="Normal 9 3 5" xfId="10049" xr:uid="{00000000-0005-0000-0000-0000757F0000}"/>
    <cellStyle name="Normal 9 3 5 2" xfId="19405" xr:uid="{00000000-0005-0000-0000-0000767F0000}"/>
    <cellStyle name="Normal 9 3 5 2 2" xfId="35979" xr:uid="{00000000-0005-0000-0000-0000777F0000}"/>
    <cellStyle name="Normal 9 3 5 3" xfId="27932" xr:uid="{00000000-0005-0000-0000-0000787F0000}"/>
    <cellStyle name="Normal 9 3 6" xfId="6200" xr:uid="{00000000-0005-0000-0000-0000797F0000}"/>
    <cellStyle name="Normal 9 4" xfId="385" xr:uid="{00000000-0005-0000-0000-00007A7F0000}"/>
    <cellStyle name="Normal 9 4 2" xfId="6208" xr:uid="{00000000-0005-0000-0000-00007B7F0000}"/>
    <cellStyle name="Normal 9 4 2 2" xfId="6209" xr:uid="{00000000-0005-0000-0000-00007C7F0000}"/>
    <cellStyle name="Normal 9 4 2 2 2" xfId="6210" xr:uid="{00000000-0005-0000-0000-00007D7F0000}"/>
    <cellStyle name="Normal 9 4 2 2 2 2" xfId="10050" xr:uid="{00000000-0005-0000-0000-00007E7F0000}"/>
    <cellStyle name="Normal 9 4 2 2 2 2 2" xfId="19406" xr:uid="{00000000-0005-0000-0000-00007F7F0000}"/>
    <cellStyle name="Normal 9 4 2 2 2 2 2 2" xfId="35980" xr:uid="{00000000-0005-0000-0000-0000807F0000}"/>
    <cellStyle name="Normal 9 4 2 2 2 2 3" xfId="27933" xr:uid="{00000000-0005-0000-0000-0000817F0000}"/>
    <cellStyle name="Normal 9 4 2 2 2 3" xfId="15664" xr:uid="{00000000-0005-0000-0000-0000827F0000}"/>
    <cellStyle name="Normal 9 4 2 2 2 3 2" xfId="32218" xr:uid="{00000000-0005-0000-0000-0000837F0000}"/>
    <cellStyle name="Normal 9 4 2 2 2 4" xfId="24175" xr:uid="{00000000-0005-0000-0000-0000847F0000}"/>
    <cellStyle name="Normal 9 4 2 2 3" xfId="10051" xr:uid="{00000000-0005-0000-0000-0000857F0000}"/>
    <cellStyle name="Normal 9 4 2 2 3 2" xfId="19407" xr:uid="{00000000-0005-0000-0000-0000867F0000}"/>
    <cellStyle name="Normal 9 4 2 2 3 2 2" xfId="35981" xr:uid="{00000000-0005-0000-0000-0000877F0000}"/>
    <cellStyle name="Normal 9 4 2 2 3 3" xfId="27934" xr:uid="{00000000-0005-0000-0000-0000887F0000}"/>
    <cellStyle name="Normal 9 4 2 2 4" xfId="15663" xr:uid="{00000000-0005-0000-0000-0000897F0000}"/>
    <cellStyle name="Normal 9 4 2 2 4 2" xfId="32217" xr:uid="{00000000-0005-0000-0000-00008A7F0000}"/>
    <cellStyle name="Normal 9 4 2 2 5" xfId="24174" xr:uid="{00000000-0005-0000-0000-00008B7F0000}"/>
    <cellStyle name="Normal 9 4 2 3" xfId="6211" xr:uid="{00000000-0005-0000-0000-00008C7F0000}"/>
    <cellStyle name="Normal 9 4 2 3 2" xfId="10052" xr:uid="{00000000-0005-0000-0000-00008D7F0000}"/>
    <cellStyle name="Normal 9 4 2 3 2 2" xfId="19408" xr:uid="{00000000-0005-0000-0000-00008E7F0000}"/>
    <cellStyle name="Normal 9 4 2 3 2 2 2" xfId="35982" xr:uid="{00000000-0005-0000-0000-00008F7F0000}"/>
    <cellStyle name="Normal 9 4 2 3 2 3" xfId="27935" xr:uid="{00000000-0005-0000-0000-0000907F0000}"/>
    <cellStyle name="Normal 9 4 2 3 3" xfId="15665" xr:uid="{00000000-0005-0000-0000-0000917F0000}"/>
    <cellStyle name="Normal 9 4 2 3 3 2" xfId="32219" xr:uid="{00000000-0005-0000-0000-0000927F0000}"/>
    <cellStyle name="Normal 9 4 2 3 4" xfId="24176" xr:uid="{00000000-0005-0000-0000-0000937F0000}"/>
    <cellStyle name="Normal 9 4 2 4" xfId="10053" xr:uid="{00000000-0005-0000-0000-0000947F0000}"/>
    <cellStyle name="Normal 9 4 2 4 2" xfId="19409" xr:uid="{00000000-0005-0000-0000-0000957F0000}"/>
    <cellStyle name="Normal 9 4 2 4 2 2" xfId="35983" xr:uid="{00000000-0005-0000-0000-0000967F0000}"/>
    <cellStyle name="Normal 9 4 2 4 3" xfId="27936" xr:uid="{00000000-0005-0000-0000-0000977F0000}"/>
    <cellStyle name="Normal 9 4 2 5" xfId="15662" xr:uid="{00000000-0005-0000-0000-0000987F0000}"/>
    <cellStyle name="Normal 9 4 2 5 2" xfId="32216" xr:uid="{00000000-0005-0000-0000-0000997F0000}"/>
    <cellStyle name="Normal 9 4 2 6" xfId="24173" xr:uid="{00000000-0005-0000-0000-00009A7F0000}"/>
    <cellStyle name="Normal 9 4 3" xfId="6212" xr:uid="{00000000-0005-0000-0000-00009B7F0000}"/>
    <cellStyle name="Normal 9 4 3 2" xfId="6213" xr:uid="{00000000-0005-0000-0000-00009C7F0000}"/>
    <cellStyle name="Normal 9 4 3 2 2" xfId="10054" xr:uid="{00000000-0005-0000-0000-00009D7F0000}"/>
    <cellStyle name="Normal 9 4 3 2 2 2" xfId="19410" xr:uid="{00000000-0005-0000-0000-00009E7F0000}"/>
    <cellStyle name="Normal 9 4 3 2 2 2 2" xfId="35984" xr:uid="{00000000-0005-0000-0000-00009F7F0000}"/>
    <cellStyle name="Normal 9 4 3 2 2 3" xfId="27937" xr:uid="{00000000-0005-0000-0000-0000A07F0000}"/>
    <cellStyle name="Normal 9 4 3 2 3" xfId="15667" xr:uid="{00000000-0005-0000-0000-0000A17F0000}"/>
    <cellStyle name="Normal 9 4 3 2 3 2" xfId="32221" xr:uid="{00000000-0005-0000-0000-0000A27F0000}"/>
    <cellStyle name="Normal 9 4 3 2 4" xfId="24178" xr:uid="{00000000-0005-0000-0000-0000A37F0000}"/>
    <cellStyle name="Normal 9 4 3 3" xfId="10055" xr:uid="{00000000-0005-0000-0000-0000A47F0000}"/>
    <cellStyle name="Normal 9 4 3 3 2" xfId="19411" xr:uid="{00000000-0005-0000-0000-0000A57F0000}"/>
    <cellStyle name="Normal 9 4 3 3 2 2" xfId="35985" xr:uid="{00000000-0005-0000-0000-0000A67F0000}"/>
    <cellStyle name="Normal 9 4 3 3 3" xfId="27938" xr:uid="{00000000-0005-0000-0000-0000A77F0000}"/>
    <cellStyle name="Normal 9 4 3 4" xfId="15666" xr:uid="{00000000-0005-0000-0000-0000A87F0000}"/>
    <cellStyle name="Normal 9 4 3 4 2" xfId="32220" xr:uid="{00000000-0005-0000-0000-0000A97F0000}"/>
    <cellStyle name="Normal 9 4 3 5" xfId="24177" xr:uid="{00000000-0005-0000-0000-0000AA7F0000}"/>
    <cellStyle name="Normal 9 4 4" xfId="6214" xr:uid="{00000000-0005-0000-0000-0000AB7F0000}"/>
    <cellStyle name="Normal 9 4 4 2" xfId="10056" xr:uid="{00000000-0005-0000-0000-0000AC7F0000}"/>
    <cellStyle name="Normal 9 4 4 2 2" xfId="19412" xr:uid="{00000000-0005-0000-0000-0000AD7F0000}"/>
    <cellStyle name="Normal 9 4 4 2 2 2" xfId="35986" xr:uid="{00000000-0005-0000-0000-0000AE7F0000}"/>
    <cellStyle name="Normal 9 4 4 2 3" xfId="27939" xr:uid="{00000000-0005-0000-0000-0000AF7F0000}"/>
    <cellStyle name="Normal 9 4 4 3" xfId="15668" xr:uid="{00000000-0005-0000-0000-0000B07F0000}"/>
    <cellStyle name="Normal 9 4 4 3 2" xfId="32222" xr:uid="{00000000-0005-0000-0000-0000B17F0000}"/>
    <cellStyle name="Normal 9 4 4 4" xfId="24179" xr:uid="{00000000-0005-0000-0000-0000B27F0000}"/>
    <cellStyle name="Normal 9 4 5" xfId="10057" xr:uid="{00000000-0005-0000-0000-0000B37F0000}"/>
    <cellStyle name="Normal 9 4 5 2" xfId="19413" xr:uid="{00000000-0005-0000-0000-0000B47F0000}"/>
    <cellStyle name="Normal 9 4 5 2 2" xfId="35987" xr:uid="{00000000-0005-0000-0000-0000B57F0000}"/>
    <cellStyle name="Normal 9 4 5 3" xfId="27940" xr:uid="{00000000-0005-0000-0000-0000B67F0000}"/>
    <cellStyle name="Normal 9 4 6" xfId="15661" xr:uid="{00000000-0005-0000-0000-0000B77F0000}"/>
    <cellStyle name="Normal 9 4 6 2" xfId="32215" xr:uid="{00000000-0005-0000-0000-0000B87F0000}"/>
    <cellStyle name="Normal 9 4 7" xfId="24172" xr:uid="{00000000-0005-0000-0000-0000B97F0000}"/>
    <cellStyle name="Normal 9 5" xfId="1724" xr:uid="{00000000-0005-0000-0000-0000BA7F0000}"/>
    <cellStyle name="Normal 9 5 2" xfId="6216" xr:uid="{00000000-0005-0000-0000-0000BB7F0000}"/>
    <cellStyle name="Normal 9 5 2 2" xfId="6217" xr:uid="{00000000-0005-0000-0000-0000BC7F0000}"/>
    <cellStyle name="Normal 9 5 2 2 2" xfId="6218" xr:uid="{00000000-0005-0000-0000-0000BD7F0000}"/>
    <cellStyle name="Normal 9 5 2 2 2 2" xfId="10058" xr:uid="{00000000-0005-0000-0000-0000BE7F0000}"/>
    <cellStyle name="Normal 9 5 2 2 2 2 2" xfId="19414" xr:uid="{00000000-0005-0000-0000-0000BF7F0000}"/>
    <cellStyle name="Normal 9 5 2 2 2 2 2 2" xfId="35988" xr:uid="{00000000-0005-0000-0000-0000C07F0000}"/>
    <cellStyle name="Normal 9 5 2 2 2 2 3" xfId="27941" xr:uid="{00000000-0005-0000-0000-0000C17F0000}"/>
    <cellStyle name="Normal 9 5 2 2 2 3" xfId="15671" xr:uid="{00000000-0005-0000-0000-0000C27F0000}"/>
    <cellStyle name="Normal 9 5 2 2 2 3 2" xfId="32226" xr:uid="{00000000-0005-0000-0000-0000C37F0000}"/>
    <cellStyle name="Normal 9 5 2 2 2 4" xfId="24183" xr:uid="{00000000-0005-0000-0000-0000C47F0000}"/>
    <cellStyle name="Normal 9 5 2 2 3" xfId="10059" xr:uid="{00000000-0005-0000-0000-0000C57F0000}"/>
    <cellStyle name="Normal 9 5 2 2 3 2" xfId="19415" xr:uid="{00000000-0005-0000-0000-0000C67F0000}"/>
    <cellStyle name="Normal 9 5 2 2 3 2 2" xfId="35989" xr:uid="{00000000-0005-0000-0000-0000C77F0000}"/>
    <cellStyle name="Normal 9 5 2 2 3 3" xfId="27942" xr:uid="{00000000-0005-0000-0000-0000C87F0000}"/>
    <cellStyle name="Normal 9 5 2 2 4" xfId="15670" xr:uid="{00000000-0005-0000-0000-0000C97F0000}"/>
    <cellStyle name="Normal 9 5 2 2 4 2" xfId="32225" xr:uid="{00000000-0005-0000-0000-0000CA7F0000}"/>
    <cellStyle name="Normal 9 5 2 2 5" xfId="24182" xr:uid="{00000000-0005-0000-0000-0000CB7F0000}"/>
    <cellStyle name="Normal 9 5 2 3" xfId="6219" xr:uid="{00000000-0005-0000-0000-0000CC7F0000}"/>
    <cellStyle name="Normal 9 5 2 3 2" xfId="10060" xr:uid="{00000000-0005-0000-0000-0000CD7F0000}"/>
    <cellStyle name="Normal 9 5 2 3 2 2" xfId="19416" xr:uid="{00000000-0005-0000-0000-0000CE7F0000}"/>
    <cellStyle name="Normal 9 5 2 3 2 2 2" xfId="35990" xr:uid="{00000000-0005-0000-0000-0000CF7F0000}"/>
    <cellStyle name="Normal 9 5 2 3 2 3" xfId="27943" xr:uid="{00000000-0005-0000-0000-0000D07F0000}"/>
    <cellStyle name="Normal 9 5 2 3 3" xfId="15672" xr:uid="{00000000-0005-0000-0000-0000D17F0000}"/>
    <cellStyle name="Normal 9 5 2 3 3 2" xfId="32227" xr:uid="{00000000-0005-0000-0000-0000D27F0000}"/>
    <cellStyle name="Normal 9 5 2 3 4" xfId="24184" xr:uid="{00000000-0005-0000-0000-0000D37F0000}"/>
    <cellStyle name="Normal 9 5 2 4" xfId="10061" xr:uid="{00000000-0005-0000-0000-0000D47F0000}"/>
    <cellStyle name="Normal 9 5 2 4 2" xfId="19417" xr:uid="{00000000-0005-0000-0000-0000D57F0000}"/>
    <cellStyle name="Normal 9 5 2 4 2 2" xfId="35991" xr:uid="{00000000-0005-0000-0000-0000D67F0000}"/>
    <cellStyle name="Normal 9 5 2 4 3" xfId="27944" xr:uid="{00000000-0005-0000-0000-0000D77F0000}"/>
    <cellStyle name="Normal 9 5 2 5" xfId="15669" xr:uid="{00000000-0005-0000-0000-0000D87F0000}"/>
    <cellStyle name="Normal 9 5 2 5 2" xfId="32224" xr:uid="{00000000-0005-0000-0000-0000D97F0000}"/>
    <cellStyle name="Normal 9 5 2 6" xfId="24181" xr:uid="{00000000-0005-0000-0000-0000DA7F0000}"/>
    <cellStyle name="Normal 9 5 3" xfId="6220" xr:uid="{00000000-0005-0000-0000-0000DB7F0000}"/>
    <cellStyle name="Normal 9 5 3 2" xfId="6221" xr:uid="{00000000-0005-0000-0000-0000DC7F0000}"/>
    <cellStyle name="Normal 9 5 3 2 2" xfId="10062" xr:uid="{00000000-0005-0000-0000-0000DD7F0000}"/>
    <cellStyle name="Normal 9 5 3 2 2 2" xfId="19418" xr:uid="{00000000-0005-0000-0000-0000DE7F0000}"/>
    <cellStyle name="Normal 9 5 3 2 2 2 2" xfId="35992" xr:uid="{00000000-0005-0000-0000-0000DF7F0000}"/>
    <cellStyle name="Normal 9 5 3 2 2 3" xfId="27945" xr:uid="{00000000-0005-0000-0000-0000E07F0000}"/>
    <cellStyle name="Normal 9 5 3 2 3" xfId="15674" xr:uid="{00000000-0005-0000-0000-0000E17F0000}"/>
    <cellStyle name="Normal 9 5 3 2 3 2" xfId="32229" xr:uid="{00000000-0005-0000-0000-0000E27F0000}"/>
    <cellStyle name="Normal 9 5 3 2 4" xfId="24186" xr:uid="{00000000-0005-0000-0000-0000E37F0000}"/>
    <cellStyle name="Normal 9 5 3 3" xfId="10063" xr:uid="{00000000-0005-0000-0000-0000E47F0000}"/>
    <cellStyle name="Normal 9 5 3 3 2" xfId="19419" xr:uid="{00000000-0005-0000-0000-0000E57F0000}"/>
    <cellStyle name="Normal 9 5 3 3 2 2" xfId="35993" xr:uid="{00000000-0005-0000-0000-0000E67F0000}"/>
    <cellStyle name="Normal 9 5 3 3 3" xfId="27946" xr:uid="{00000000-0005-0000-0000-0000E77F0000}"/>
    <cellStyle name="Normal 9 5 3 4" xfId="15673" xr:uid="{00000000-0005-0000-0000-0000E87F0000}"/>
    <cellStyle name="Normal 9 5 3 4 2" xfId="32228" xr:uid="{00000000-0005-0000-0000-0000E97F0000}"/>
    <cellStyle name="Normal 9 5 3 5" xfId="24185" xr:uid="{00000000-0005-0000-0000-0000EA7F0000}"/>
    <cellStyle name="Normal 9 5 4" xfId="6222" xr:uid="{00000000-0005-0000-0000-0000EB7F0000}"/>
    <cellStyle name="Normal 9 5 4 2" xfId="10064" xr:uid="{00000000-0005-0000-0000-0000EC7F0000}"/>
    <cellStyle name="Normal 9 5 4 2 2" xfId="19420" xr:uid="{00000000-0005-0000-0000-0000ED7F0000}"/>
    <cellStyle name="Normal 9 5 4 2 2 2" xfId="35994" xr:uid="{00000000-0005-0000-0000-0000EE7F0000}"/>
    <cellStyle name="Normal 9 5 4 2 3" xfId="27947" xr:uid="{00000000-0005-0000-0000-0000EF7F0000}"/>
    <cellStyle name="Normal 9 5 4 3" xfId="15675" xr:uid="{00000000-0005-0000-0000-0000F07F0000}"/>
    <cellStyle name="Normal 9 5 4 3 2" xfId="32230" xr:uid="{00000000-0005-0000-0000-0000F17F0000}"/>
    <cellStyle name="Normal 9 5 4 4" xfId="24187" xr:uid="{00000000-0005-0000-0000-0000F27F0000}"/>
    <cellStyle name="Normal 9 5 5" xfId="10065" xr:uid="{00000000-0005-0000-0000-0000F37F0000}"/>
    <cellStyle name="Normal 9 5 5 2" xfId="19421" xr:uid="{00000000-0005-0000-0000-0000F47F0000}"/>
    <cellStyle name="Normal 9 5 5 2 2" xfId="35995" xr:uid="{00000000-0005-0000-0000-0000F57F0000}"/>
    <cellStyle name="Normal 9 5 5 3" xfId="27948" xr:uid="{00000000-0005-0000-0000-0000F67F0000}"/>
    <cellStyle name="Normal 9 5 6" xfId="6215" xr:uid="{00000000-0005-0000-0000-0000F77F0000}"/>
    <cellStyle name="Normal 9 5 6 2" xfId="32223" xr:uid="{00000000-0005-0000-0000-0000F87F0000}"/>
    <cellStyle name="Normal 9 5 7" xfId="24180" xr:uid="{00000000-0005-0000-0000-0000F97F0000}"/>
    <cellStyle name="Normal 9 6" xfId="1680" xr:uid="{00000000-0005-0000-0000-0000FA7F0000}"/>
    <cellStyle name="Normal 9 6 2" xfId="6224" xr:uid="{00000000-0005-0000-0000-0000FB7F0000}"/>
    <cellStyle name="Normal 9 6 2 2" xfId="6225" xr:uid="{00000000-0005-0000-0000-0000FC7F0000}"/>
    <cellStyle name="Normal 9 6 2 2 2" xfId="10066" xr:uid="{00000000-0005-0000-0000-0000FD7F0000}"/>
    <cellStyle name="Normal 9 6 2 2 2 2" xfId="19422" xr:uid="{00000000-0005-0000-0000-0000FE7F0000}"/>
    <cellStyle name="Normal 9 6 2 2 2 2 2" xfId="35996" xr:uid="{00000000-0005-0000-0000-0000FF7F0000}"/>
    <cellStyle name="Normal 9 6 2 2 2 3" xfId="27949" xr:uid="{00000000-0005-0000-0000-000000800000}"/>
    <cellStyle name="Normal 9 6 2 2 3" xfId="15677" xr:uid="{00000000-0005-0000-0000-000001800000}"/>
    <cellStyle name="Normal 9 6 2 2 3 2" xfId="32233" xr:uid="{00000000-0005-0000-0000-000002800000}"/>
    <cellStyle name="Normal 9 6 2 2 4" xfId="24190" xr:uid="{00000000-0005-0000-0000-000003800000}"/>
    <cellStyle name="Normal 9 6 2 3" xfId="10067" xr:uid="{00000000-0005-0000-0000-000004800000}"/>
    <cellStyle name="Normal 9 6 2 3 2" xfId="19423" xr:uid="{00000000-0005-0000-0000-000005800000}"/>
    <cellStyle name="Normal 9 6 2 3 2 2" xfId="35997" xr:uid="{00000000-0005-0000-0000-000006800000}"/>
    <cellStyle name="Normal 9 6 2 3 3" xfId="27950" xr:uid="{00000000-0005-0000-0000-000007800000}"/>
    <cellStyle name="Normal 9 6 2 4" xfId="15676" xr:uid="{00000000-0005-0000-0000-000008800000}"/>
    <cellStyle name="Normal 9 6 2 4 2" xfId="32232" xr:uid="{00000000-0005-0000-0000-000009800000}"/>
    <cellStyle name="Normal 9 6 2 5" xfId="24189" xr:uid="{00000000-0005-0000-0000-00000A800000}"/>
    <cellStyle name="Normal 9 6 3" xfId="6226" xr:uid="{00000000-0005-0000-0000-00000B800000}"/>
    <cellStyle name="Normal 9 6 3 2" xfId="10068" xr:uid="{00000000-0005-0000-0000-00000C800000}"/>
    <cellStyle name="Normal 9 6 3 2 2" xfId="19424" xr:uid="{00000000-0005-0000-0000-00000D800000}"/>
    <cellStyle name="Normal 9 6 3 2 2 2" xfId="35998" xr:uid="{00000000-0005-0000-0000-00000E800000}"/>
    <cellStyle name="Normal 9 6 3 2 3" xfId="27951" xr:uid="{00000000-0005-0000-0000-00000F800000}"/>
    <cellStyle name="Normal 9 6 3 3" xfId="15678" xr:uid="{00000000-0005-0000-0000-000010800000}"/>
    <cellStyle name="Normal 9 6 3 3 2" xfId="32234" xr:uid="{00000000-0005-0000-0000-000011800000}"/>
    <cellStyle name="Normal 9 6 3 4" xfId="24191" xr:uid="{00000000-0005-0000-0000-000012800000}"/>
    <cellStyle name="Normal 9 6 4" xfId="10069" xr:uid="{00000000-0005-0000-0000-000013800000}"/>
    <cellStyle name="Normal 9 6 4 2" xfId="19425" xr:uid="{00000000-0005-0000-0000-000014800000}"/>
    <cellStyle name="Normal 9 6 4 2 2" xfId="35999" xr:uid="{00000000-0005-0000-0000-000015800000}"/>
    <cellStyle name="Normal 9 6 4 3" xfId="27952" xr:uid="{00000000-0005-0000-0000-000016800000}"/>
    <cellStyle name="Normal 9 6 5" xfId="6223" xr:uid="{00000000-0005-0000-0000-000017800000}"/>
    <cellStyle name="Normal 9 6 5 2" xfId="32231" xr:uid="{00000000-0005-0000-0000-000018800000}"/>
    <cellStyle name="Normal 9 6 6" xfId="24188" xr:uid="{00000000-0005-0000-0000-000019800000}"/>
    <cellStyle name="Normal 9 7" xfId="6227" xr:uid="{00000000-0005-0000-0000-00001A800000}"/>
    <cellStyle name="Normal 9 7 2" xfId="6228" xr:uid="{00000000-0005-0000-0000-00001B800000}"/>
    <cellStyle name="Normal 9 7 2 2" xfId="10070" xr:uid="{00000000-0005-0000-0000-00001C800000}"/>
    <cellStyle name="Normal 9 7 2 2 2" xfId="19426" xr:uid="{00000000-0005-0000-0000-00001D800000}"/>
    <cellStyle name="Normal 9 7 2 2 2 2" xfId="36000" xr:uid="{00000000-0005-0000-0000-00001E800000}"/>
    <cellStyle name="Normal 9 7 2 2 3" xfId="27953" xr:uid="{00000000-0005-0000-0000-00001F800000}"/>
    <cellStyle name="Normal 9 7 2 3" xfId="15680" xr:uid="{00000000-0005-0000-0000-000020800000}"/>
    <cellStyle name="Normal 9 7 2 3 2" xfId="32236" xr:uid="{00000000-0005-0000-0000-000021800000}"/>
    <cellStyle name="Normal 9 7 2 4" xfId="24193" xr:uid="{00000000-0005-0000-0000-000022800000}"/>
    <cellStyle name="Normal 9 7 3" xfId="10071" xr:uid="{00000000-0005-0000-0000-000023800000}"/>
    <cellStyle name="Normal 9 7 3 2" xfId="19427" xr:uid="{00000000-0005-0000-0000-000024800000}"/>
    <cellStyle name="Normal 9 7 3 2 2" xfId="36001" xr:uid="{00000000-0005-0000-0000-000025800000}"/>
    <cellStyle name="Normal 9 7 3 3" xfId="27954" xr:uid="{00000000-0005-0000-0000-000026800000}"/>
    <cellStyle name="Normal 9 7 4" xfId="15679" xr:uid="{00000000-0005-0000-0000-000027800000}"/>
    <cellStyle name="Normal 9 7 4 2" xfId="32235" xr:uid="{00000000-0005-0000-0000-000028800000}"/>
    <cellStyle name="Normal 9 7 5" xfId="24192" xr:uid="{00000000-0005-0000-0000-000029800000}"/>
    <cellStyle name="Normal 9 8" xfId="6229" xr:uid="{00000000-0005-0000-0000-00002A800000}"/>
    <cellStyle name="Normal 9 8 2" xfId="10072" xr:uid="{00000000-0005-0000-0000-00002B800000}"/>
    <cellStyle name="Normal 9 8 2 2" xfId="19428" xr:uid="{00000000-0005-0000-0000-00002C800000}"/>
    <cellStyle name="Normal 9 8 2 2 2" xfId="36002" xr:uid="{00000000-0005-0000-0000-00002D800000}"/>
    <cellStyle name="Normal 9 8 2 3" xfId="27955" xr:uid="{00000000-0005-0000-0000-00002E800000}"/>
    <cellStyle name="Normal 9 8 3" xfId="15681" xr:uid="{00000000-0005-0000-0000-00002F800000}"/>
    <cellStyle name="Normal 9 8 3 2" xfId="32237" xr:uid="{00000000-0005-0000-0000-000030800000}"/>
    <cellStyle name="Normal 9 8 4" xfId="24194" xr:uid="{00000000-0005-0000-0000-000031800000}"/>
    <cellStyle name="Normal 9 9" xfId="10073" xr:uid="{00000000-0005-0000-0000-000032800000}"/>
    <cellStyle name="Normal 9 9 2" xfId="19429" xr:uid="{00000000-0005-0000-0000-000033800000}"/>
    <cellStyle name="Normal 9 9 2 2" xfId="36003" xr:uid="{00000000-0005-0000-0000-000034800000}"/>
    <cellStyle name="Normal 9 9 3" xfId="27956" xr:uid="{00000000-0005-0000-0000-000035800000}"/>
    <cellStyle name="Normal 90" xfId="6230" xr:uid="{00000000-0005-0000-0000-000036800000}"/>
    <cellStyle name="Normal 90 10" xfId="15682" xr:uid="{00000000-0005-0000-0000-000037800000}"/>
    <cellStyle name="Normal 90 10 2" xfId="32238" xr:uid="{00000000-0005-0000-0000-000038800000}"/>
    <cellStyle name="Normal 90 11" xfId="24195" xr:uid="{00000000-0005-0000-0000-000039800000}"/>
    <cellStyle name="Normal 90 2" xfId="6231" xr:uid="{00000000-0005-0000-0000-00003A800000}"/>
    <cellStyle name="Normal 90 2 2" xfId="6232" xr:uid="{00000000-0005-0000-0000-00003B800000}"/>
    <cellStyle name="Normal 90 2 3" xfId="15683" xr:uid="{00000000-0005-0000-0000-00003C800000}"/>
    <cellStyle name="Normal 90 2 3 2" xfId="32239" xr:uid="{00000000-0005-0000-0000-00003D800000}"/>
    <cellStyle name="Normal 90 2 4" xfId="24196" xr:uid="{00000000-0005-0000-0000-00003E800000}"/>
    <cellStyle name="Normal 90 3" xfId="6233" xr:uid="{00000000-0005-0000-0000-00003F800000}"/>
    <cellStyle name="Normal 90 3 2" xfId="6234" xr:uid="{00000000-0005-0000-0000-000040800000}"/>
    <cellStyle name="Normal 90 3 2 2" xfId="6235" xr:uid="{00000000-0005-0000-0000-000041800000}"/>
    <cellStyle name="Normal 90 3 2 2 2" xfId="6236" xr:uid="{00000000-0005-0000-0000-000042800000}"/>
    <cellStyle name="Normal 90 3 2 2 2 2" xfId="10074" xr:uid="{00000000-0005-0000-0000-000043800000}"/>
    <cellStyle name="Normal 90 3 2 2 2 2 2" xfId="19430" xr:uid="{00000000-0005-0000-0000-000044800000}"/>
    <cellStyle name="Normal 90 3 2 2 2 2 2 2" xfId="36004" xr:uid="{00000000-0005-0000-0000-000045800000}"/>
    <cellStyle name="Normal 90 3 2 2 2 2 3" xfId="27957" xr:uid="{00000000-0005-0000-0000-000046800000}"/>
    <cellStyle name="Normal 90 3 2 2 2 3" xfId="15686" xr:uid="{00000000-0005-0000-0000-000047800000}"/>
    <cellStyle name="Normal 90 3 2 2 2 3 2" xfId="32242" xr:uid="{00000000-0005-0000-0000-000048800000}"/>
    <cellStyle name="Normal 90 3 2 2 2 4" xfId="24199" xr:uid="{00000000-0005-0000-0000-000049800000}"/>
    <cellStyle name="Normal 90 3 2 2 3" xfId="10075" xr:uid="{00000000-0005-0000-0000-00004A800000}"/>
    <cellStyle name="Normal 90 3 2 2 3 2" xfId="19431" xr:uid="{00000000-0005-0000-0000-00004B800000}"/>
    <cellStyle name="Normal 90 3 2 2 3 2 2" xfId="36005" xr:uid="{00000000-0005-0000-0000-00004C800000}"/>
    <cellStyle name="Normal 90 3 2 2 3 3" xfId="27958" xr:uid="{00000000-0005-0000-0000-00004D800000}"/>
    <cellStyle name="Normal 90 3 2 2 4" xfId="15685" xr:uid="{00000000-0005-0000-0000-00004E800000}"/>
    <cellStyle name="Normal 90 3 2 2 4 2" xfId="32241" xr:uid="{00000000-0005-0000-0000-00004F800000}"/>
    <cellStyle name="Normal 90 3 2 2 5" xfId="24198" xr:uid="{00000000-0005-0000-0000-000050800000}"/>
    <cellStyle name="Normal 90 3 2 3" xfId="6237" xr:uid="{00000000-0005-0000-0000-000051800000}"/>
    <cellStyle name="Normal 90 3 2 3 2" xfId="10076" xr:uid="{00000000-0005-0000-0000-000052800000}"/>
    <cellStyle name="Normal 90 3 2 3 2 2" xfId="19432" xr:uid="{00000000-0005-0000-0000-000053800000}"/>
    <cellStyle name="Normal 90 3 2 3 2 2 2" xfId="36006" xr:uid="{00000000-0005-0000-0000-000054800000}"/>
    <cellStyle name="Normal 90 3 2 3 2 3" xfId="27959" xr:uid="{00000000-0005-0000-0000-000055800000}"/>
    <cellStyle name="Normal 90 3 2 3 3" xfId="15687" xr:uid="{00000000-0005-0000-0000-000056800000}"/>
    <cellStyle name="Normal 90 3 2 3 3 2" xfId="32243" xr:uid="{00000000-0005-0000-0000-000057800000}"/>
    <cellStyle name="Normal 90 3 2 3 4" xfId="24200" xr:uid="{00000000-0005-0000-0000-000058800000}"/>
    <cellStyle name="Normal 90 3 2 4" xfId="10077" xr:uid="{00000000-0005-0000-0000-000059800000}"/>
    <cellStyle name="Normal 90 3 2 4 2" xfId="19433" xr:uid="{00000000-0005-0000-0000-00005A800000}"/>
    <cellStyle name="Normal 90 3 2 4 2 2" xfId="36007" xr:uid="{00000000-0005-0000-0000-00005B800000}"/>
    <cellStyle name="Normal 90 3 2 4 3" xfId="27960" xr:uid="{00000000-0005-0000-0000-00005C800000}"/>
    <cellStyle name="Normal 90 3 2 5" xfId="15684" xr:uid="{00000000-0005-0000-0000-00005D800000}"/>
    <cellStyle name="Normal 90 3 2 5 2" xfId="32240" xr:uid="{00000000-0005-0000-0000-00005E800000}"/>
    <cellStyle name="Normal 90 3 2 6" xfId="24197" xr:uid="{00000000-0005-0000-0000-00005F800000}"/>
    <cellStyle name="Normal 90 3 3" xfId="6238" xr:uid="{00000000-0005-0000-0000-000060800000}"/>
    <cellStyle name="Normal 90 3 3 2" xfId="6239" xr:uid="{00000000-0005-0000-0000-000061800000}"/>
    <cellStyle name="Normal 90 3 3 2 2" xfId="10078" xr:uid="{00000000-0005-0000-0000-000062800000}"/>
    <cellStyle name="Normal 90 3 3 2 2 2" xfId="19434" xr:uid="{00000000-0005-0000-0000-000063800000}"/>
    <cellStyle name="Normal 90 3 3 2 2 2 2" xfId="36008" xr:uid="{00000000-0005-0000-0000-000064800000}"/>
    <cellStyle name="Normal 90 3 3 2 2 3" xfId="27961" xr:uid="{00000000-0005-0000-0000-000065800000}"/>
    <cellStyle name="Normal 90 3 3 2 3" xfId="15689" xr:uid="{00000000-0005-0000-0000-000066800000}"/>
    <cellStyle name="Normal 90 3 3 2 3 2" xfId="32245" xr:uid="{00000000-0005-0000-0000-000067800000}"/>
    <cellStyle name="Normal 90 3 3 2 4" xfId="24202" xr:uid="{00000000-0005-0000-0000-000068800000}"/>
    <cellStyle name="Normal 90 3 3 3" xfId="10079" xr:uid="{00000000-0005-0000-0000-000069800000}"/>
    <cellStyle name="Normal 90 3 3 3 2" xfId="19435" xr:uid="{00000000-0005-0000-0000-00006A800000}"/>
    <cellStyle name="Normal 90 3 3 3 2 2" xfId="36009" xr:uid="{00000000-0005-0000-0000-00006B800000}"/>
    <cellStyle name="Normal 90 3 3 3 3" xfId="27962" xr:uid="{00000000-0005-0000-0000-00006C800000}"/>
    <cellStyle name="Normal 90 3 3 4" xfId="15688" xr:uid="{00000000-0005-0000-0000-00006D800000}"/>
    <cellStyle name="Normal 90 3 3 4 2" xfId="32244" xr:uid="{00000000-0005-0000-0000-00006E800000}"/>
    <cellStyle name="Normal 90 3 3 5" xfId="24201" xr:uid="{00000000-0005-0000-0000-00006F800000}"/>
    <cellStyle name="Normal 90 3 4" xfId="6240" xr:uid="{00000000-0005-0000-0000-000070800000}"/>
    <cellStyle name="Normal 90 3 4 2" xfId="10080" xr:uid="{00000000-0005-0000-0000-000071800000}"/>
    <cellStyle name="Normal 90 3 4 2 2" xfId="19436" xr:uid="{00000000-0005-0000-0000-000072800000}"/>
    <cellStyle name="Normal 90 3 4 2 2 2" xfId="36010" xr:uid="{00000000-0005-0000-0000-000073800000}"/>
    <cellStyle name="Normal 90 3 4 2 3" xfId="27963" xr:uid="{00000000-0005-0000-0000-000074800000}"/>
    <cellStyle name="Normal 90 3 4 3" xfId="15690" xr:uid="{00000000-0005-0000-0000-000075800000}"/>
    <cellStyle name="Normal 90 3 4 3 2" xfId="32246" xr:uid="{00000000-0005-0000-0000-000076800000}"/>
    <cellStyle name="Normal 90 3 4 4" xfId="24203" xr:uid="{00000000-0005-0000-0000-000077800000}"/>
    <cellStyle name="Normal 90 3 5" xfId="6241" xr:uid="{00000000-0005-0000-0000-000078800000}"/>
    <cellStyle name="Normal 90 3 5 2" xfId="15691" xr:uid="{00000000-0005-0000-0000-000079800000}"/>
    <cellStyle name="Normal 90 3 5 2 2" xfId="32247" xr:uid="{00000000-0005-0000-0000-00007A800000}"/>
    <cellStyle name="Normal 90 3 5 3" xfId="24204" xr:uid="{00000000-0005-0000-0000-00007B800000}"/>
    <cellStyle name="Normal 90 4" xfId="6242" xr:uid="{00000000-0005-0000-0000-00007C800000}"/>
    <cellStyle name="Normal 90 4 2" xfId="6243" xr:uid="{00000000-0005-0000-0000-00007D800000}"/>
    <cellStyle name="Normal 90 4 2 2" xfId="6244" xr:uid="{00000000-0005-0000-0000-00007E800000}"/>
    <cellStyle name="Normal 90 4 2 2 2" xfId="6245" xr:uid="{00000000-0005-0000-0000-00007F800000}"/>
    <cellStyle name="Normal 90 4 2 2 2 2" xfId="10081" xr:uid="{00000000-0005-0000-0000-000080800000}"/>
    <cellStyle name="Normal 90 4 2 2 2 2 2" xfId="19437" xr:uid="{00000000-0005-0000-0000-000081800000}"/>
    <cellStyle name="Normal 90 4 2 2 2 2 2 2" xfId="36011" xr:uid="{00000000-0005-0000-0000-000082800000}"/>
    <cellStyle name="Normal 90 4 2 2 2 2 3" xfId="27964" xr:uid="{00000000-0005-0000-0000-000083800000}"/>
    <cellStyle name="Normal 90 4 2 2 2 3" xfId="15695" xr:uid="{00000000-0005-0000-0000-000084800000}"/>
    <cellStyle name="Normal 90 4 2 2 2 3 2" xfId="32251" xr:uid="{00000000-0005-0000-0000-000085800000}"/>
    <cellStyle name="Normal 90 4 2 2 2 4" xfId="24208" xr:uid="{00000000-0005-0000-0000-000086800000}"/>
    <cellStyle name="Normal 90 4 2 2 3" xfId="10082" xr:uid="{00000000-0005-0000-0000-000087800000}"/>
    <cellStyle name="Normal 90 4 2 2 3 2" xfId="19438" xr:uid="{00000000-0005-0000-0000-000088800000}"/>
    <cellStyle name="Normal 90 4 2 2 3 2 2" xfId="36012" xr:uid="{00000000-0005-0000-0000-000089800000}"/>
    <cellStyle name="Normal 90 4 2 2 3 3" xfId="27965" xr:uid="{00000000-0005-0000-0000-00008A800000}"/>
    <cellStyle name="Normal 90 4 2 2 4" xfId="15694" xr:uid="{00000000-0005-0000-0000-00008B800000}"/>
    <cellStyle name="Normal 90 4 2 2 4 2" xfId="32250" xr:uid="{00000000-0005-0000-0000-00008C800000}"/>
    <cellStyle name="Normal 90 4 2 2 5" xfId="24207" xr:uid="{00000000-0005-0000-0000-00008D800000}"/>
    <cellStyle name="Normal 90 4 2 3" xfId="6246" xr:uid="{00000000-0005-0000-0000-00008E800000}"/>
    <cellStyle name="Normal 90 4 2 3 2" xfId="10083" xr:uid="{00000000-0005-0000-0000-00008F800000}"/>
    <cellStyle name="Normal 90 4 2 3 2 2" xfId="19439" xr:uid="{00000000-0005-0000-0000-000090800000}"/>
    <cellStyle name="Normal 90 4 2 3 2 2 2" xfId="36013" xr:uid="{00000000-0005-0000-0000-000091800000}"/>
    <cellStyle name="Normal 90 4 2 3 2 3" xfId="27966" xr:uid="{00000000-0005-0000-0000-000092800000}"/>
    <cellStyle name="Normal 90 4 2 3 3" xfId="15696" xr:uid="{00000000-0005-0000-0000-000093800000}"/>
    <cellStyle name="Normal 90 4 2 3 3 2" xfId="32252" xr:uid="{00000000-0005-0000-0000-000094800000}"/>
    <cellStyle name="Normal 90 4 2 3 4" xfId="24209" xr:uid="{00000000-0005-0000-0000-000095800000}"/>
    <cellStyle name="Normal 90 4 2 4" xfId="10084" xr:uid="{00000000-0005-0000-0000-000096800000}"/>
    <cellStyle name="Normal 90 4 2 4 2" xfId="19440" xr:uid="{00000000-0005-0000-0000-000097800000}"/>
    <cellStyle name="Normal 90 4 2 4 2 2" xfId="36014" xr:uid="{00000000-0005-0000-0000-000098800000}"/>
    <cellStyle name="Normal 90 4 2 4 3" xfId="27967" xr:uid="{00000000-0005-0000-0000-000099800000}"/>
    <cellStyle name="Normal 90 4 2 5" xfId="15693" xr:uid="{00000000-0005-0000-0000-00009A800000}"/>
    <cellStyle name="Normal 90 4 2 5 2" xfId="32249" xr:uid="{00000000-0005-0000-0000-00009B800000}"/>
    <cellStyle name="Normal 90 4 2 6" xfId="24206" xr:uid="{00000000-0005-0000-0000-00009C800000}"/>
    <cellStyle name="Normal 90 4 3" xfId="6247" xr:uid="{00000000-0005-0000-0000-00009D800000}"/>
    <cellStyle name="Normal 90 4 3 2" xfId="6248" xr:uid="{00000000-0005-0000-0000-00009E800000}"/>
    <cellStyle name="Normal 90 4 3 2 2" xfId="10085" xr:uid="{00000000-0005-0000-0000-00009F800000}"/>
    <cellStyle name="Normal 90 4 3 2 2 2" xfId="19441" xr:uid="{00000000-0005-0000-0000-0000A0800000}"/>
    <cellStyle name="Normal 90 4 3 2 2 2 2" xfId="36015" xr:uid="{00000000-0005-0000-0000-0000A1800000}"/>
    <cellStyle name="Normal 90 4 3 2 2 3" xfId="27968" xr:uid="{00000000-0005-0000-0000-0000A2800000}"/>
    <cellStyle name="Normal 90 4 3 2 3" xfId="15698" xr:uid="{00000000-0005-0000-0000-0000A3800000}"/>
    <cellStyle name="Normal 90 4 3 2 3 2" xfId="32254" xr:uid="{00000000-0005-0000-0000-0000A4800000}"/>
    <cellStyle name="Normal 90 4 3 2 4" xfId="24211" xr:uid="{00000000-0005-0000-0000-0000A5800000}"/>
    <cellStyle name="Normal 90 4 3 3" xfId="10086" xr:uid="{00000000-0005-0000-0000-0000A6800000}"/>
    <cellStyle name="Normal 90 4 3 3 2" xfId="19442" xr:uid="{00000000-0005-0000-0000-0000A7800000}"/>
    <cellStyle name="Normal 90 4 3 3 2 2" xfId="36016" xr:uid="{00000000-0005-0000-0000-0000A8800000}"/>
    <cellStyle name="Normal 90 4 3 3 3" xfId="27969" xr:uid="{00000000-0005-0000-0000-0000A9800000}"/>
    <cellStyle name="Normal 90 4 3 4" xfId="15697" xr:uid="{00000000-0005-0000-0000-0000AA800000}"/>
    <cellStyle name="Normal 90 4 3 4 2" xfId="32253" xr:uid="{00000000-0005-0000-0000-0000AB800000}"/>
    <cellStyle name="Normal 90 4 3 5" xfId="24210" xr:uid="{00000000-0005-0000-0000-0000AC800000}"/>
    <cellStyle name="Normal 90 4 4" xfId="6249" xr:uid="{00000000-0005-0000-0000-0000AD800000}"/>
    <cellStyle name="Normal 90 4 4 2" xfId="10087" xr:uid="{00000000-0005-0000-0000-0000AE800000}"/>
    <cellStyle name="Normal 90 4 4 2 2" xfId="19443" xr:uid="{00000000-0005-0000-0000-0000AF800000}"/>
    <cellStyle name="Normal 90 4 4 2 2 2" xfId="36017" xr:uid="{00000000-0005-0000-0000-0000B0800000}"/>
    <cellStyle name="Normal 90 4 4 2 3" xfId="27970" xr:uid="{00000000-0005-0000-0000-0000B1800000}"/>
    <cellStyle name="Normal 90 4 4 3" xfId="15699" xr:uid="{00000000-0005-0000-0000-0000B2800000}"/>
    <cellStyle name="Normal 90 4 4 3 2" xfId="32255" xr:uid="{00000000-0005-0000-0000-0000B3800000}"/>
    <cellStyle name="Normal 90 4 4 4" xfId="24212" xr:uid="{00000000-0005-0000-0000-0000B4800000}"/>
    <cellStyle name="Normal 90 4 5" xfId="10088" xr:uid="{00000000-0005-0000-0000-0000B5800000}"/>
    <cellStyle name="Normal 90 4 5 2" xfId="19444" xr:uid="{00000000-0005-0000-0000-0000B6800000}"/>
    <cellStyle name="Normal 90 4 5 2 2" xfId="36018" xr:uid="{00000000-0005-0000-0000-0000B7800000}"/>
    <cellStyle name="Normal 90 4 5 3" xfId="27971" xr:uid="{00000000-0005-0000-0000-0000B8800000}"/>
    <cellStyle name="Normal 90 4 6" xfId="15692" xr:uid="{00000000-0005-0000-0000-0000B9800000}"/>
    <cellStyle name="Normal 90 4 6 2" xfId="32248" xr:uid="{00000000-0005-0000-0000-0000BA800000}"/>
    <cellStyle name="Normal 90 4 7" xfId="24205" xr:uid="{00000000-0005-0000-0000-0000BB800000}"/>
    <cellStyle name="Normal 90 5" xfId="6250" xr:uid="{00000000-0005-0000-0000-0000BC800000}"/>
    <cellStyle name="Normal 90 5 2" xfId="6251" xr:uid="{00000000-0005-0000-0000-0000BD800000}"/>
    <cellStyle name="Normal 90 5 2 2" xfId="6252" xr:uid="{00000000-0005-0000-0000-0000BE800000}"/>
    <cellStyle name="Normal 90 5 2 2 2" xfId="6253" xr:uid="{00000000-0005-0000-0000-0000BF800000}"/>
    <cellStyle name="Normal 90 5 2 2 2 2" xfId="10089" xr:uid="{00000000-0005-0000-0000-0000C0800000}"/>
    <cellStyle name="Normal 90 5 2 2 2 2 2" xfId="19445" xr:uid="{00000000-0005-0000-0000-0000C1800000}"/>
    <cellStyle name="Normal 90 5 2 2 2 2 2 2" xfId="36019" xr:uid="{00000000-0005-0000-0000-0000C2800000}"/>
    <cellStyle name="Normal 90 5 2 2 2 2 3" xfId="27972" xr:uid="{00000000-0005-0000-0000-0000C3800000}"/>
    <cellStyle name="Normal 90 5 2 2 2 3" xfId="15703" xr:uid="{00000000-0005-0000-0000-0000C4800000}"/>
    <cellStyle name="Normal 90 5 2 2 2 3 2" xfId="32259" xr:uid="{00000000-0005-0000-0000-0000C5800000}"/>
    <cellStyle name="Normal 90 5 2 2 2 4" xfId="24216" xr:uid="{00000000-0005-0000-0000-0000C6800000}"/>
    <cellStyle name="Normal 90 5 2 2 3" xfId="10090" xr:uid="{00000000-0005-0000-0000-0000C7800000}"/>
    <cellStyle name="Normal 90 5 2 2 3 2" xfId="19446" xr:uid="{00000000-0005-0000-0000-0000C8800000}"/>
    <cellStyle name="Normal 90 5 2 2 3 2 2" xfId="36020" xr:uid="{00000000-0005-0000-0000-0000C9800000}"/>
    <cellStyle name="Normal 90 5 2 2 3 3" xfId="27973" xr:uid="{00000000-0005-0000-0000-0000CA800000}"/>
    <cellStyle name="Normal 90 5 2 2 4" xfId="15702" xr:uid="{00000000-0005-0000-0000-0000CB800000}"/>
    <cellStyle name="Normal 90 5 2 2 4 2" xfId="32258" xr:uid="{00000000-0005-0000-0000-0000CC800000}"/>
    <cellStyle name="Normal 90 5 2 2 5" xfId="24215" xr:uid="{00000000-0005-0000-0000-0000CD800000}"/>
    <cellStyle name="Normal 90 5 2 3" xfId="6254" xr:uid="{00000000-0005-0000-0000-0000CE800000}"/>
    <cellStyle name="Normal 90 5 2 3 2" xfId="10091" xr:uid="{00000000-0005-0000-0000-0000CF800000}"/>
    <cellStyle name="Normal 90 5 2 3 2 2" xfId="19447" xr:uid="{00000000-0005-0000-0000-0000D0800000}"/>
    <cellStyle name="Normal 90 5 2 3 2 2 2" xfId="36021" xr:uid="{00000000-0005-0000-0000-0000D1800000}"/>
    <cellStyle name="Normal 90 5 2 3 2 3" xfId="27974" xr:uid="{00000000-0005-0000-0000-0000D2800000}"/>
    <cellStyle name="Normal 90 5 2 3 3" xfId="15704" xr:uid="{00000000-0005-0000-0000-0000D3800000}"/>
    <cellStyle name="Normal 90 5 2 3 3 2" xfId="32260" xr:uid="{00000000-0005-0000-0000-0000D4800000}"/>
    <cellStyle name="Normal 90 5 2 3 4" xfId="24217" xr:uid="{00000000-0005-0000-0000-0000D5800000}"/>
    <cellStyle name="Normal 90 5 2 4" xfId="10092" xr:uid="{00000000-0005-0000-0000-0000D6800000}"/>
    <cellStyle name="Normal 90 5 2 4 2" xfId="19448" xr:uid="{00000000-0005-0000-0000-0000D7800000}"/>
    <cellStyle name="Normal 90 5 2 4 2 2" xfId="36022" xr:uid="{00000000-0005-0000-0000-0000D8800000}"/>
    <cellStyle name="Normal 90 5 2 4 3" xfId="27975" xr:uid="{00000000-0005-0000-0000-0000D9800000}"/>
    <cellStyle name="Normal 90 5 2 5" xfId="15701" xr:uid="{00000000-0005-0000-0000-0000DA800000}"/>
    <cellStyle name="Normal 90 5 2 5 2" xfId="32257" xr:uid="{00000000-0005-0000-0000-0000DB800000}"/>
    <cellStyle name="Normal 90 5 2 6" xfId="24214" xr:uid="{00000000-0005-0000-0000-0000DC800000}"/>
    <cellStyle name="Normal 90 5 3" xfId="6255" xr:uid="{00000000-0005-0000-0000-0000DD800000}"/>
    <cellStyle name="Normal 90 5 3 2" xfId="6256" xr:uid="{00000000-0005-0000-0000-0000DE800000}"/>
    <cellStyle name="Normal 90 5 3 2 2" xfId="10093" xr:uid="{00000000-0005-0000-0000-0000DF800000}"/>
    <cellStyle name="Normal 90 5 3 2 2 2" xfId="19449" xr:uid="{00000000-0005-0000-0000-0000E0800000}"/>
    <cellStyle name="Normal 90 5 3 2 2 2 2" xfId="36023" xr:uid="{00000000-0005-0000-0000-0000E1800000}"/>
    <cellStyle name="Normal 90 5 3 2 2 3" xfId="27976" xr:uid="{00000000-0005-0000-0000-0000E2800000}"/>
    <cellStyle name="Normal 90 5 3 2 3" xfId="15706" xr:uid="{00000000-0005-0000-0000-0000E3800000}"/>
    <cellStyle name="Normal 90 5 3 2 3 2" xfId="32262" xr:uid="{00000000-0005-0000-0000-0000E4800000}"/>
    <cellStyle name="Normal 90 5 3 2 4" xfId="24219" xr:uid="{00000000-0005-0000-0000-0000E5800000}"/>
    <cellStyle name="Normal 90 5 3 3" xfId="10094" xr:uid="{00000000-0005-0000-0000-0000E6800000}"/>
    <cellStyle name="Normal 90 5 3 3 2" xfId="19450" xr:uid="{00000000-0005-0000-0000-0000E7800000}"/>
    <cellStyle name="Normal 90 5 3 3 2 2" xfId="36024" xr:uid="{00000000-0005-0000-0000-0000E8800000}"/>
    <cellStyle name="Normal 90 5 3 3 3" xfId="27977" xr:uid="{00000000-0005-0000-0000-0000E9800000}"/>
    <cellStyle name="Normal 90 5 3 4" xfId="15705" xr:uid="{00000000-0005-0000-0000-0000EA800000}"/>
    <cellStyle name="Normal 90 5 3 4 2" xfId="32261" xr:uid="{00000000-0005-0000-0000-0000EB800000}"/>
    <cellStyle name="Normal 90 5 3 5" xfId="24218" xr:uid="{00000000-0005-0000-0000-0000EC800000}"/>
    <cellStyle name="Normal 90 5 4" xfId="6257" xr:uid="{00000000-0005-0000-0000-0000ED800000}"/>
    <cellStyle name="Normal 90 5 4 2" xfId="10095" xr:uid="{00000000-0005-0000-0000-0000EE800000}"/>
    <cellStyle name="Normal 90 5 4 2 2" xfId="19451" xr:uid="{00000000-0005-0000-0000-0000EF800000}"/>
    <cellStyle name="Normal 90 5 4 2 2 2" xfId="36025" xr:uid="{00000000-0005-0000-0000-0000F0800000}"/>
    <cellStyle name="Normal 90 5 4 2 3" xfId="27978" xr:uid="{00000000-0005-0000-0000-0000F1800000}"/>
    <cellStyle name="Normal 90 5 4 3" xfId="15707" xr:uid="{00000000-0005-0000-0000-0000F2800000}"/>
    <cellStyle name="Normal 90 5 4 3 2" xfId="32263" xr:uid="{00000000-0005-0000-0000-0000F3800000}"/>
    <cellStyle name="Normal 90 5 4 4" xfId="24220" xr:uid="{00000000-0005-0000-0000-0000F4800000}"/>
    <cellStyle name="Normal 90 5 5" xfId="10096" xr:uid="{00000000-0005-0000-0000-0000F5800000}"/>
    <cellStyle name="Normal 90 5 5 2" xfId="19452" xr:uid="{00000000-0005-0000-0000-0000F6800000}"/>
    <cellStyle name="Normal 90 5 5 2 2" xfId="36026" xr:uid="{00000000-0005-0000-0000-0000F7800000}"/>
    <cellStyle name="Normal 90 5 5 3" xfId="27979" xr:uid="{00000000-0005-0000-0000-0000F8800000}"/>
    <cellStyle name="Normal 90 5 6" xfId="15700" xr:uid="{00000000-0005-0000-0000-0000F9800000}"/>
    <cellStyle name="Normal 90 5 6 2" xfId="32256" xr:uid="{00000000-0005-0000-0000-0000FA800000}"/>
    <cellStyle name="Normal 90 5 7" xfId="24213" xr:uid="{00000000-0005-0000-0000-0000FB800000}"/>
    <cellStyle name="Normal 90 6" xfId="6258" xr:uid="{00000000-0005-0000-0000-0000FC800000}"/>
    <cellStyle name="Normal 90 6 2" xfId="6259" xr:uid="{00000000-0005-0000-0000-0000FD800000}"/>
    <cellStyle name="Normal 90 6 2 2" xfId="6260" xr:uid="{00000000-0005-0000-0000-0000FE800000}"/>
    <cellStyle name="Normal 90 6 2 2 2" xfId="10097" xr:uid="{00000000-0005-0000-0000-0000FF800000}"/>
    <cellStyle name="Normal 90 6 2 2 2 2" xfId="19453" xr:uid="{00000000-0005-0000-0000-000000810000}"/>
    <cellStyle name="Normal 90 6 2 2 2 2 2" xfId="36027" xr:uid="{00000000-0005-0000-0000-000001810000}"/>
    <cellStyle name="Normal 90 6 2 2 2 3" xfId="27980" xr:uid="{00000000-0005-0000-0000-000002810000}"/>
    <cellStyle name="Normal 90 6 2 2 3" xfId="15710" xr:uid="{00000000-0005-0000-0000-000003810000}"/>
    <cellStyle name="Normal 90 6 2 2 3 2" xfId="32266" xr:uid="{00000000-0005-0000-0000-000004810000}"/>
    <cellStyle name="Normal 90 6 2 2 4" xfId="24223" xr:uid="{00000000-0005-0000-0000-000005810000}"/>
    <cellStyle name="Normal 90 6 2 3" xfId="10098" xr:uid="{00000000-0005-0000-0000-000006810000}"/>
    <cellStyle name="Normal 90 6 2 3 2" xfId="19454" xr:uid="{00000000-0005-0000-0000-000007810000}"/>
    <cellStyle name="Normal 90 6 2 3 2 2" xfId="36028" xr:uid="{00000000-0005-0000-0000-000008810000}"/>
    <cellStyle name="Normal 90 6 2 3 3" xfId="27981" xr:uid="{00000000-0005-0000-0000-000009810000}"/>
    <cellStyle name="Normal 90 6 2 4" xfId="15709" xr:uid="{00000000-0005-0000-0000-00000A810000}"/>
    <cellStyle name="Normal 90 6 2 4 2" xfId="32265" xr:uid="{00000000-0005-0000-0000-00000B810000}"/>
    <cellStyle name="Normal 90 6 2 5" xfId="24222" xr:uid="{00000000-0005-0000-0000-00000C810000}"/>
    <cellStyle name="Normal 90 6 3" xfId="6261" xr:uid="{00000000-0005-0000-0000-00000D810000}"/>
    <cellStyle name="Normal 90 6 3 2" xfId="10099" xr:uid="{00000000-0005-0000-0000-00000E810000}"/>
    <cellStyle name="Normal 90 6 3 2 2" xfId="19455" xr:uid="{00000000-0005-0000-0000-00000F810000}"/>
    <cellStyle name="Normal 90 6 3 2 2 2" xfId="36029" xr:uid="{00000000-0005-0000-0000-000010810000}"/>
    <cellStyle name="Normal 90 6 3 2 3" xfId="27982" xr:uid="{00000000-0005-0000-0000-000011810000}"/>
    <cellStyle name="Normal 90 6 3 3" xfId="15711" xr:uid="{00000000-0005-0000-0000-000012810000}"/>
    <cellStyle name="Normal 90 6 3 3 2" xfId="32267" xr:uid="{00000000-0005-0000-0000-000013810000}"/>
    <cellStyle name="Normal 90 6 3 4" xfId="24224" xr:uid="{00000000-0005-0000-0000-000014810000}"/>
    <cellStyle name="Normal 90 6 4" xfId="10100" xr:uid="{00000000-0005-0000-0000-000015810000}"/>
    <cellStyle name="Normal 90 6 4 2" xfId="19456" xr:uid="{00000000-0005-0000-0000-000016810000}"/>
    <cellStyle name="Normal 90 6 4 2 2" xfId="36030" xr:uid="{00000000-0005-0000-0000-000017810000}"/>
    <cellStyle name="Normal 90 6 4 3" xfId="27983" xr:uid="{00000000-0005-0000-0000-000018810000}"/>
    <cellStyle name="Normal 90 6 5" xfId="15708" xr:uid="{00000000-0005-0000-0000-000019810000}"/>
    <cellStyle name="Normal 90 6 5 2" xfId="32264" xr:uid="{00000000-0005-0000-0000-00001A810000}"/>
    <cellStyle name="Normal 90 6 6" xfId="24221" xr:uid="{00000000-0005-0000-0000-00001B810000}"/>
    <cellStyle name="Normal 90 7" xfId="6262" xr:uid="{00000000-0005-0000-0000-00001C810000}"/>
    <cellStyle name="Normal 90 7 2" xfId="6263" xr:uid="{00000000-0005-0000-0000-00001D810000}"/>
    <cellStyle name="Normal 90 7 2 2" xfId="10101" xr:uid="{00000000-0005-0000-0000-00001E810000}"/>
    <cellStyle name="Normal 90 7 2 2 2" xfId="19457" xr:uid="{00000000-0005-0000-0000-00001F810000}"/>
    <cellStyle name="Normal 90 7 2 2 2 2" xfId="36031" xr:uid="{00000000-0005-0000-0000-000020810000}"/>
    <cellStyle name="Normal 90 7 2 2 3" xfId="27984" xr:uid="{00000000-0005-0000-0000-000021810000}"/>
    <cellStyle name="Normal 90 7 2 3" xfId="15713" xr:uid="{00000000-0005-0000-0000-000022810000}"/>
    <cellStyle name="Normal 90 7 2 3 2" xfId="32269" xr:uid="{00000000-0005-0000-0000-000023810000}"/>
    <cellStyle name="Normal 90 7 2 4" xfId="24226" xr:uid="{00000000-0005-0000-0000-000024810000}"/>
    <cellStyle name="Normal 90 7 3" xfId="10102" xr:uid="{00000000-0005-0000-0000-000025810000}"/>
    <cellStyle name="Normal 90 7 3 2" xfId="19458" xr:uid="{00000000-0005-0000-0000-000026810000}"/>
    <cellStyle name="Normal 90 7 3 2 2" xfId="36032" xr:uid="{00000000-0005-0000-0000-000027810000}"/>
    <cellStyle name="Normal 90 7 3 3" xfId="27985" xr:uid="{00000000-0005-0000-0000-000028810000}"/>
    <cellStyle name="Normal 90 7 4" xfId="15712" xr:uid="{00000000-0005-0000-0000-000029810000}"/>
    <cellStyle name="Normal 90 7 4 2" xfId="32268" xr:uid="{00000000-0005-0000-0000-00002A810000}"/>
    <cellStyle name="Normal 90 7 5" xfId="24225" xr:uid="{00000000-0005-0000-0000-00002B810000}"/>
    <cellStyle name="Normal 90 8" xfId="6264" xr:uid="{00000000-0005-0000-0000-00002C810000}"/>
    <cellStyle name="Normal 90 8 2" xfId="10103" xr:uid="{00000000-0005-0000-0000-00002D810000}"/>
    <cellStyle name="Normal 90 8 2 2" xfId="19459" xr:uid="{00000000-0005-0000-0000-00002E810000}"/>
    <cellStyle name="Normal 90 8 2 2 2" xfId="36033" xr:uid="{00000000-0005-0000-0000-00002F810000}"/>
    <cellStyle name="Normal 90 8 2 3" xfId="27986" xr:uid="{00000000-0005-0000-0000-000030810000}"/>
    <cellStyle name="Normal 90 8 3" xfId="15714" xr:uid="{00000000-0005-0000-0000-000031810000}"/>
    <cellStyle name="Normal 90 8 3 2" xfId="32270" xr:uid="{00000000-0005-0000-0000-000032810000}"/>
    <cellStyle name="Normal 90 8 4" xfId="24227" xr:uid="{00000000-0005-0000-0000-000033810000}"/>
    <cellStyle name="Normal 90 9" xfId="10104" xr:uid="{00000000-0005-0000-0000-000034810000}"/>
    <cellStyle name="Normal 90 9 2" xfId="19460" xr:uid="{00000000-0005-0000-0000-000035810000}"/>
    <cellStyle name="Normal 90 9 2 2" xfId="36034" xr:uid="{00000000-0005-0000-0000-000036810000}"/>
    <cellStyle name="Normal 90 9 3" xfId="27987" xr:uid="{00000000-0005-0000-0000-000037810000}"/>
    <cellStyle name="Normal 91" xfId="6265" xr:uid="{00000000-0005-0000-0000-000038810000}"/>
    <cellStyle name="Normal 91 10" xfId="15715" xr:uid="{00000000-0005-0000-0000-000039810000}"/>
    <cellStyle name="Normal 91 10 2" xfId="32271" xr:uid="{00000000-0005-0000-0000-00003A810000}"/>
    <cellStyle name="Normal 91 11" xfId="24228" xr:uid="{00000000-0005-0000-0000-00003B810000}"/>
    <cellStyle name="Normal 91 2" xfId="6266" xr:uid="{00000000-0005-0000-0000-00003C810000}"/>
    <cellStyle name="Normal 91 2 2" xfId="6267" xr:uid="{00000000-0005-0000-0000-00003D810000}"/>
    <cellStyle name="Normal 91 2 3" xfId="15716" xr:uid="{00000000-0005-0000-0000-00003E810000}"/>
    <cellStyle name="Normal 91 2 3 2" xfId="32272" xr:uid="{00000000-0005-0000-0000-00003F810000}"/>
    <cellStyle name="Normal 91 2 4" xfId="24229" xr:uid="{00000000-0005-0000-0000-000040810000}"/>
    <cellStyle name="Normal 91 3" xfId="6268" xr:uid="{00000000-0005-0000-0000-000041810000}"/>
    <cellStyle name="Normal 91 3 2" xfId="6269" xr:uid="{00000000-0005-0000-0000-000042810000}"/>
    <cellStyle name="Normal 91 3 2 2" xfId="6270" xr:uid="{00000000-0005-0000-0000-000043810000}"/>
    <cellStyle name="Normal 91 3 2 2 2" xfId="6271" xr:uid="{00000000-0005-0000-0000-000044810000}"/>
    <cellStyle name="Normal 91 3 2 2 2 2" xfId="10105" xr:uid="{00000000-0005-0000-0000-000045810000}"/>
    <cellStyle name="Normal 91 3 2 2 2 2 2" xfId="19461" xr:uid="{00000000-0005-0000-0000-000046810000}"/>
    <cellStyle name="Normal 91 3 2 2 2 2 2 2" xfId="36035" xr:uid="{00000000-0005-0000-0000-000047810000}"/>
    <cellStyle name="Normal 91 3 2 2 2 2 3" xfId="27988" xr:uid="{00000000-0005-0000-0000-000048810000}"/>
    <cellStyle name="Normal 91 3 2 2 2 3" xfId="15719" xr:uid="{00000000-0005-0000-0000-000049810000}"/>
    <cellStyle name="Normal 91 3 2 2 2 3 2" xfId="32275" xr:uid="{00000000-0005-0000-0000-00004A810000}"/>
    <cellStyle name="Normal 91 3 2 2 2 4" xfId="24232" xr:uid="{00000000-0005-0000-0000-00004B810000}"/>
    <cellStyle name="Normal 91 3 2 2 3" xfId="10106" xr:uid="{00000000-0005-0000-0000-00004C810000}"/>
    <cellStyle name="Normal 91 3 2 2 3 2" xfId="19462" xr:uid="{00000000-0005-0000-0000-00004D810000}"/>
    <cellStyle name="Normal 91 3 2 2 3 2 2" xfId="36036" xr:uid="{00000000-0005-0000-0000-00004E810000}"/>
    <cellStyle name="Normal 91 3 2 2 3 3" xfId="27989" xr:uid="{00000000-0005-0000-0000-00004F810000}"/>
    <cellStyle name="Normal 91 3 2 2 4" xfId="15718" xr:uid="{00000000-0005-0000-0000-000050810000}"/>
    <cellStyle name="Normal 91 3 2 2 4 2" xfId="32274" xr:uid="{00000000-0005-0000-0000-000051810000}"/>
    <cellStyle name="Normal 91 3 2 2 5" xfId="24231" xr:uid="{00000000-0005-0000-0000-000052810000}"/>
    <cellStyle name="Normal 91 3 2 3" xfId="6272" xr:uid="{00000000-0005-0000-0000-000053810000}"/>
    <cellStyle name="Normal 91 3 2 3 2" xfId="10107" xr:uid="{00000000-0005-0000-0000-000054810000}"/>
    <cellStyle name="Normal 91 3 2 3 2 2" xfId="19463" xr:uid="{00000000-0005-0000-0000-000055810000}"/>
    <cellStyle name="Normal 91 3 2 3 2 2 2" xfId="36037" xr:uid="{00000000-0005-0000-0000-000056810000}"/>
    <cellStyle name="Normal 91 3 2 3 2 3" xfId="27990" xr:uid="{00000000-0005-0000-0000-000057810000}"/>
    <cellStyle name="Normal 91 3 2 3 3" xfId="15720" xr:uid="{00000000-0005-0000-0000-000058810000}"/>
    <cellStyle name="Normal 91 3 2 3 3 2" xfId="32276" xr:uid="{00000000-0005-0000-0000-000059810000}"/>
    <cellStyle name="Normal 91 3 2 3 4" xfId="24233" xr:uid="{00000000-0005-0000-0000-00005A810000}"/>
    <cellStyle name="Normal 91 3 2 4" xfId="10108" xr:uid="{00000000-0005-0000-0000-00005B810000}"/>
    <cellStyle name="Normal 91 3 2 4 2" xfId="19464" xr:uid="{00000000-0005-0000-0000-00005C810000}"/>
    <cellStyle name="Normal 91 3 2 4 2 2" xfId="36038" xr:uid="{00000000-0005-0000-0000-00005D810000}"/>
    <cellStyle name="Normal 91 3 2 4 3" xfId="27991" xr:uid="{00000000-0005-0000-0000-00005E810000}"/>
    <cellStyle name="Normal 91 3 2 5" xfId="15717" xr:uid="{00000000-0005-0000-0000-00005F810000}"/>
    <cellStyle name="Normal 91 3 2 5 2" xfId="32273" xr:uid="{00000000-0005-0000-0000-000060810000}"/>
    <cellStyle name="Normal 91 3 2 6" xfId="24230" xr:uid="{00000000-0005-0000-0000-000061810000}"/>
    <cellStyle name="Normal 91 3 3" xfId="6273" xr:uid="{00000000-0005-0000-0000-000062810000}"/>
    <cellStyle name="Normal 91 3 3 2" xfId="6274" xr:uid="{00000000-0005-0000-0000-000063810000}"/>
    <cellStyle name="Normal 91 3 3 2 2" xfId="10109" xr:uid="{00000000-0005-0000-0000-000064810000}"/>
    <cellStyle name="Normal 91 3 3 2 2 2" xfId="19465" xr:uid="{00000000-0005-0000-0000-000065810000}"/>
    <cellStyle name="Normal 91 3 3 2 2 2 2" xfId="36039" xr:uid="{00000000-0005-0000-0000-000066810000}"/>
    <cellStyle name="Normal 91 3 3 2 2 3" xfId="27992" xr:uid="{00000000-0005-0000-0000-000067810000}"/>
    <cellStyle name="Normal 91 3 3 2 3" xfId="15722" xr:uid="{00000000-0005-0000-0000-000068810000}"/>
    <cellStyle name="Normal 91 3 3 2 3 2" xfId="32278" xr:uid="{00000000-0005-0000-0000-000069810000}"/>
    <cellStyle name="Normal 91 3 3 2 4" xfId="24235" xr:uid="{00000000-0005-0000-0000-00006A810000}"/>
    <cellStyle name="Normal 91 3 3 3" xfId="10110" xr:uid="{00000000-0005-0000-0000-00006B810000}"/>
    <cellStyle name="Normal 91 3 3 3 2" xfId="19466" xr:uid="{00000000-0005-0000-0000-00006C810000}"/>
    <cellStyle name="Normal 91 3 3 3 2 2" xfId="36040" xr:uid="{00000000-0005-0000-0000-00006D810000}"/>
    <cellStyle name="Normal 91 3 3 3 3" xfId="27993" xr:uid="{00000000-0005-0000-0000-00006E810000}"/>
    <cellStyle name="Normal 91 3 3 4" xfId="15721" xr:uid="{00000000-0005-0000-0000-00006F810000}"/>
    <cellStyle name="Normal 91 3 3 4 2" xfId="32277" xr:uid="{00000000-0005-0000-0000-000070810000}"/>
    <cellStyle name="Normal 91 3 3 5" xfId="24234" xr:uid="{00000000-0005-0000-0000-000071810000}"/>
    <cellStyle name="Normal 91 3 4" xfId="6275" xr:uid="{00000000-0005-0000-0000-000072810000}"/>
    <cellStyle name="Normal 91 3 4 2" xfId="10111" xr:uid="{00000000-0005-0000-0000-000073810000}"/>
    <cellStyle name="Normal 91 3 4 2 2" xfId="19467" xr:uid="{00000000-0005-0000-0000-000074810000}"/>
    <cellStyle name="Normal 91 3 4 2 2 2" xfId="36041" xr:uid="{00000000-0005-0000-0000-000075810000}"/>
    <cellStyle name="Normal 91 3 4 2 3" xfId="27994" xr:uid="{00000000-0005-0000-0000-000076810000}"/>
    <cellStyle name="Normal 91 3 4 3" xfId="15723" xr:uid="{00000000-0005-0000-0000-000077810000}"/>
    <cellStyle name="Normal 91 3 4 3 2" xfId="32279" xr:uid="{00000000-0005-0000-0000-000078810000}"/>
    <cellStyle name="Normal 91 3 4 4" xfId="24236" xr:uid="{00000000-0005-0000-0000-000079810000}"/>
    <cellStyle name="Normal 91 3 5" xfId="6276" xr:uid="{00000000-0005-0000-0000-00007A810000}"/>
    <cellStyle name="Normal 91 3 5 2" xfId="15724" xr:uid="{00000000-0005-0000-0000-00007B810000}"/>
    <cellStyle name="Normal 91 3 5 2 2" xfId="32280" xr:uid="{00000000-0005-0000-0000-00007C810000}"/>
    <cellStyle name="Normal 91 3 5 3" xfId="24237" xr:uid="{00000000-0005-0000-0000-00007D810000}"/>
    <cellStyle name="Normal 91 4" xfId="6277" xr:uid="{00000000-0005-0000-0000-00007E810000}"/>
    <cellStyle name="Normal 91 4 2" xfId="6278" xr:uid="{00000000-0005-0000-0000-00007F810000}"/>
    <cellStyle name="Normal 91 4 2 2" xfId="6279" xr:uid="{00000000-0005-0000-0000-000080810000}"/>
    <cellStyle name="Normal 91 4 2 2 2" xfId="6280" xr:uid="{00000000-0005-0000-0000-000081810000}"/>
    <cellStyle name="Normal 91 4 2 2 2 2" xfId="10112" xr:uid="{00000000-0005-0000-0000-000082810000}"/>
    <cellStyle name="Normal 91 4 2 2 2 2 2" xfId="19468" xr:uid="{00000000-0005-0000-0000-000083810000}"/>
    <cellStyle name="Normal 91 4 2 2 2 2 2 2" xfId="36042" xr:uid="{00000000-0005-0000-0000-000084810000}"/>
    <cellStyle name="Normal 91 4 2 2 2 2 3" xfId="27995" xr:uid="{00000000-0005-0000-0000-000085810000}"/>
    <cellStyle name="Normal 91 4 2 2 2 3" xfId="15728" xr:uid="{00000000-0005-0000-0000-000086810000}"/>
    <cellStyle name="Normal 91 4 2 2 2 3 2" xfId="32284" xr:uid="{00000000-0005-0000-0000-000087810000}"/>
    <cellStyle name="Normal 91 4 2 2 2 4" xfId="24241" xr:uid="{00000000-0005-0000-0000-000088810000}"/>
    <cellStyle name="Normal 91 4 2 2 3" xfId="10113" xr:uid="{00000000-0005-0000-0000-000089810000}"/>
    <cellStyle name="Normal 91 4 2 2 3 2" xfId="19469" xr:uid="{00000000-0005-0000-0000-00008A810000}"/>
    <cellStyle name="Normal 91 4 2 2 3 2 2" xfId="36043" xr:uid="{00000000-0005-0000-0000-00008B810000}"/>
    <cellStyle name="Normal 91 4 2 2 3 3" xfId="27996" xr:uid="{00000000-0005-0000-0000-00008C810000}"/>
    <cellStyle name="Normal 91 4 2 2 4" xfId="15727" xr:uid="{00000000-0005-0000-0000-00008D810000}"/>
    <cellStyle name="Normal 91 4 2 2 4 2" xfId="32283" xr:uid="{00000000-0005-0000-0000-00008E810000}"/>
    <cellStyle name="Normal 91 4 2 2 5" xfId="24240" xr:uid="{00000000-0005-0000-0000-00008F810000}"/>
    <cellStyle name="Normal 91 4 2 3" xfId="6281" xr:uid="{00000000-0005-0000-0000-000090810000}"/>
    <cellStyle name="Normal 91 4 2 3 2" xfId="10114" xr:uid="{00000000-0005-0000-0000-000091810000}"/>
    <cellStyle name="Normal 91 4 2 3 2 2" xfId="19470" xr:uid="{00000000-0005-0000-0000-000092810000}"/>
    <cellStyle name="Normal 91 4 2 3 2 2 2" xfId="36044" xr:uid="{00000000-0005-0000-0000-000093810000}"/>
    <cellStyle name="Normal 91 4 2 3 2 3" xfId="27997" xr:uid="{00000000-0005-0000-0000-000094810000}"/>
    <cellStyle name="Normal 91 4 2 3 3" xfId="15729" xr:uid="{00000000-0005-0000-0000-000095810000}"/>
    <cellStyle name="Normal 91 4 2 3 3 2" xfId="32285" xr:uid="{00000000-0005-0000-0000-000096810000}"/>
    <cellStyle name="Normal 91 4 2 3 4" xfId="24242" xr:uid="{00000000-0005-0000-0000-000097810000}"/>
    <cellStyle name="Normal 91 4 2 4" xfId="10115" xr:uid="{00000000-0005-0000-0000-000098810000}"/>
    <cellStyle name="Normal 91 4 2 4 2" xfId="19471" xr:uid="{00000000-0005-0000-0000-000099810000}"/>
    <cellStyle name="Normal 91 4 2 4 2 2" xfId="36045" xr:uid="{00000000-0005-0000-0000-00009A810000}"/>
    <cellStyle name="Normal 91 4 2 4 3" xfId="27998" xr:uid="{00000000-0005-0000-0000-00009B810000}"/>
    <cellStyle name="Normal 91 4 2 5" xfId="15726" xr:uid="{00000000-0005-0000-0000-00009C810000}"/>
    <cellStyle name="Normal 91 4 2 5 2" xfId="32282" xr:uid="{00000000-0005-0000-0000-00009D810000}"/>
    <cellStyle name="Normal 91 4 2 6" xfId="24239" xr:uid="{00000000-0005-0000-0000-00009E810000}"/>
    <cellStyle name="Normal 91 4 3" xfId="6282" xr:uid="{00000000-0005-0000-0000-00009F810000}"/>
    <cellStyle name="Normal 91 4 3 2" xfId="6283" xr:uid="{00000000-0005-0000-0000-0000A0810000}"/>
    <cellStyle name="Normal 91 4 3 2 2" xfId="10116" xr:uid="{00000000-0005-0000-0000-0000A1810000}"/>
    <cellStyle name="Normal 91 4 3 2 2 2" xfId="19472" xr:uid="{00000000-0005-0000-0000-0000A2810000}"/>
    <cellStyle name="Normal 91 4 3 2 2 2 2" xfId="36046" xr:uid="{00000000-0005-0000-0000-0000A3810000}"/>
    <cellStyle name="Normal 91 4 3 2 2 3" xfId="27999" xr:uid="{00000000-0005-0000-0000-0000A4810000}"/>
    <cellStyle name="Normal 91 4 3 2 3" xfId="15731" xr:uid="{00000000-0005-0000-0000-0000A5810000}"/>
    <cellStyle name="Normal 91 4 3 2 3 2" xfId="32287" xr:uid="{00000000-0005-0000-0000-0000A6810000}"/>
    <cellStyle name="Normal 91 4 3 2 4" xfId="24244" xr:uid="{00000000-0005-0000-0000-0000A7810000}"/>
    <cellStyle name="Normal 91 4 3 3" xfId="10117" xr:uid="{00000000-0005-0000-0000-0000A8810000}"/>
    <cellStyle name="Normal 91 4 3 3 2" xfId="19473" xr:uid="{00000000-0005-0000-0000-0000A9810000}"/>
    <cellStyle name="Normal 91 4 3 3 2 2" xfId="36047" xr:uid="{00000000-0005-0000-0000-0000AA810000}"/>
    <cellStyle name="Normal 91 4 3 3 3" xfId="28000" xr:uid="{00000000-0005-0000-0000-0000AB810000}"/>
    <cellStyle name="Normal 91 4 3 4" xfId="15730" xr:uid="{00000000-0005-0000-0000-0000AC810000}"/>
    <cellStyle name="Normal 91 4 3 4 2" xfId="32286" xr:uid="{00000000-0005-0000-0000-0000AD810000}"/>
    <cellStyle name="Normal 91 4 3 5" xfId="24243" xr:uid="{00000000-0005-0000-0000-0000AE810000}"/>
    <cellStyle name="Normal 91 4 4" xfId="6284" xr:uid="{00000000-0005-0000-0000-0000AF810000}"/>
    <cellStyle name="Normal 91 4 4 2" xfId="10118" xr:uid="{00000000-0005-0000-0000-0000B0810000}"/>
    <cellStyle name="Normal 91 4 4 2 2" xfId="19474" xr:uid="{00000000-0005-0000-0000-0000B1810000}"/>
    <cellStyle name="Normal 91 4 4 2 2 2" xfId="36048" xr:uid="{00000000-0005-0000-0000-0000B2810000}"/>
    <cellStyle name="Normal 91 4 4 2 3" xfId="28001" xr:uid="{00000000-0005-0000-0000-0000B3810000}"/>
    <cellStyle name="Normal 91 4 4 3" xfId="15732" xr:uid="{00000000-0005-0000-0000-0000B4810000}"/>
    <cellStyle name="Normal 91 4 4 3 2" xfId="32288" xr:uid="{00000000-0005-0000-0000-0000B5810000}"/>
    <cellStyle name="Normal 91 4 4 4" xfId="24245" xr:uid="{00000000-0005-0000-0000-0000B6810000}"/>
    <cellStyle name="Normal 91 4 5" xfId="10119" xr:uid="{00000000-0005-0000-0000-0000B7810000}"/>
    <cellStyle name="Normal 91 4 5 2" xfId="19475" xr:uid="{00000000-0005-0000-0000-0000B8810000}"/>
    <cellStyle name="Normal 91 4 5 2 2" xfId="36049" xr:uid="{00000000-0005-0000-0000-0000B9810000}"/>
    <cellStyle name="Normal 91 4 5 3" xfId="28002" xr:uid="{00000000-0005-0000-0000-0000BA810000}"/>
    <cellStyle name="Normal 91 4 6" xfId="15725" xr:uid="{00000000-0005-0000-0000-0000BB810000}"/>
    <cellStyle name="Normal 91 4 6 2" xfId="32281" xr:uid="{00000000-0005-0000-0000-0000BC810000}"/>
    <cellStyle name="Normal 91 4 7" xfId="24238" xr:uid="{00000000-0005-0000-0000-0000BD810000}"/>
    <cellStyle name="Normal 91 5" xfId="6285" xr:uid="{00000000-0005-0000-0000-0000BE810000}"/>
    <cellStyle name="Normal 91 5 2" xfId="6286" xr:uid="{00000000-0005-0000-0000-0000BF810000}"/>
    <cellStyle name="Normal 91 5 2 2" xfId="6287" xr:uid="{00000000-0005-0000-0000-0000C0810000}"/>
    <cellStyle name="Normal 91 5 2 2 2" xfId="6288" xr:uid="{00000000-0005-0000-0000-0000C1810000}"/>
    <cellStyle name="Normal 91 5 2 2 2 2" xfId="10120" xr:uid="{00000000-0005-0000-0000-0000C2810000}"/>
    <cellStyle name="Normal 91 5 2 2 2 2 2" xfId="19476" xr:uid="{00000000-0005-0000-0000-0000C3810000}"/>
    <cellStyle name="Normal 91 5 2 2 2 2 2 2" xfId="36050" xr:uid="{00000000-0005-0000-0000-0000C4810000}"/>
    <cellStyle name="Normal 91 5 2 2 2 2 3" xfId="28003" xr:uid="{00000000-0005-0000-0000-0000C5810000}"/>
    <cellStyle name="Normal 91 5 2 2 2 3" xfId="15736" xr:uid="{00000000-0005-0000-0000-0000C6810000}"/>
    <cellStyle name="Normal 91 5 2 2 2 3 2" xfId="32292" xr:uid="{00000000-0005-0000-0000-0000C7810000}"/>
    <cellStyle name="Normal 91 5 2 2 2 4" xfId="24249" xr:uid="{00000000-0005-0000-0000-0000C8810000}"/>
    <cellStyle name="Normal 91 5 2 2 3" xfId="10121" xr:uid="{00000000-0005-0000-0000-0000C9810000}"/>
    <cellStyle name="Normal 91 5 2 2 3 2" xfId="19477" xr:uid="{00000000-0005-0000-0000-0000CA810000}"/>
    <cellStyle name="Normal 91 5 2 2 3 2 2" xfId="36051" xr:uid="{00000000-0005-0000-0000-0000CB810000}"/>
    <cellStyle name="Normal 91 5 2 2 3 3" xfId="28004" xr:uid="{00000000-0005-0000-0000-0000CC810000}"/>
    <cellStyle name="Normal 91 5 2 2 4" xfId="15735" xr:uid="{00000000-0005-0000-0000-0000CD810000}"/>
    <cellStyle name="Normal 91 5 2 2 4 2" xfId="32291" xr:uid="{00000000-0005-0000-0000-0000CE810000}"/>
    <cellStyle name="Normal 91 5 2 2 5" xfId="24248" xr:uid="{00000000-0005-0000-0000-0000CF810000}"/>
    <cellStyle name="Normal 91 5 2 3" xfId="6289" xr:uid="{00000000-0005-0000-0000-0000D0810000}"/>
    <cellStyle name="Normal 91 5 2 3 2" xfId="10122" xr:uid="{00000000-0005-0000-0000-0000D1810000}"/>
    <cellStyle name="Normal 91 5 2 3 2 2" xfId="19478" xr:uid="{00000000-0005-0000-0000-0000D2810000}"/>
    <cellStyle name="Normal 91 5 2 3 2 2 2" xfId="36052" xr:uid="{00000000-0005-0000-0000-0000D3810000}"/>
    <cellStyle name="Normal 91 5 2 3 2 3" xfId="28005" xr:uid="{00000000-0005-0000-0000-0000D4810000}"/>
    <cellStyle name="Normal 91 5 2 3 3" xfId="15737" xr:uid="{00000000-0005-0000-0000-0000D5810000}"/>
    <cellStyle name="Normal 91 5 2 3 3 2" xfId="32293" xr:uid="{00000000-0005-0000-0000-0000D6810000}"/>
    <cellStyle name="Normal 91 5 2 3 4" xfId="24250" xr:uid="{00000000-0005-0000-0000-0000D7810000}"/>
    <cellStyle name="Normal 91 5 2 4" xfId="10123" xr:uid="{00000000-0005-0000-0000-0000D8810000}"/>
    <cellStyle name="Normal 91 5 2 4 2" xfId="19479" xr:uid="{00000000-0005-0000-0000-0000D9810000}"/>
    <cellStyle name="Normal 91 5 2 4 2 2" xfId="36053" xr:uid="{00000000-0005-0000-0000-0000DA810000}"/>
    <cellStyle name="Normal 91 5 2 4 3" xfId="28006" xr:uid="{00000000-0005-0000-0000-0000DB810000}"/>
    <cellStyle name="Normal 91 5 2 5" xfId="15734" xr:uid="{00000000-0005-0000-0000-0000DC810000}"/>
    <cellStyle name="Normal 91 5 2 5 2" xfId="32290" xr:uid="{00000000-0005-0000-0000-0000DD810000}"/>
    <cellStyle name="Normal 91 5 2 6" xfId="24247" xr:uid="{00000000-0005-0000-0000-0000DE810000}"/>
    <cellStyle name="Normal 91 5 3" xfId="6290" xr:uid="{00000000-0005-0000-0000-0000DF810000}"/>
    <cellStyle name="Normal 91 5 3 2" xfId="6291" xr:uid="{00000000-0005-0000-0000-0000E0810000}"/>
    <cellStyle name="Normal 91 5 3 2 2" xfId="10124" xr:uid="{00000000-0005-0000-0000-0000E1810000}"/>
    <cellStyle name="Normal 91 5 3 2 2 2" xfId="19480" xr:uid="{00000000-0005-0000-0000-0000E2810000}"/>
    <cellStyle name="Normal 91 5 3 2 2 2 2" xfId="36054" xr:uid="{00000000-0005-0000-0000-0000E3810000}"/>
    <cellStyle name="Normal 91 5 3 2 2 3" xfId="28007" xr:uid="{00000000-0005-0000-0000-0000E4810000}"/>
    <cellStyle name="Normal 91 5 3 2 3" xfId="15739" xr:uid="{00000000-0005-0000-0000-0000E5810000}"/>
    <cellStyle name="Normal 91 5 3 2 3 2" xfId="32295" xr:uid="{00000000-0005-0000-0000-0000E6810000}"/>
    <cellStyle name="Normal 91 5 3 2 4" xfId="24252" xr:uid="{00000000-0005-0000-0000-0000E7810000}"/>
    <cellStyle name="Normal 91 5 3 3" xfId="10125" xr:uid="{00000000-0005-0000-0000-0000E8810000}"/>
    <cellStyle name="Normal 91 5 3 3 2" xfId="19481" xr:uid="{00000000-0005-0000-0000-0000E9810000}"/>
    <cellStyle name="Normal 91 5 3 3 2 2" xfId="36055" xr:uid="{00000000-0005-0000-0000-0000EA810000}"/>
    <cellStyle name="Normal 91 5 3 3 3" xfId="28008" xr:uid="{00000000-0005-0000-0000-0000EB810000}"/>
    <cellStyle name="Normal 91 5 3 4" xfId="15738" xr:uid="{00000000-0005-0000-0000-0000EC810000}"/>
    <cellStyle name="Normal 91 5 3 4 2" xfId="32294" xr:uid="{00000000-0005-0000-0000-0000ED810000}"/>
    <cellStyle name="Normal 91 5 3 5" xfId="24251" xr:uid="{00000000-0005-0000-0000-0000EE810000}"/>
    <cellStyle name="Normal 91 5 4" xfId="6292" xr:uid="{00000000-0005-0000-0000-0000EF810000}"/>
    <cellStyle name="Normal 91 5 4 2" xfId="10126" xr:uid="{00000000-0005-0000-0000-0000F0810000}"/>
    <cellStyle name="Normal 91 5 4 2 2" xfId="19482" xr:uid="{00000000-0005-0000-0000-0000F1810000}"/>
    <cellStyle name="Normal 91 5 4 2 2 2" xfId="36056" xr:uid="{00000000-0005-0000-0000-0000F2810000}"/>
    <cellStyle name="Normal 91 5 4 2 3" xfId="28009" xr:uid="{00000000-0005-0000-0000-0000F3810000}"/>
    <cellStyle name="Normal 91 5 4 3" xfId="15740" xr:uid="{00000000-0005-0000-0000-0000F4810000}"/>
    <cellStyle name="Normal 91 5 4 3 2" xfId="32296" xr:uid="{00000000-0005-0000-0000-0000F5810000}"/>
    <cellStyle name="Normal 91 5 4 4" xfId="24253" xr:uid="{00000000-0005-0000-0000-0000F6810000}"/>
    <cellStyle name="Normal 91 5 5" xfId="10127" xr:uid="{00000000-0005-0000-0000-0000F7810000}"/>
    <cellStyle name="Normal 91 5 5 2" xfId="19483" xr:uid="{00000000-0005-0000-0000-0000F8810000}"/>
    <cellStyle name="Normal 91 5 5 2 2" xfId="36057" xr:uid="{00000000-0005-0000-0000-0000F9810000}"/>
    <cellStyle name="Normal 91 5 5 3" xfId="28010" xr:uid="{00000000-0005-0000-0000-0000FA810000}"/>
    <cellStyle name="Normal 91 5 6" xfId="15733" xr:uid="{00000000-0005-0000-0000-0000FB810000}"/>
    <cellStyle name="Normal 91 5 6 2" xfId="32289" xr:uid="{00000000-0005-0000-0000-0000FC810000}"/>
    <cellStyle name="Normal 91 5 7" xfId="24246" xr:uid="{00000000-0005-0000-0000-0000FD810000}"/>
    <cellStyle name="Normal 91 6" xfId="6293" xr:uid="{00000000-0005-0000-0000-0000FE810000}"/>
    <cellStyle name="Normal 91 6 2" xfId="6294" xr:uid="{00000000-0005-0000-0000-0000FF810000}"/>
    <cellStyle name="Normal 91 6 2 2" xfId="6295" xr:uid="{00000000-0005-0000-0000-000000820000}"/>
    <cellStyle name="Normal 91 6 2 2 2" xfId="10128" xr:uid="{00000000-0005-0000-0000-000001820000}"/>
    <cellStyle name="Normal 91 6 2 2 2 2" xfId="19484" xr:uid="{00000000-0005-0000-0000-000002820000}"/>
    <cellStyle name="Normal 91 6 2 2 2 2 2" xfId="36058" xr:uid="{00000000-0005-0000-0000-000003820000}"/>
    <cellStyle name="Normal 91 6 2 2 2 3" xfId="28011" xr:uid="{00000000-0005-0000-0000-000004820000}"/>
    <cellStyle name="Normal 91 6 2 2 3" xfId="15743" xr:uid="{00000000-0005-0000-0000-000005820000}"/>
    <cellStyle name="Normal 91 6 2 2 3 2" xfId="32299" xr:uid="{00000000-0005-0000-0000-000006820000}"/>
    <cellStyle name="Normal 91 6 2 2 4" xfId="24256" xr:uid="{00000000-0005-0000-0000-000007820000}"/>
    <cellStyle name="Normal 91 6 2 3" xfId="10129" xr:uid="{00000000-0005-0000-0000-000008820000}"/>
    <cellStyle name="Normal 91 6 2 3 2" xfId="19485" xr:uid="{00000000-0005-0000-0000-000009820000}"/>
    <cellStyle name="Normal 91 6 2 3 2 2" xfId="36059" xr:uid="{00000000-0005-0000-0000-00000A820000}"/>
    <cellStyle name="Normal 91 6 2 3 3" xfId="28012" xr:uid="{00000000-0005-0000-0000-00000B820000}"/>
    <cellStyle name="Normal 91 6 2 4" xfId="15742" xr:uid="{00000000-0005-0000-0000-00000C820000}"/>
    <cellStyle name="Normal 91 6 2 4 2" xfId="32298" xr:uid="{00000000-0005-0000-0000-00000D820000}"/>
    <cellStyle name="Normal 91 6 2 5" xfId="24255" xr:uid="{00000000-0005-0000-0000-00000E820000}"/>
    <cellStyle name="Normal 91 6 3" xfId="6296" xr:uid="{00000000-0005-0000-0000-00000F820000}"/>
    <cellStyle name="Normal 91 6 3 2" xfId="10130" xr:uid="{00000000-0005-0000-0000-000010820000}"/>
    <cellStyle name="Normal 91 6 3 2 2" xfId="19486" xr:uid="{00000000-0005-0000-0000-000011820000}"/>
    <cellStyle name="Normal 91 6 3 2 2 2" xfId="36060" xr:uid="{00000000-0005-0000-0000-000012820000}"/>
    <cellStyle name="Normal 91 6 3 2 3" xfId="28013" xr:uid="{00000000-0005-0000-0000-000013820000}"/>
    <cellStyle name="Normal 91 6 3 3" xfId="15744" xr:uid="{00000000-0005-0000-0000-000014820000}"/>
    <cellStyle name="Normal 91 6 3 3 2" xfId="32300" xr:uid="{00000000-0005-0000-0000-000015820000}"/>
    <cellStyle name="Normal 91 6 3 4" xfId="24257" xr:uid="{00000000-0005-0000-0000-000016820000}"/>
    <cellStyle name="Normal 91 6 4" xfId="10131" xr:uid="{00000000-0005-0000-0000-000017820000}"/>
    <cellStyle name="Normal 91 6 4 2" xfId="19487" xr:uid="{00000000-0005-0000-0000-000018820000}"/>
    <cellStyle name="Normal 91 6 4 2 2" xfId="36061" xr:uid="{00000000-0005-0000-0000-000019820000}"/>
    <cellStyle name="Normal 91 6 4 3" xfId="28014" xr:uid="{00000000-0005-0000-0000-00001A820000}"/>
    <cellStyle name="Normal 91 6 5" xfId="15741" xr:uid="{00000000-0005-0000-0000-00001B820000}"/>
    <cellStyle name="Normal 91 6 5 2" xfId="32297" xr:uid="{00000000-0005-0000-0000-00001C820000}"/>
    <cellStyle name="Normal 91 6 6" xfId="24254" xr:uid="{00000000-0005-0000-0000-00001D820000}"/>
    <cellStyle name="Normal 91 7" xfId="6297" xr:uid="{00000000-0005-0000-0000-00001E820000}"/>
    <cellStyle name="Normal 91 7 2" xfId="6298" xr:uid="{00000000-0005-0000-0000-00001F820000}"/>
    <cellStyle name="Normal 91 7 2 2" xfId="10132" xr:uid="{00000000-0005-0000-0000-000020820000}"/>
    <cellStyle name="Normal 91 7 2 2 2" xfId="19488" xr:uid="{00000000-0005-0000-0000-000021820000}"/>
    <cellStyle name="Normal 91 7 2 2 2 2" xfId="36062" xr:uid="{00000000-0005-0000-0000-000022820000}"/>
    <cellStyle name="Normal 91 7 2 2 3" xfId="28015" xr:uid="{00000000-0005-0000-0000-000023820000}"/>
    <cellStyle name="Normal 91 7 2 3" xfId="15746" xr:uid="{00000000-0005-0000-0000-000024820000}"/>
    <cellStyle name="Normal 91 7 2 3 2" xfId="32302" xr:uid="{00000000-0005-0000-0000-000025820000}"/>
    <cellStyle name="Normal 91 7 2 4" xfId="24259" xr:uid="{00000000-0005-0000-0000-000026820000}"/>
    <cellStyle name="Normal 91 7 3" xfId="10133" xr:uid="{00000000-0005-0000-0000-000027820000}"/>
    <cellStyle name="Normal 91 7 3 2" xfId="19489" xr:uid="{00000000-0005-0000-0000-000028820000}"/>
    <cellStyle name="Normal 91 7 3 2 2" xfId="36063" xr:uid="{00000000-0005-0000-0000-000029820000}"/>
    <cellStyle name="Normal 91 7 3 3" xfId="28016" xr:uid="{00000000-0005-0000-0000-00002A820000}"/>
    <cellStyle name="Normal 91 7 4" xfId="15745" xr:uid="{00000000-0005-0000-0000-00002B820000}"/>
    <cellStyle name="Normal 91 7 4 2" xfId="32301" xr:uid="{00000000-0005-0000-0000-00002C820000}"/>
    <cellStyle name="Normal 91 7 5" xfId="24258" xr:uid="{00000000-0005-0000-0000-00002D820000}"/>
    <cellStyle name="Normal 91 8" xfId="6299" xr:uid="{00000000-0005-0000-0000-00002E820000}"/>
    <cellStyle name="Normal 91 8 2" xfId="10134" xr:uid="{00000000-0005-0000-0000-00002F820000}"/>
    <cellStyle name="Normal 91 8 2 2" xfId="19490" xr:uid="{00000000-0005-0000-0000-000030820000}"/>
    <cellStyle name="Normal 91 8 2 2 2" xfId="36064" xr:uid="{00000000-0005-0000-0000-000031820000}"/>
    <cellStyle name="Normal 91 8 2 3" xfId="28017" xr:uid="{00000000-0005-0000-0000-000032820000}"/>
    <cellStyle name="Normal 91 8 3" xfId="15747" xr:uid="{00000000-0005-0000-0000-000033820000}"/>
    <cellStyle name="Normal 91 8 3 2" xfId="32303" xr:uid="{00000000-0005-0000-0000-000034820000}"/>
    <cellStyle name="Normal 91 8 4" xfId="24260" xr:uid="{00000000-0005-0000-0000-000035820000}"/>
    <cellStyle name="Normal 91 9" xfId="10135" xr:uid="{00000000-0005-0000-0000-000036820000}"/>
    <cellStyle name="Normal 91 9 2" xfId="19491" xr:uid="{00000000-0005-0000-0000-000037820000}"/>
    <cellStyle name="Normal 91 9 2 2" xfId="36065" xr:uid="{00000000-0005-0000-0000-000038820000}"/>
    <cellStyle name="Normal 91 9 3" xfId="28018" xr:uid="{00000000-0005-0000-0000-000039820000}"/>
    <cellStyle name="Normal 92" xfId="6300" xr:uid="{00000000-0005-0000-0000-00003A820000}"/>
    <cellStyle name="Normal 92 10" xfId="15748" xr:uid="{00000000-0005-0000-0000-00003B820000}"/>
    <cellStyle name="Normal 92 10 2" xfId="32304" xr:uid="{00000000-0005-0000-0000-00003C820000}"/>
    <cellStyle name="Normal 92 11" xfId="24261" xr:uid="{00000000-0005-0000-0000-00003D820000}"/>
    <cellStyle name="Normal 92 2" xfId="6301" xr:uid="{00000000-0005-0000-0000-00003E820000}"/>
    <cellStyle name="Normal 92 2 2" xfId="6302" xr:uid="{00000000-0005-0000-0000-00003F820000}"/>
    <cellStyle name="Normal 92 2 3" xfId="15749" xr:uid="{00000000-0005-0000-0000-000040820000}"/>
    <cellStyle name="Normal 92 2 3 2" xfId="32305" xr:uid="{00000000-0005-0000-0000-000041820000}"/>
    <cellStyle name="Normal 92 2 4" xfId="24262" xr:uid="{00000000-0005-0000-0000-000042820000}"/>
    <cellStyle name="Normal 92 3" xfId="6303" xr:uid="{00000000-0005-0000-0000-000043820000}"/>
    <cellStyle name="Normal 92 3 2" xfId="6304" xr:uid="{00000000-0005-0000-0000-000044820000}"/>
    <cellStyle name="Normal 92 3 2 2" xfId="6305" xr:uid="{00000000-0005-0000-0000-000045820000}"/>
    <cellStyle name="Normal 92 3 2 2 2" xfId="6306" xr:uid="{00000000-0005-0000-0000-000046820000}"/>
    <cellStyle name="Normal 92 3 2 2 2 2" xfId="10136" xr:uid="{00000000-0005-0000-0000-000047820000}"/>
    <cellStyle name="Normal 92 3 2 2 2 2 2" xfId="19492" xr:uid="{00000000-0005-0000-0000-000048820000}"/>
    <cellStyle name="Normal 92 3 2 2 2 2 2 2" xfId="36066" xr:uid="{00000000-0005-0000-0000-000049820000}"/>
    <cellStyle name="Normal 92 3 2 2 2 2 3" xfId="28019" xr:uid="{00000000-0005-0000-0000-00004A820000}"/>
    <cellStyle name="Normal 92 3 2 2 2 3" xfId="15752" xr:uid="{00000000-0005-0000-0000-00004B820000}"/>
    <cellStyle name="Normal 92 3 2 2 2 3 2" xfId="32308" xr:uid="{00000000-0005-0000-0000-00004C820000}"/>
    <cellStyle name="Normal 92 3 2 2 2 4" xfId="24265" xr:uid="{00000000-0005-0000-0000-00004D820000}"/>
    <cellStyle name="Normal 92 3 2 2 3" xfId="10137" xr:uid="{00000000-0005-0000-0000-00004E820000}"/>
    <cellStyle name="Normal 92 3 2 2 3 2" xfId="19493" xr:uid="{00000000-0005-0000-0000-00004F820000}"/>
    <cellStyle name="Normal 92 3 2 2 3 2 2" xfId="36067" xr:uid="{00000000-0005-0000-0000-000050820000}"/>
    <cellStyle name="Normal 92 3 2 2 3 3" xfId="28020" xr:uid="{00000000-0005-0000-0000-000051820000}"/>
    <cellStyle name="Normal 92 3 2 2 4" xfId="15751" xr:uid="{00000000-0005-0000-0000-000052820000}"/>
    <cellStyle name="Normal 92 3 2 2 4 2" xfId="32307" xr:uid="{00000000-0005-0000-0000-000053820000}"/>
    <cellStyle name="Normal 92 3 2 2 5" xfId="24264" xr:uid="{00000000-0005-0000-0000-000054820000}"/>
    <cellStyle name="Normal 92 3 2 3" xfId="6307" xr:uid="{00000000-0005-0000-0000-000055820000}"/>
    <cellStyle name="Normal 92 3 2 3 2" xfId="10138" xr:uid="{00000000-0005-0000-0000-000056820000}"/>
    <cellStyle name="Normal 92 3 2 3 2 2" xfId="19494" xr:uid="{00000000-0005-0000-0000-000057820000}"/>
    <cellStyle name="Normal 92 3 2 3 2 2 2" xfId="36068" xr:uid="{00000000-0005-0000-0000-000058820000}"/>
    <cellStyle name="Normal 92 3 2 3 2 3" xfId="28021" xr:uid="{00000000-0005-0000-0000-000059820000}"/>
    <cellStyle name="Normal 92 3 2 3 3" xfId="15753" xr:uid="{00000000-0005-0000-0000-00005A820000}"/>
    <cellStyle name="Normal 92 3 2 3 3 2" xfId="32309" xr:uid="{00000000-0005-0000-0000-00005B820000}"/>
    <cellStyle name="Normal 92 3 2 3 4" xfId="24266" xr:uid="{00000000-0005-0000-0000-00005C820000}"/>
    <cellStyle name="Normal 92 3 2 4" xfId="10139" xr:uid="{00000000-0005-0000-0000-00005D820000}"/>
    <cellStyle name="Normal 92 3 2 4 2" xfId="19495" xr:uid="{00000000-0005-0000-0000-00005E820000}"/>
    <cellStyle name="Normal 92 3 2 4 2 2" xfId="36069" xr:uid="{00000000-0005-0000-0000-00005F820000}"/>
    <cellStyle name="Normal 92 3 2 4 3" xfId="28022" xr:uid="{00000000-0005-0000-0000-000060820000}"/>
    <cellStyle name="Normal 92 3 2 5" xfId="15750" xr:uid="{00000000-0005-0000-0000-000061820000}"/>
    <cellStyle name="Normal 92 3 2 5 2" xfId="32306" xr:uid="{00000000-0005-0000-0000-000062820000}"/>
    <cellStyle name="Normal 92 3 2 6" xfId="24263" xr:uid="{00000000-0005-0000-0000-000063820000}"/>
    <cellStyle name="Normal 92 3 3" xfId="6308" xr:uid="{00000000-0005-0000-0000-000064820000}"/>
    <cellStyle name="Normal 92 3 3 2" xfId="6309" xr:uid="{00000000-0005-0000-0000-000065820000}"/>
    <cellStyle name="Normal 92 3 3 2 2" xfId="10140" xr:uid="{00000000-0005-0000-0000-000066820000}"/>
    <cellStyle name="Normal 92 3 3 2 2 2" xfId="19496" xr:uid="{00000000-0005-0000-0000-000067820000}"/>
    <cellStyle name="Normal 92 3 3 2 2 2 2" xfId="36070" xr:uid="{00000000-0005-0000-0000-000068820000}"/>
    <cellStyle name="Normal 92 3 3 2 2 3" xfId="28023" xr:uid="{00000000-0005-0000-0000-000069820000}"/>
    <cellStyle name="Normal 92 3 3 2 3" xfId="15755" xr:uid="{00000000-0005-0000-0000-00006A820000}"/>
    <cellStyle name="Normal 92 3 3 2 3 2" xfId="32311" xr:uid="{00000000-0005-0000-0000-00006B820000}"/>
    <cellStyle name="Normal 92 3 3 2 4" xfId="24268" xr:uid="{00000000-0005-0000-0000-00006C820000}"/>
    <cellStyle name="Normal 92 3 3 3" xfId="10141" xr:uid="{00000000-0005-0000-0000-00006D820000}"/>
    <cellStyle name="Normal 92 3 3 3 2" xfId="19497" xr:uid="{00000000-0005-0000-0000-00006E820000}"/>
    <cellStyle name="Normal 92 3 3 3 2 2" xfId="36071" xr:uid="{00000000-0005-0000-0000-00006F820000}"/>
    <cellStyle name="Normal 92 3 3 3 3" xfId="28024" xr:uid="{00000000-0005-0000-0000-000070820000}"/>
    <cellStyle name="Normal 92 3 3 4" xfId="15754" xr:uid="{00000000-0005-0000-0000-000071820000}"/>
    <cellStyle name="Normal 92 3 3 4 2" xfId="32310" xr:uid="{00000000-0005-0000-0000-000072820000}"/>
    <cellStyle name="Normal 92 3 3 5" xfId="24267" xr:uid="{00000000-0005-0000-0000-000073820000}"/>
    <cellStyle name="Normal 92 3 4" xfId="6310" xr:uid="{00000000-0005-0000-0000-000074820000}"/>
    <cellStyle name="Normal 92 3 4 2" xfId="10142" xr:uid="{00000000-0005-0000-0000-000075820000}"/>
    <cellStyle name="Normal 92 3 4 2 2" xfId="19498" xr:uid="{00000000-0005-0000-0000-000076820000}"/>
    <cellStyle name="Normal 92 3 4 2 2 2" xfId="36072" xr:uid="{00000000-0005-0000-0000-000077820000}"/>
    <cellStyle name="Normal 92 3 4 2 3" xfId="28025" xr:uid="{00000000-0005-0000-0000-000078820000}"/>
    <cellStyle name="Normal 92 3 4 3" xfId="15756" xr:uid="{00000000-0005-0000-0000-000079820000}"/>
    <cellStyle name="Normal 92 3 4 3 2" xfId="32312" xr:uid="{00000000-0005-0000-0000-00007A820000}"/>
    <cellStyle name="Normal 92 3 4 4" xfId="24269" xr:uid="{00000000-0005-0000-0000-00007B820000}"/>
    <cellStyle name="Normal 92 3 5" xfId="6311" xr:uid="{00000000-0005-0000-0000-00007C820000}"/>
    <cellStyle name="Normal 92 3 5 2" xfId="15757" xr:uid="{00000000-0005-0000-0000-00007D820000}"/>
    <cellStyle name="Normal 92 3 5 2 2" xfId="32313" xr:uid="{00000000-0005-0000-0000-00007E820000}"/>
    <cellStyle name="Normal 92 3 5 3" xfId="24270" xr:uid="{00000000-0005-0000-0000-00007F820000}"/>
    <cellStyle name="Normal 92 4" xfId="6312" xr:uid="{00000000-0005-0000-0000-000080820000}"/>
    <cellStyle name="Normal 92 4 2" xfId="6313" xr:uid="{00000000-0005-0000-0000-000081820000}"/>
    <cellStyle name="Normal 92 4 2 2" xfId="6314" xr:uid="{00000000-0005-0000-0000-000082820000}"/>
    <cellStyle name="Normal 92 4 2 2 2" xfId="6315" xr:uid="{00000000-0005-0000-0000-000083820000}"/>
    <cellStyle name="Normal 92 4 2 2 2 2" xfId="10143" xr:uid="{00000000-0005-0000-0000-000084820000}"/>
    <cellStyle name="Normal 92 4 2 2 2 2 2" xfId="19499" xr:uid="{00000000-0005-0000-0000-000085820000}"/>
    <cellStyle name="Normal 92 4 2 2 2 2 2 2" xfId="36073" xr:uid="{00000000-0005-0000-0000-000086820000}"/>
    <cellStyle name="Normal 92 4 2 2 2 2 3" xfId="28026" xr:uid="{00000000-0005-0000-0000-000087820000}"/>
    <cellStyle name="Normal 92 4 2 2 2 3" xfId="15761" xr:uid="{00000000-0005-0000-0000-000088820000}"/>
    <cellStyle name="Normal 92 4 2 2 2 3 2" xfId="32317" xr:uid="{00000000-0005-0000-0000-000089820000}"/>
    <cellStyle name="Normal 92 4 2 2 2 4" xfId="24274" xr:uid="{00000000-0005-0000-0000-00008A820000}"/>
    <cellStyle name="Normal 92 4 2 2 3" xfId="10144" xr:uid="{00000000-0005-0000-0000-00008B820000}"/>
    <cellStyle name="Normal 92 4 2 2 3 2" xfId="19500" xr:uid="{00000000-0005-0000-0000-00008C820000}"/>
    <cellStyle name="Normal 92 4 2 2 3 2 2" xfId="36074" xr:uid="{00000000-0005-0000-0000-00008D820000}"/>
    <cellStyle name="Normal 92 4 2 2 3 3" xfId="28027" xr:uid="{00000000-0005-0000-0000-00008E820000}"/>
    <cellStyle name="Normal 92 4 2 2 4" xfId="15760" xr:uid="{00000000-0005-0000-0000-00008F820000}"/>
    <cellStyle name="Normal 92 4 2 2 4 2" xfId="32316" xr:uid="{00000000-0005-0000-0000-000090820000}"/>
    <cellStyle name="Normal 92 4 2 2 5" xfId="24273" xr:uid="{00000000-0005-0000-0000-000091820000}"/>
    <cellStyle name="Normal 92 4 2 3" xfId="6316" xr:uid="{00000000-0005-0000-0000-000092820000}"/>
    <cellStyle name="Normal 92 4 2 3 2" xfId="10145" xr:uid="{00000000-0005-0000-0000-000093820000}"/>
    <cellStyle name="Normal 92 4 2 3 2 2" xfId="19501" xr:uid="{00000000-0005-0000-0000-000094820000}"/>
    <cellStyle name="Normal 92 4 2 3 2 2 2" xfId="36075" xr:uid="{00000000-0005-0000-0000-000095820000}"/>
    <cellStyle name="Normal 92 4 2 3 2 3" xfId="28028" xr:uid="{00000000-0005-0000-0000-000096820000}"/>
    <cellStyle name="Normal 92 4 2 3 3" xfId="15762" xr:uid="{00000000-0005-0000-0000-000097820000}"/>
    <cellStyle name="Normal 92 4 2 3 3 2" xfId="32318" xr:uid="{00000000-0005-0000-0000-000098820000}"/>
    <cellStyle name="Normal 92 4 2 3 4" xfId="24275" xr:uid="{00000000-0005-0000-0000-000099820000}"/>
    <cellStyle name="Normal 92 4 2 4" xfId="10146" xr:uid="{00000000-0005-0000-0000-00009A820000}"/>
    <cellStyle name="Normal 92 4 2 4 2" xfId="19502" xr:uid="{00000000-0005-0000-0000-00009B820000}"/>
    <cellStyle name="Normal 92 4 2 4 2 2" xfId="36076" xr:uid="{00000000-0005-0000-0000-00009C820000}"/>
    <cellStyle name="Normal 92 4 2 4 3" xfId="28029" xr:uid="{00000000-0005-0000-0000-00009D820000}"/>
    <cellStyle name="Normal 92 4 2 5" xfId="15759" xr:uid="{00000000-0005-0000-0000-00009E820000}"/>
    <cellStyle name="Normal 92 4 2 5 2" xfId="32315" xr:uid="{00000000-0005-0000-0000-00009F820000}"/>
    <cellStyle name="Normal 92 4 2 6" xfId="24272" xr:uid="{00000000-0005-0000-0000-0000A0820000}"/>
    <cellStyle name="Normal 92 4 3" xfId="6317" xr:uid="{00000000-0005-0000-0000-0000A1820000}"/>
    <cellStyle name="Normal 92 4 3 2" xfId="6318" xr:uid="{00000000-0005-0000-0000-0000A2820000}"/>
    <cellStyle name="Normal 92 4 3 2 2" xfId="10147" xr:uid="{00000000-0005-0000-0000-0000A3820000}"/>
    <cellStyle name="Normal 92 4 3 2 2 2" xfId="19503" xr:uid="{00000000-0005-0000-0000-0000A4820000}"/>
    <cellStyle name="Normal 92 4 3 2 2 2 2" xfId="36077" xr:uid="{00000000-0005-0000-0000-0000A5820000}"/>
    <cellStyle name="Normal 92 4 3 2 2 3" xfId="28030" xr:uid="{00000000-0005-0000-0000-0000A6820000}"/>
    <cellStyle name="Normal 92 4 3 2 3" xfId="15764" xr:uid="{00000000-0005-0000-0000-0000A7820000}"/>
    <cellStyle name="Normal 92 4 3 2 3 2" xfId="32320" xr:uid="{00000000-0005-0000-0000-0000A8820000}"/>
    <cellStyle name="Normal 92 4 3 2 4" xfId="24277" xr:uid="{00000000-0005-0000-0000-0000A9820000}"/>
    <cellStyle name="Normal 92 4 3 3" xfId="10148" xr:uid="{00000000-0005-0000-0000-0000AA820000}"/>
    <cellStyle name="Normal 92 4 3 3 2" xfId="19504" xr:uid="{00000000-0005-0000-0000-0000AB820000}"/>
    <cellStyle name="Normal 92 4 3 3 2 2" xfId="36078" xr:uid="{00000000-0005-0000-0000-0000AC820000}"/>
    <cellStyle name="Normal 92 4 3 3 3" xfId="28031" xr:uid="{00000000-0005-0000-0000-0000AD820000}"/>
    <cellStyle name="Normal 92 4 3 4" xfId="15763" xr:uid="{00000000-0005-0000-0000-0000AE820000}"/>
    <cellStyle name="Normal 92 4 3 4 2" xfId="32319" xr:uid="{00000000-0005-0000-0000-0000AF820000}"/>
    <cellStyle name="Normal 92 4 3 5" xfId="24276" xr:uid="{00000000-0005-0000-0000-0000B0820000}"/>
    <cellStyle name="Normal 92 4 4" xfId="6319" xr:uid="{00000000-0005-0000-0000-0000B1820000}"/>
    <cellStyle name="Normal 92 4 4 2" xfId="10149" xr:uid="{00000000-0005-0000-0000-0000B2820000}"/>
    <cellStyle name="Normal 92 4 4 2 2" xfId="19505" xr:uid="{00000000-0005-0000-0000-0000B3820000}"/>
    <cellStyle name="Normal 92 4 4 2 2 2" xfId="36079" xr:uid="{00000000-0005-0000-0000-0000B4820000}"/>
    <cellStyle name="Normal 92 4 4 2 3" xfId="28032" xr:uid="{00000000-0005-0000-0000-0000B5820000}"/>
    <cellStyle name="Normal 92 4 4 3" xfId="15765" xr:uid="{00000000-0005-0000-0000-0000B6820000}"/>
    <cellStyle name="Normal 92 4 4 3 2" xfId="32321" xr:uid="{00000000-0005-0000-0000-0000B7820000}"/>
    <cellStyle name="Normal 92 4 4 4" xfId="24278" xr:uid="{00000000-0005-0000-0000-0000B8820000}"/>
    <cellStyle name="Normal 92 4 5" xfId="10150" xr:uid="{00000000-0005-0000-0000-0000B9820000}"/>
    <cellStyle name="Normal 92 4 5 2" xfId="19506" xr:uid="{00000000-0005-0000-0000-0000BA820000}"/>
    <cellStyle name="Normal 92 4 5 2 2" xfId="36080" xr:uid="{00000000-0005-0000-0000-0000BB820000}"/>
    <cellStyle name="Normal 92 4 5 3" xfId="28033" xr:uid="{00000000-0005-0000-0000-0000BC820000}"/>
    <cellStyle name="Normal 92 4 6" xfId="15758" xr:uid="{00000000-0005-0000-0000-0000BD820000}"/>
    <cellStyle name="Normal 92 4 6 2" xfId="32314" xr:uid="{00000000-0005-0000-0000-0000BE820000}"/>
    <cellStyle name="Normal 92 4 7" xfId="24271" xr:uid="{00000000-0005-0000-0000-0000BF820000}"/>
    <cellStyle name="Normal 92 5" xfId="6320" xr:uid="{00000000-0005-0000-0000-0000C0820000}"/>
    <cellStyle name="Normal 92 5 2" xfId="6321" xr:uid="{00000000-0005-0000-0000-0000C1820000}"/>
    <cellStyle name="Normal 92 5 2 2" xfId="6322" xr:uid="{00000000-0005-0000-0000-0000C2820000}"/>
    <cellStyle name="Normal 92 5 2 2 2" xfId="6323" xr:uid="{00000000-0005-0000-0000-0000C3820000}"/>
    <cellStyle name="Normal 92 5 2 2 2 2" xfId="10151" xr:uid="{00000000-0005-0000-0000-0000C4820000}"/>
    <cellStyle name="Normal 92 5 2 2 2 2 2" xfId="19507" xr:uid="{00000000-0005-0000-0000-0000C5820000}"/>
    <cellStyle name="Normal 92 5 2 2 2 2 2 2" xfId="36081" xr:uid="{00000000-0005-0000-0000-0000C6820000}"/>
    <cellStyle name="Normal 92 5 2 2 2 2 3" xfId="28034" xr:uid="{00000000-0005-0000-0000-0000C7820000}"/>
    <cellStyle name="Normal 92 5 2 2 2 3" xfId="15769" xr:uid="{00000000-0005-0000-0000-0000C8820000}"/>
    <cellStyle name="Normal 92 5 2 2 2 3 2" xfId="32325" xr:uid="{00000000-0005-0000-0000-0000C9820000}"/>
    <cellStyle name="Normal 92 5 2 2 2 4" xfId="24282" xr:uid="{00000000-0005-0000-0000-0000CA820000}"/>
    <cellStyle name="Normal 92 5 2 2 3" xfId="10152" xr:uid="{00000000-0005-0000-0000-0000CB820000}"/>
    <cellStyle name="Normal 92 5 2 2 3 2" xfId="19508" xr:uid="{00000000-0005-0000-0000-0000CC820000}"/>
    <cellStyle name="Normal 92 5 2 2 3 2 2" xfId="36082" xr:uid="{00000000-0005-0000-0000-0000CD820000}"/>
    <cellStyle name="Normal 92 5 2 2 3 3" xfId="28035" xr:uid="{00000000-0005-0000-0000-0000CE820000}"/>
    <cellStyle name="Normal 92 5 2 2 4" xfId="15768" xr:uid="{00000000-0005-0000-0000-0000CF820000}"/>
    <cellStyle name="Normal 92 5 2 2 4 2" xfId="32324" xr:uid="{00000000-0005-0000-0000-0000D0820000}"/>
    <cellStyle name="Normal 92 5 2 2 5" xfId="24281" xr:uid="{00000000-0005-0000-0000-0000D1820000}"/>
    <cellStyle name="Normal 92 5 2 3" xfId="6324" xr:uid="{00000000-0005-0000-0000-0000D2820000}"/>
    <cellStyle name="Normal 92 5 2 3 2" xfId="10153" xr:uid="{00000000-0005-0000-0000-0000D3820000}"/>
    <cellStyle name="Normal 92 5 2 3 2 2" xfId="19509" xr:uid="{00000000-0005-0000-0000-0000D4820000}"/>
    <cellStyle name="Normal 92 5 2 3 2 2 2" xfId="36083" xr:uid="{00000000-0005-0000-0000-0000D5820000}"/>
    <cellStyle name="Normal 92 5 2 3 2 3" xfId="28036" xr:uid="{00000000-0005-0000-0000-0000D6820000}"/>
    <cellStyle name="Normal 92 5 2 3 3" xfId="15770" xr:uid="{00000000-0005-0000-0000-0000D7820000}"/>
    <cellStyle name="Normal 92 5 2 3 3 2" xfId="32326" xr:uid="{00000000-0005-0000-0000-0000D8820000}"/>
    <cellStyle name="Normal 92 5 2 3 4" xfId="24283" xr:uid="{00000000-0005-0000-0000-0000D9820000}"/>
    <cellStyle name="Normal 92 5 2 4" xfId="10154" xr:uid="{00000000-0005-0000-0000-0000DA820000}"/>
    <cellStyle name="Normal 92 5 2 4 2" xfId="19510" xr:uid="{00000000-0005-0000-0000-0000DB820000}"/>
    <cellStyle name="Normal 92 5 2 4 2 2" xfId="36084" xr:uid="{00000000-0005-0000-0000-0000DC820000}"/>
    <cellStyle name="Normal 92 5 2 4 3" xfId="28037" xr:uid="{00000000-0005-0000-0000-0000DD820000}"/>
    <cellStyle name="Normal 92 5 2 5" xfId="15767" xr:uid="{00000000-0005-0000-0000-0000DE820000}"/>
    <cellStyle name="Normal 92 5 2 5 2" xfId="32323" xr:uid="{00000000-0005-0000-0000-0000DF820000}"/>
    <cellStyle name="Normal 92 5 2 6" xfId="24280" xr:uid="{00000000-0005-0000-0000-0000E0820000}"/>
    <cellStyle name="Normal 92 5 3" xfId="6325" xr:uid="{00000000-0005-0000-0000-0000E1820000}"/>
    <cellStyle name="Normal 92 5 3 2" xfId="6326" xr:uid="{00000000-0005-0000-0000-0000E2820000}"/>
    <cellStyle name="Normal 92 5 3 2 2" xfId="10155" xr:uid="{00000000-0005-0000-0000-0000E3820000}"/>
    <cellStyle name="Normal 92 5 3 2 2 2" xfId="19511" xr:uid="{00000000-0005-0000-0000-0000E4820000}"/>
    <cellStyle name="Normal 92 5 3 2 2 2 2" xfId="36085" xr:uid="{00000000-0005-0000-0000-0000E5820000}"/>
    <cellStyle name="Normal 92 5 3 2 2 3" xfId="28038" xr:uid="{00000000-0005-0000-0000-0000E6820000}"/>
    <cellStyle name="Normal 92 5 3 2 3" xfId="15772" xr:uid="{00000000-0005-0000-0000-0000E7820000}"/>
    <cellStyle name="Normal 92 5 3 2 3 2" xfId="32328" xr:uid="{00000000-0005-0000-0000-0000E8820000}"/>
    <cellStyle name="Normal 92 5 3 2 4" xfId="24285" xr:uid="{00000000-0005-0000-0000-0000E9820000}"/>
    <cellStyle name="Normal 92 5 3 3" xfId="10156" xr:uid="{00000000-0005-0000-0000-0000EA820000}"/>
    <cellStyle name="Normal 92 5 3 3 2" xfId="19512" xr:uid="{00000000-0005-0000-0000-0000EB820000}"/>
    <cellStyle name="Normal 92 5 3 3 2 2" xfId="36086" xr:uid="{00000000-0005-0000-0000-0000EC820000}"/>
    <cellStyle name="Normal 92 5 3 3 3" xfId="28039" xr:uid="{00000000-0005-0000-0000-0000ED820000}"/>
    <cellStyle name="Normal 92 5 3 4" xfId="15771" xr:uid="{00000000-0005-0000-0000-0000EE820000}"/>
    <cellStyle name="Normal 92 5 3 4 2" xfId="32327" xr:uid="{00000000-0005-0000-0000-0000EF820000}"/>
    <cellStyle name="Normal 92 5 3 5" xfId="24284" xr:uid="{00000000-0005-0000-0000-0000F0820000}"/>
    <cellStyle name="Normal 92 5 4" xfId="6327" xr:uid="{00000000-0005-0000-0000-0000F1820000}"/>
    <cellStyle name="Normal 92 5 4 2" xfId="10157" xr:uid="{00000000-0005-0000-0000-0000F2820000}"/>
    <cellStyle name="Normal 92 5 4 2 2" xfId="19513" xr:uid="{00000000-0005-0000-0000-0000F3820000}"/>
    <cellStyle name="Normal 92 5 4 2 2 2" xfId="36087" xr:uid="{00000000-0005-0000-0000-0000F4820000}"/>
    <cellStyle name="Normal 92 5 4 2 3" xfId="28040" xr:uid="{00000000-0005-0000-0000-0000F5820000}"/>
    <cellStyle name="Normal 92 5 4 3" xfId="15773" xr:uid="{00000000-0005-0000-0000-0000F6820000}"/>
    <cellStyle name="Normal 92 5 4 3 2" xfId="32329" xr:uid="{00000000-0005-0000-0000-0000F7820000}"/>
    <cellStyle name="Normal 92 5 4 4" xfId="24286" xr:uid="{00000000-0005-0000-0000-0000F8820000}"/>
    <cellStyle name="Normal 92 5 5" xfId="10158" xr:uid="{00000000-0005-0000-0000-0000F9820000}"/>
    <cellStyle name="Normal 92 5 5 2" xfId="19514" xr:uid="{00000000-0005-0000-0000-0000FA820000}"/>
    <cellStyle name="Normal 92 5 5 2 2" xfId="36088" xr:uid="{00000000-0005-0000-0000-0000FB820000}"/>
    <cellStyle name="Normal 92 5 5 3" xfId="28041" xr:uid="{00000000-0005-0000-0000-0000FC820000}"/>
    <cellStyle name="Normal 92 5 6" xfId="15766" xr:uid="{00000000-0005-0000-0000-0000FD820000}"/>
    <cellStyle name="Normal 92 5 6 2" xfId="32322" xr:uid="{00000000-0005-0000-0000-0000FE820000}"/>
    <cellStyle name="Normal 92 5 7" xfId="24279" xr:uid="{00000000-0005-0000-0000-0000FF820000}"/>
    <cellStyle name="Normal 92 6" xfId="6328" xr:uid="{00000000-0005-0000-0000-000000830000}"/>
    <cellStyle name="Normal 92 6 2" xfId="6329" xr:uid="{00000000-0005-0000-0000-000001830000}"/>
    <cellStyle name="Normal 92 6 2 2" xfId="6330" xr:uid="{00000000-0005-0000-0000-000002830000}"/>
    <cellStyle name="Normal 92 6 2 2 2" xfId="10159" xr:uid="{00000000-0005-0000-0000-000003830000}"/>
    <cellStyle name="Normal 92 6 2 2 2 2" xfId="19515" xr:uid="{00000000-0005-0000-0000-000004830000}"/>
    <cellStyle name="Normal 92 6 2 2 2 2 2" xfId="36089" xr:uid="{00000000-0005-0000-0000-000005830000}"/>
    <cellStyle name="Normal 92 6 2 2 2 3" xfId="28042" xr:uid="{00000000-0005-0000-0000-000006830000}"/>
    <cellStyle name="Normal 92 6 2 2 3" xfId="15776" xr:uid="{00000000-0005-0000-0000-000007830000}"/>
    <cellStyle name="Normal 92 6 2 2 3 2" xfId="32332" xr:uid="{00000000-0005-0000-0000-000008830000}"/>
    <cellStyle name="Normal 92 6 2 2 4" xfId="24289" xr:uid="{00000000-0005-0000-0000-000009830000}"/>
    <cellStyle name="Normal 92 6 2 3" xfId="10160" xr:uid="{00000000-0005-0000-0000-00000A830000}"/>
    <cellStyle name="Normal 92 6 2 3 2" xfId="19516" xr:uid="{00000000-0005-0000-0000-00000B830000}"/>
    <cellStyle name="Normal 92 6 2 3 2 2" xfId="36090" xr:uid="{00000000-0005-0000-0000-00000C830000}"/>
    <cellStyle name="Normal 92 6 2 3 3" xfId="28043" xr:uid="{00000000-0005-0000-0000-00000D830000}"/>
    <cellStyle name="Normal 92 6 2 4" xfId="15775" xr:uid="{00000000-0005-0000-0000-00000E830000}"/>
    <cellStyle name="Normal 92 6 2 4 2" xfId="32331" xr:uid="{00000000-0005-0000-0000-00000F830000}"/>
    <cellStyle name="Normal 92 6 2 5" xfId="24288" xr:uid="{00000000-0005-0000-0000-000010830000}"/>
    <cellStyle name="Normal 92 6 3" xfId="6331" xr:uid="{00000000-0005-0000-0000-000011830000}"/>
    <cellStyle name="Normal 92 6 3 2" xfId="10161" xr:uid="{00000000-0005-0000-0000-000012830000}"/>
    <cellStyle name="Normal 92 6 3 2 2" xfId="19517" xr:uid="{00000000-0005-0000-0000-000013830000}"/>
    <cellStyle name="Normal 92 6 3 2 2 2" xfId="36091" xr:uid="{00000000-0005-0000-0000-000014830000}"/>
    <cellStyle name="Normal 92 6 3 2 3" xfId="28044" xr:uid="{00000000-0005-0000-0000-000015830000}"/>
    <cellStyle name="Normal 92 6 3 3" xfId="15777" xr:uid="{00000000-0005-0000-0000-000016830000}"/>
    <cellStyle name="Normal 92 6 3 3 2" xfId="32333" xr:uid="{00000000-0005-0000-0000-000017830000}"/>
    <cellStyle name="Normal 92 6 3 4" xfId="24290" xr:uid="{00000000-0005-0000-0000-000018830000}"/>
    <cellStyle name="Normal 92 6 4" xfId="10162" xr:uid="{00000000-0005-0000-0000-000019830000}"/>
    <cellStyle name="Normal 92 6 4 2" xfId="19518" xr:uid="{00000000-0005-0000-0000-00001A830000}"/>
    <cellStyle name="Normal 92 6 4 2 2" xfId="36092" xr:uid="{00000000-0005-0000-0000-00001B830000}"/>
    <cellStyle name="Normal 92 6 4 3" xfId="28045" xr:uid="{00000000-0005-0000-0000-00001C830000}"/>
    <cellStyle name="Normal 92 6 5" xfId="15774" xr:uid="{00000000-0005-0000-0000-00001D830000}"/>
    <cellStyle name="Normal 92 6 5 2" xfId="32330" xr:uid="{00000000-0005-0000-0000-00001E830000}"/>
    <cellStyle name="Normal 92 6 6" xfId="24287" xr:uid="{00000000-0005-0000-0000-00001F830000}"/>
    <cellStyle name="Normal 92 7" xfId="6332" xr:uid="{00000000-0005-0000-0000-000020830000}"/>
    <cellStyle name="Normal 92 7 2" xfId="6333" xr:uid="{00000000-0005-0000-0000-000021830000}"/>
    <cellStyle name="Normal 92 7 2 2" xfId="10163" xr:uid="{00000000-0005-0000-0000-000022830000}"/>
    <cellStyle name="Normal 92 7 2 2 2" xfId="19519" xr:uid="{00000000-0005-0000-0000-000023830000}"/>
    <cellStyle name="Normal 92 7 2 2 2 2" xfId="36093" xr:uid="{00000000-0005-0000-0000-000024830000}"/>
    <cellStyle name="Normal 92 7 2 2 3" xfId="28046" xr:uid="{00000000-0005-0000-0000-000025830000}"/>
    <cellStyle name="Normal 92 7 2 3" xfId="15779" xr:uid="{00000000-0005-0000-0000-000026830000}"/>
    <cellStyle name="Normal 92 7 2 3 2" xfId="32335" xr:uid="{00000000-0005-0000-0000-000027830000}"/>
    <cellStyle name="Normal 92 7 2 4" xfId="24292" xr:uid="{00000000-0005-0000-0000-000028830000}"/>
    <cellStyle name="Normal 92 7 3" xfId="10164" xr:uid="{00000000-0005-0000-0000-000029830000}"/>
    <cellStyle name="Normal 92 7 3 2" xfId="19520" xr:uid="{00000000-0005-0000-0000-00002A830000}"/>
    <cellStyle name="Normal 92 7 3 2 2" xfId="36094" xr:uid="{00000000-0005-0000-0000-00002B830000}"/>
    <cellStyle name="Normal 92 7 3 3" xfId="28047" xr:uid="{00000000-0005-0000-0000-00002C830000}"/>
    <cellStyle name="Normal 92 7 4" xfId="15778" xr:uid="{00000000-0005-0000-0000-00002D830000}"/>
    <cellStyle name="Normal 92 7 4 2" xfId="32334" xr:uid="{00000000-0005-0000-0000-00002E830000}"/>
    <cellStyle name="Normal 92 7 5" xfId="24291" xr:uid="{00000000-0005-0000-0000-00002F830000}"/>
    <cellStyle name="Normal 92 8" xfId="6334" xr:uid="{00000000-0005-0000-0000-000030830000}"/>
    <cellStyle name="Normal 92 8 2" xfId="10165" xr:uid="{00000000-0005-0000-0000-000031830000}"/>
    <cellStyle name="Normal 92 8 2 2" xfId="19521" xr:uid="{00000000-0005-0000-0000-000032830000}"/>
    <cellStyle name="Normal 92 8 2 2 2" xfId="36095" xr:uid="{00000000-0005-0000-0000-000033830000}"/>
    <cellStyle name="Normal 92 8 2 3" xfId="28048" xr:uid="{00000000-0005-0000-0000-000034830000}"/>
    <cellStyle name="Normal 92 8 3" xfId="15780" xr:uid="{00000000-0005-0000-0000-000035830000}"/>
    <cellStyle name="Normal 92 8 3 2" xfId="32336" xr:uid="{00000000-0005-0000-0000-000036830000}"/>
    <cellStyle name="Normal 92 8 4" xfId="24293" xr:uid="{00000000-0005-0000-0000-000037830000}"/>
    <cellStyle name="Normal 92 9" xfId="10166" xr:uid="{00000000-0005-0000-0000-000038830000}"/>
    <cellStyle name="Normal 92 9 2" xfId="19522" xr:uid="{00000000-0005-0000-0000-000039830000}"/>
    <cellStyle name="Normal 92 9 2 2" xfId="36096" xr:uid="{00000000-0005-0000-0000-00003A830000}"/>
    <cellStyle name="Normal 92 9 3" xfId="28049" xr:uid="{00000000-0005-0000-0000-00003B830000}"/>
    <cellStyle name="Normal 93" xfId="6335" xr:uid="{00000000-0005-0000-0000-00003C830000}"/>
    <cellStyle name="Normal 93 10" xfId="15781" xr:uid="{00000000-0005-0000-0000-00003D830000}"/>
    <cellStyle name="Normal 93 10 2" xfId="32337" xr:uid="{00000000-0005-0000-0000-00003E830000}"/>
    <cellStyle name="Normal 93 11" xfId="24294" xr:uid="{00000000-0005-0000-0000-00003F830000}"/>
    <cellStyle name="Normal 93 2" xfId="6336" xr:uid="{00000000-0005-0000-0000-000040830000}"/>
    <cellStyle name="Normal 93 2 2" xfId="6337" xr:uid="{00000000-0005-0000-0000-000041830000}"/>
    <cellStyle name="Normal 93 2 3" xfId="15782" xr:uid="{00000000-0005-0000-0000-000042830000}"/>
    <cellStyle name="Normal 93 2 3 2" xfId="32338" xr:uid="{00000000-0005-0000-0000-000043830000}"/>
    <cellStyle name="Normal 93 2 4" xfId="24295" xr:uid="{00000000-0005-0000-0000-000044830000}"/>
    <cellStyle name="Normal 93 3" xfId="6338" xr:uid="{00000000-0005-0000-0000-000045830000}"/>
    <cellStyle name="Normal 93 3 2" xfId="6339" xr:uid="{00000000-0005-0000-0000-000046830000}"/>
    <cellStyle name="Normal 93 3 2 2" xfId="6340" xr:uid="{00000000-0005-0000-0000-000047830000}"/>
    <cellStyle name="Normal 93 3 2 2 2" xfId="6341" xr:uid="{00000000-0005-0000-0000-000048830000}"/>
    <cellStyle name="Normal 93 3 2 2 2 2" xfId="10167" xr:uid="{00000000-0005-0000-0000-000049830000}"/>
    <cellStyle name="Normal 93 3 2 2 2 2 2" xfId="19523" xr:uid="{00000000-0005-0000-0000-00004A830000}"/>
    <cellStyle name="Normal 93 3 2 2 2 2 2 2" xfId="36097" xr:uid="{00000000-0005-0000-0000-00004B830000}"/>
    <cellStyle name="Normal 93 3 2 2 2 2 3" xfId="28050" xr:uid="{00000000-0005-0000-0000-00004C830000}"/>
    <cellStyle name="Normal 93 3 2 2 2 3" xfId="15785" xr:uid="{00000000-0005-0000-0000-00004D830000}"/>
    <cellStyle name="Normal 93 3 2 2 2 3 2" xfId="32341" xr:uid="{00000000-0005-0000-0000-00004E830000}"/>
    <cellStyle name="Normal 93 3 2 2 2 4" xfId="24298" xr:uid="{00000000-0005-0000-0000-00004F830000}"/>
    <cellStyle name="Normal 93 3 2 2 3" xfId="10168" xr:uid="{00000000-0005-0000-0000-000050830000}"/>
    <cellStyle name="Normal 93 3 2 2 3 2" xfId="19524" xr:uid="{00000000-0005-0000-0000-000051830000}"/>
    <cellStyle name="Normal 93 3 2 2 3 2 2" xfId="36098" xr:uid="{00000000-0005-0000-0000-000052830000}"/>
    <cellStyle name="Normal 93 3 2 2 3 3" xfId="28051" xr:uid="{00000000-0005-0000-0000-000053830000}"/>
    <cellStyle name="Normal 93 3 2 2 4" xfId="15784" xr:uid="{00000000-0005-0000-0000-000054830000}"/>
    <cellStyle name="Normal 93 3 2 2 4 2" xfId="32340" xr:uid="{00000000-0005-0000-0000-000055830000}"/>
    <cellStyle name="Normal 93 3 2 2 5" xfId="24297" xr:uid="{00000000-0005-0000-0000-000056830000}"/>
    <cellStyle name="Normal 93 3 2 3" xfId="6342" xr:uid="{00000000-0005-0000-0000-000057830000}"/>
    <cellStyle name="Normal 93 3 2 3 2" xfId="10169" xr:uid="{00000000-0005-0000-0000-000058830000}"/>
    <cellStyle name="Normal 93 3 2 3 2 2" xfId="19525" xr:uid="{00000000-0005-0000-0000-000059830000}"/>
    <cellStyle name="Normal 93 3 2 3 2 2 2" xfId="36099" xr:uid="{00000000-0005-0000-0000-00005A830000}"/>
    <cellStyle name="Normal 93 3 2 3 2 3" xfId="28052" xr:uid="{00000000-0005-0000-0000-00005B830000}"/>
    <cellStyle name="Normal 93 3 2 3 3" xfId="15786" xr:uid="{00000000-0005-0000-0000-00005C830000}"/>
    <cellStyle name="Normal 93 3 2 3 3 2" xfId="32342" xr:uid="{00000000-0005-0000-0000-00005D830000}"/>
    <cellStyle name="Normal 93 3 2 3 4" xfId="24299" xr:uid="{00000000-0005-0000-0000-00005E830000}"/>
    <cellStyle name="Normal 93 3 2 4" xfId="10170" xr:uid="{00000000-0005-0000-0000-00005F830000}"/>
    <cellStyle name="Normal 93 3 2 4 2" xfId="19526" xr:uid="{00000000-0005-0000-0000-000060830000}"/>
    <cellStyle name="Normal 93 3 2 4 2 2" xfId="36100" xr:uid="{00000000-0005-0000-0000-000061830000}"/>
    <cellStyle name="Normal 93 3 2 4 3" xfId="28053" xr:uid="{00000000-0005-0000-0000-000062830000}"/>
    <cellStyle name="Normal 93 3 2 5" xfId="15783" xr:uid="{00000000-0005-0000-0000-000063830000}"/>
    <cellStyle name="Normal 93 3 2 5 2" xfId="32339" xr:uid="{00000000-0005-0000-0000-000064830000}"/>
    <cellStyle name="Normal 93 3 2 6" xfId="24296" xr:uid="{00000000-0005-0000-0000-000065830000}"/>
    <cellStyle name="Normal 93 3 3" xfId="6343" xr:uid="{00000000-0005-0000-0000-000066830000}"/>
    <cellStyle name="Normal 93 3 3 2" xfId="6344" xr:uid="{00000000-0005-0000-0000-000067830000}"/>
    <cellStyle name="Normal 93 3 3 2 2" xfId="10171" xr:uid="{00000000-0005-0000-0000-000068830000}"/>
    <cellStyle name="Normal 93 3 3 2 2 2" xfId="19527" xr:uid="{00000000-0005-0000-0000-000069830000}"/>
    <cellStyle name="Normal 93 3 3 2 2 2 2" xfId="36101" xr:uid="{00000000-0005-0000-0000-00006A830000}"/>
    <cellStyle name="Normal 93 3 3 2 2 3" xfId="28054" xr:uid="{00000000-0005-0000-0000-00006B830000}"/>
    <cellStyle name="Normal 93 3 3 2 3" xfId="15788" xr:uid="{00000000-0005-0000-0000-00006C830000}"/>
    <cellStyle name="Normal 93 3 3 2 3 2" xfId="32344" xr:uid="{00000000-0005-0000-0000-00006D830000}"/>
    <cellStyle name="Normal 93 3 3 2 4" xfId="24301" xr:uid="{00000000-0005-0000-0000-00006E830000}"/>
    <cellStyle name="Normal 93 3 3 3" xfId="10172" xr:uid="{00000000-0005-0000-0000-00006F830000}"/>
    <cellStyle name="Normal 93 3 3 3 2" xfId="19528" xr:uid="{00000000-0005-0000-0000-000070830000}"/>
    <cellStyle name="Normal 93 3 3 3 2 2" xfId="36102" xr:uid="{00000000-0005-0000-0000-000071830000}"/>
    <cellStyle name="Normal 93 3 3 3 3" xfId="28055" xr:uid="{00000000-0005-0000-0000-000072830000}"/>
    <cellStyle name="Normal 93 3 3 4" xfId="15787" xr:uid="{00000000-0005-0000-0000-000073830000}"/>
    <cellStyle name="Normal 93 3 3 4 2" xfId="32343" xr:uid="{00000000-0005-0000-0000-000074830000}"/>
    <cellStyle name="Normal 93 3 3 5" xfId="24300" xr:uid="{00000000-0005-0000-0000-000075830000}"/>
    <cellStyle name="Normal 93 3 4" xfId="6345" xr:uid="{00000000-0005-0000-0000-000076830000}"/>
    <cellStyle name="Normal 93 3 4 2" xfId="10173" xr:uid="{00000000-0005-0000-0000-000077830000}"/>
    <cellStyle name="Normal 93 3 4 2 2" xfId="19529" xr:uid="{00000000-0005-0000-0000-000078830000}"/>
    <cellStyle name="Normal 93 3 4 2 2 2" xfId="36103" xr:uid="{00000000-0005-0000-0000-000079830000}"/>
    <cellStyle name="Normal 93 3 4 2 3" xfId="28056" xr:uid="{00000000-0005-0000-0000-00007A830000}"/>
    <cellStyle name="Normal 93 3 4 3" xfId="15789" xr:uid="{00000000-0005-0000-0000-00007B830000}"/>
    <cellStyle name="Normal 93 3 4 3 2" xfId="32345" xr:uid="{00000000-0005-0000-0000-00007C830000}"/>
    <cellStyle name="Normal 93 3 4 4" xfId="24302" xr:uid="{00000000-0005-0000-0000-00007D830000}"/>
    <cellStyle name="Normal 93 3 5" xfId="6346" xr:uid="{00000000-0005-0000-0000-00007E830000}"/>
    <cellStyle name="Normal 93 3 5 2" xfId="15790" xr:uid="{00000000-0005-0000-0000-00007F830000}"/>
    <cellStyle name="Normal 93 3 5 2 2" xfId="32346" xr:uid="{00000000-0005-0000-0000-000080830000}"/>
    <cellStyle name="Normal 93 3 5 3" xfId="24303" xr:uid="{00000000-0005-0000-0000-000081830000}"/>
    <cellStyle name="Normal 93 4" xfId="6347" xr:uid="{00000000-0005-0000-0000-000082830000}"/>
    <cellStyle name="Normal 93 4 2" xfId="6348" xr:uid="{00000000-0005-0000-0000-000083830000}"/>
    <cellStyle name="Normal 93 4 2 2" xfId="6349" xr:uid="{00000000-0005-0000-0000-000084830000}"/>
    <cellStyle name="Normal 93 4 2 2 2" xfId="6350" xr:uid="{00000000-0005-0000-0000-000085830000}"/>
    <cellStyle name="Normal 93 4 2 2 2 2" xfId="10174" xr:uid="{00000000-0005-0000-0000-000086830000}"/>
    <cellStyle name="Normal 93 4 2 2 2 2 2" xfId="19530" xr:uid="{00000000-0005-0000-0000-000087830000}"/>
    <cellStyle name="Normal 93 4 2 2 2 2 2 2" xfId="36104" xr:uid="{00000000-0005-0000-0000-000088830000}"/>
    <cellStyle name="Normal 93 4 2 2 2 2 3" xfId="28057" xr:uid="{00000000-0005-0000-0000-000089830000}"/>
    <cellStyle name="Normal 93 4 2 2 2 3" xfId="15794" xr:uid="{00000000-0005-0000-0000-00008A830000}"/>
    <cellStyle name="Normal 93 4 2 2 2 3 2" xfId="32350" xr:uid="{00000000-0005-0000-0000-00008B830000}"/>
    <cellStyle name="Normal 93 4 2 2 2 4" xfId="24307" xr:uid="{00000000-0005-0000-0000-00008C830000}"/>
    <cellStyle name="Normal 93 4 2 2 3" xfId="10175" xr:uid="{00000000-0005-0000-0000-00008D830000}"/>
    <cellStyle name="Normal 93 4 2 2 3 2" xfId="19531" xr:uid="{00000000-0005-0000-0000-00008E830000}"/>
    <cellStyle name="Normal 93 4 2 2 3 2 2" xfId="36105" xr:uid="{00000000-0005-0000-0000-00008F830000}"/>
    <cellStyle name="Normal 93 4 2 2 3 3" xfId="28058" xr:uid="{00000000-0005-0000-0000-000090830000}"/>
    <cellStyle name="Normal 93 4 2 2 4" xfId="15793" xr:uid="{00000000-0005-0000-0000-000091830000}"/>
    <cellStyle name="Normal 93 4 2 2 4 2" xfId="32349" xr:uid="{00000000-0005-0000-0000-000092830000}"/>
    <cellStyle name="Normal 93 4 2 2 5" xfId="24306" xr:uid="{00000000-0005-0000-0000-000093830000}"/>
    <cellStyle name="Normal 93 4 2 3" xfId="6351" xr:uid="{00000000-0005-0000-0000-000094830000}"/>
    <cellStyle name="Normal 93 4 2 3 2" xfId="10176" xr:uid="{00000000-0005-0000-0000-000095830000}"/>
    <cellStyle name="Normal 93 4 2 3 2 2" xfId="19532" xr:uid="{00000000-0005-0000-0000-000096830000}"/>
    <cellStyle name="Normal 93 4 2 3 2 2 2" xfId="36106" xr:uid="{00000000-0005-0000-0000-000097830000}"/>
    <cellStyle name="Normal 93 4 2 3 2 3" xfId="28059" xr:uid="{00000000-0005-0000-0000-000098830000}"/>
    <cellStyle name="Normal 93 4 2 3 3" xfId="15795" xr:uid="{00000000-0005-0000-0000-000099830000}"/>
    <cellStyle name="Normal 93 4 2 3 3 2" xfId="32351" xr:uid="{00000000-0005-0000-0000-00009A830000}"/>
    <cellStyle name="Normal 93 4 2 3 4" xfId="24308" xr:uid="{00000000-0005-0000-0000-00009B830000}"/>
    <cellStyle name="Normal 93 4 2 4" xfId="10177" xr:uid="{00000000-0005-0000-0000-00009C830000}"/>
    <cellStyle name="Normal 93 4 2 4 2" xfId="19533" xr:uid="{00000000-0005-0000-0000-00009D830000}"/>
    <cellStyle name="Normal 93 4 2 4 2 2" xfId="36107" xr:uid="{00000000-0005-0000-0000-00009E830000}"/>
    <cellStyle name="Normal 93 4 2 4 3" xfId="28060" xr:uid="{00000000-0005-0000-0000-00009F830000}"/>
    <cellStyle name="Normal 93 4 2 5" xfId="15792" xr:uid="{00000000-0005-0000-0000-0000A0830000}"/>
    <cellStyle name="Normal 93 4 2 5 2" xfId="32348" xr:uid="{00000000-0005-0000-0000-0000A1830000}"/>
    <cellStyle name="Normal 93 4 2 6" xfId="24305" xr:uid="{00000000-0005-0000-0000-0000A2830000}"/>
    <cellStyle name="Normal 93 4 3" xfId="6352" xr:uid="{00000000-0005-0000-0000-0000A3830000}"/>
    <cellStyle name="Normal 93 4 3 2" xfId="6353" xr:uid="{00000000-0005-0000-0000-0000A4830000}"/>
    <cellStyle name="Normal 93 4 3 2 2" xfId="10178" xr:uid="{00000000-0005-0000-0000-0000A5830000}"/>
    <cellStyle name="Normal 93 4 3 2 2 2" xfId="19534" xr:uid="{00000000-0005-0000-0000-0000A6830000}"/>
    <cellStyle name="Normal 93 4 3 2 2 2 2" xfId="36108" xr:uid="{00000000-0005-0000-0000-0000A7830000}"/>
    <cellStyle name="Normal 93 4 3 2 2 3" xfId="28061" xr:uid="{00000000-0005-0000-0000-0000A8830000}"/>
    <cellStyle name="Normal 93 4 3 2 3" xfId="15797" xr:uid="{00000000-0005-0000-0000-0000A9830000}"/>
    <cellStyle name="Normal 93 4 3 2 3 2" xfId="32353" xr:uid="{00000000-0005-0000-0000-0000AA830000}"/>
    <cellStyle name="Normal 93 4 3 2 4" xfId="24310" xr:uid="{00000000-0005-0000-0000-0000AB830000}"/>
    <cellStyle name="Normal 93 4 3 3" xfId="10179" xr:uid="{00000000-0005-0000-0000-0000AC830000}"/>
    <cellStyle name="Normal 93 4 3 3 2" xfId="19535" xr:uid="{00000000-0005-0000-0000-0000AD830000}"/>
    <cellStyle name="Normal 93 4 3 3 2 2" xfId="36109" xr:uid="{00000000-0005-0000-0000-0000AE830000}"/>
    <cellStyle name="Normal 93 4 3 3 3" xfId="28062" xr:uid="{00000000-0005-0000-0000-0000AF830000}"/>
    <cellStyle name="Normal 93 4 3 4" xfId="15796" xr:uid="{00000000-0005-0000-0000-0000B0830000}"/>
    <cellStyle name="Normal 93 4 3 4 2" xfId="32352" xr:uid="{00000000-0005-0000-0000-0000B1830000}"/>
    <cellStyle name="Normal 93 4 3 5" xfId="24309" xr:uid="{00000000-0005-0000-0000-0000B2830000}"/>
    <cellStyle name="Normal 93 4 4" xfId="6354" xr:uid="{00000000-0005-0000-0000-0000B3830000}"/>
    <cellStyle name="Normal 93 4 4 2" xfId="10180" xr:uid="{00000000-0005-0000-0000-0000B4830000}"/>
    <cellStyle name="Normal 93 4 4 2 2" xfId="19536" xr:uid="{00000000-0005-0000-0000-0000B5830000}"/>
    <cellStyle name="Normal 93 4 4 2 2 2" xfId="36110" xr:uid="{00000000-0005-0000-0000-0000B6830000}"/>
    <cellStyle name="Normal 93 4 4 2 3" xfId="28063" xr:uid="{00000000-0005-0000-0000-0000B7830000}"/>
    <cellStyle name="Normal 93 4 4 3" xfId="15798" xr:uid="{00000000-0005-0000-0000-0000B8830000}"/>
    <cellStyle name="Normal 93 4 4 3 2" xfId="32354" xr:uid="{00000000-0005-0000-0000-0000B9830000}"/>
    <cellStyle name="Normal 93 4 4 4" xfId="24311" xr:uid="{00000000-0005-0000-0000-0000BA830000}"/>
    <cellStyle name="Normal 93 4 5" xfId="10181" xr:uid="{00000000-0005-0000-0000-0000BB830000}"/>
    <cellStyle name="Normal 93 4 5 2" xfId="19537" xr:uid="{00000000-0005-0000-0000-0000BC830000}"/>
    <cellStyle name="Normal 93 4 5 2 2" xfId="36111" xr:uid="{00000000-0005-0000-0000-0000BD830000}"/>
    <cellStyle name="Normal 93 4 5 3" xfId="28064" xr:uid="{00000000-0005-0000-0000-0000BE830000}"/>
    <cellStyle name="Normal 93 4 6" xfId="15791" xr:uid="{00000000-0005-0000-0000-0000BF830000}"/>
    <cellStyle name="Normal 93 4 6 2" xfId="32347" xr:uid="{00000000-0005-0000-0000-0000C0830000}"/>
    <cellStyle name="Normal 93 4 7" xfId="24304" xr:uid="{00000000-0005-0000-0000-0000C1830000}"/>
    <cellStyle name="Normal 93 5" xfId="6355" xr:uid="{00000000-0005-0000-0000-0000C2830000}"/>
    <cellStyle name="Normal 93 5 2" xfId="6356" xr:uid="{00000000-0005-0000-0000-0000C3830000}"/>
    <cellStyle name="Normal 93 5 2 2" xfId="6357" xr:uid="{00000000-0005-0000-0000-0000C4830000}"/>
    <cellStyle name="Normal 93 5 2 2 2" xfId="6358" xr:uid="{00000000-0005-0000-0000-0000C5830000}"/>
    <cellStyle name="Normal 93 5 2 2 2 2" xfId="10182" xr:uid="{00000000-0005-0000-0000-0000C6830000}"/>
    <cellStyle name="Normal 93 5 2 2 2 2 2" xfId="19538" xr:uid="{00000000-0005-0000-0000-0000C7830000}"/>
    <cellStyle name="Normal 93 5 2 2 2 2 2 2" xfId="36112" xr:uid="{00000000-0005-0000-0000-0000C8830000}"/>
    <cellStyle name="Normal 93 5 2 2 2 2 3" xfId="28065" xr:uid="{00000000-0005-0000-0000-0000C9830000}"/>
    <cellStyle name="Normal 93 5 2 2 2 3" xfId="15802" xr:uid="{00000000-0005-0000-0000-0000CA830000}"/>
    <cellStyle name="Normal 93 5 2 2 2 3 2" xfId="32358" xr:uid="{00000000-0005-0000-0000-0000CB830000}"/>
    <cellStyle name="Normal 93 5 2 2 2 4" xfId="24315" xr:uid="{00000000-0005-0000-0000-0000CC830000}"/>
    <cellStyle name="Normal 93 5 2 2 3" xfId="10183" xr:uid="{00000000-0005-0000-0000-0000CD830000}"/>
    <cellStyle name="Normal 93 5 2 2 3 2" xfId="19539" xr:uid="{00000000-0005-0000-0000-0000CE830000}"/>
    <cellStyle name="Normal 93 5 2 2 3 2 2" xfId="36113" xr:uid="{00000000-0005-0000-0000-0000CF830000}"/>
    <cellStyle name="Normal 93 5 2 2 3 3" xfId="28066" xr:uid="{00000000-0005-0000-0000-0000D0830000}"/>
    <cellStyle name="Normal 93 5 2 2 4" xfId="15801" xr:uid="{00000000-0005-0000-0000-0000D1830000}"/>
    <cellStyle name="Normal 93 5 2 2 4 2" xfId="32357" xr:uid="{00000000-0005-0000-0000-0000D2830000}"/>
    <cellStyle name="Normal 93 5 2 2 5" xfId="24314" xr:uid="{00000000-0005-0000-0000-0000D3830000}"/>
    <cellStyle name="Normal 93 5 2 3" xfId="6359" xr:uid="{00000000-0005-0000-0000-0000D4830000}"/>
    <cellStyle name="Normal 93 5 2 3 2" xfId="10184" xr:uid="{00000000-0005-0000-0000-0000D5830000}"/>
    <cellStyle name="Normal 93 5 2 3 2 2" xfId="19540" xr:uid="{00000000-0005-0000-0000-0000D6830000}"/>
    <cellStyle name="Normal 93 5 2 3 2 2 2" xfId="36114" xr:uid="{00000000-0005-0000-0000-0000D7830000}"/>
    <cellStyle name="Normal 93 5 2 3 2 3" xfId="28067" xr:uid="{00000000-0005-0000-0000-0000D8830000}"/>
    <cellStyle name="Normal 93 5 2 3 3" xfId="15803" xr:uid="{00000000-0005-0000-0000-0000D9830000}"/>
    <cellStyle name="Normal 93 5 2 3 3 2" xfId="32359" xr:uid="{00000000-0005-0000-0000-0000DA830000}"/>
    <cellStyle name="Normal 93 5 2 3 4" xfId="24316" xr:uid="{00000000-0005-0000-0000-0000DB830000}"/>
    <cellStyle name="Normal 93 5 2 4" xfId="10185" xr:uid="{00000000-0005-0000-0000-0000DC830000}"/>
    <cellStyle name="Normal 93 5 2 4 2" xfId="19541" xr:uid="{00000000-0005-0000-0000-0000DD830000}"/>
    <cellStyle name="Normal 93 5 2 4 2 2" xfId="36115" xr:uid="{00000000-0005-0000-0000-0000DE830000}"/>
    <cellStyle name="Normal 93 5 2 4 3" xfId="28068" xr:uid="{00000000-0005-0000-0000-0000DF830000}"/>
    <cellStyle name="Normal 93 5 2 5" xfId="15800" xr:uid="{00000000-0005-0000-0000-0000E0830000}"/>
    <cellStyle name="Normal 93 5 2 5 2" xfId="32356" xr:uid="{00000000-0005-0000-0000-0000E1830000}"/>
    <cellStyle name="Normal 93 5 2 6" xfId="24313" xr:uid="{00000000-0005-0000-0000-0000E2830000}"/>
    <cellStyle name="Normal 93 5 3" xfId="6360" xr:uid="{00000000-0005-0000-0000-0000E3830000}"/>
    <cellStyle name="Normal 93 5 3 2" xfId="6361" xr:uid="{00000000-0005-0000-0000-0000E4830000}"/>
    <cellStyle name="Normal 93 5 3 2 2" xfId="10186" xr:uid="{00000000-0005-0000-0000-0000E5830000}"/>
    <cellStyle name="Normal 93 5 3 2 2 2" xfId="19542" xr:uid="{00000000-0005-0000-0000-0000E6830000}"/>
    <cellStyle name="Normal 93 5 3 2 2 2 2" xfId="36116" xr:uid="{00000000-0005-0000-0000-0000E7830000}"/>
    <cellStyle name="Normal 93 5 3 2 2 3" xfId="28069" xr:uid="{00000000-0005-0000-0000-0000E8830000}"/>
    <cellStyle name="Normal 93 5 3 2 3" xfId="15805" xr:uid="{00000000-0005-0000-0000-0000E9830000}"/>
    <cellStyle name="Normal 93 5 3 2 3 2" xfId="32361" xr:uid="{00000000-0005-0000-0000-0000EA830000}"/>
    <cellStyle name="Normal 93 5 3 2 4" xfId="24318" xr:uid="{00000000-0005-0000-0000-0000EB830000}"/>
    <cellStyle name="Normal 93 5 3 3" xfId="10187" xr:uid="{00000000-0005-0000-0000-0000EC830000}"/>
    <cellStyle name="Normal 93 5 3 3 2" xfId="19543" xr:uid="{00000000-0005-0000-0000-0000ED830000}"/>
    <cellStyle name="Normal 93 5 3 3 2 2" xfId="36117" xr:uid="{00000000-0005-0000-0000-0000EE830000}"/>
    <cellStyle name="Normal 93 5 3 3 3" xfId="28070" xr:uid="{00000000-0005-0000-0000-0000EF830000}"/>
    <cellStyle name="Normal 93 5 3 4" xfId="15804" xr:uid="{00000000-0005-0000-0000-0000F0830000}"/>
    <cellStyle name="Normal 93 5 3 4 2" xfId="32360" xr:uid="{00000000-0005-0000-0000-0000F1830000}"/>
    <cellStyle name="Normal 93 5 3 5" xfId="24317" xr:uid="{00000000-0005-0000-0000-0000F2830000}"/>
    <cellStyle name="Normal 93 5 4" xfId="6362" xr:uid="{00000000-0005-0000-0000-0000F3830000}"/>
    <cellStyle name="Normal 93 5 4 2" xfId="10188" xr:uid="{00000000-0005-0000-0000-0000F4830000}"/>
    <cellStyle name="Normal 93 5 4 2 2" xfId="19544" xr:uid="{00000000-0005-0000-0000-0000F5830000}"/>
    <cellStyle name="Normal 93 5 4 2 2 2" xfId="36118" xr:uid="{00000000-0005-0000-0000-0000F6830000}"/>
    <cellStyle name="Normal 93 5 4 2 3" xfId="28071" xr:uid="{00000000-0005-0000-0000-0000F7830000}"/>
    <cellStyle name="Normal 93 5 4 3" xfId="15806" xr:uid="{00000000-0005-0000-0000-0000F8830000}"/>
    <cellStyle name="Normal 93 5 4 3 2" xfId="32362" xr:uid="{00000000-0005-0000-0000-0000F9830000}"/>
    <cellStyle name="Normal 93 5 4 4" xfId="24319" xr:uid="{00000000-0005-0000-0000-0000FA830000}"/>
    <cellStyle name="Normal 93 5 5" xfId="10189" xr:uid="{00000000-0005-0000-0000-0000FB830000}"/>
    <cellStyle name="Normal 93 5 5 2" xfId="19545" xr:uid="{00000000-0005-0000-0000-0000FC830000}"/>
    <cellStyle name="Normal 93 5 5 2 2" xfId="36119" xr:uid="{00000000-0005-0000-0000-0000FD830000}"/>
    <cellStyle name="Normal 93 5 5 3" xfId="28072" xr:uid="{00000000-0005-0000-0000-0000FE830000}"/>
    <cellStyle name="Normal 93 5 6" xfId="15799" xr:uid="{00000000-0005-0000-0000-0000FF830000}"/>
    <cellStyle name="Normal 93 5 6 2" xfId="32355" xr:uid="{00000000-0005-0000-0000-000000840000}"/>
    <cellStyle name="Normal 93 5 7" xfId="24312" xr:uid="{00000000-0005-0000-0000-000001840000}"/>
    <cellStyle name="Normal 93 6" xfId="6363" xr:uid="{00000000-0005-0000-0000-000002840000}"/>
    <cellStyle name="Normal 93 6 2" xfId="6364" xr:uid="{00000000-0005-0000-0000-000003840000}"/>
    <cellStyle name="Normal 93 6 2 2" xfId="6365" xr:uid="{00000000-0005-0000-0000-000004840000}"/>
    <cellStyle name="Normal 93 6 2 2 2" xfId="10190" xr:uid="{00000000-0005-0000-0000-000005840000}"/>
    <cellStyle name="Normal 93 6 2 2 2 2" xfId="19546" xr:uid="{00000000-0005-0000-0000-000006840000}"/>
    <cellStyle name="Normal 93 6 2 2 2 2 2" xfId="36120" xr:uid="{00000000-0005-0000-0000-000007840000}"/>
    <cellStyle name="Normal 93 6 2 2 2 3" xfId="28073" xr:uid="{00000000-0005-0000-0000-000008840000}"/>
    <cellStyle name="Normal 93 6 2 2 3" xfId="15809" xr:uid="{00000000-0005-0000-0000-000009840000}"/>
    <cellStyle name="Normal 93 6 2 2 3 2" xfId="32365" xr:uid="{00000000-0005-0000-0000-00000A840000}"/>
    <cellStyle name="Normal 93 6 2 2 4" xfId="24322" xr:uid="{00000000-0005-0000-0000-00000B840000}"/>
    <cellStyle name="Normal 93 6 2 3" xfId="10191" xr:uid="{00000000-0005-0000-0000-00000C840000}"/>
    <cellStyle name="Normal 93 6 2 3 2" xfId="19547" xr:uid="{00000000-0005-0000-0000-00000D840000}"/>
    <cellStyle name="Normal 93 6 2 3 2 2" xfId="36121" xr:uid="{00000000-0005-0000-0000-00000E840000}"/>
    <cellStyle name="Normal 93 6 2 3 3" xfId="28074" xr:uid="{00000000-0005-0000-0000-00000F840000}"/>
    <cellStyle name="Normal 93 6 2 4" xfId="15808" xr:uid="{00000000-0005-0000-0000-000010840000}"/>
    <cellStyle name="Normal 93 6 2 4 2" xfId="32364" xr:uid="{00000000-0005-0000-0000-000011840000}"/>
    <cellStyle name="Normal 93 6 2 5" xfId="24321" xr:uid="{00000000-0005-0000-0000-000012840000}"/>
    <cellStyle name="Normal 93 6 3" xfId="6366" xr:uid="{00000000-0005-0000-0000-000013840000}"/>
    <cellStyle name="Normal 93 6 3 2" xfId="10192" xr:uid="{00000000-0005-0000-0000-000014840000}"/>
    <cellStyle name="Normal 93 6 3 2 2" xfId="19548" xr:uid="{00000000-0005-0000-0000-000015840000}"/>
    <cellStyle name="Normal 93 6 3 2 2 2" xfId="36122" xr:uid="{00000000-0005-0000-0000-000016840000}"/>
    <cellStyle name="Normal 93 6 3 2 3" xfId="28075" xr:uid="{00000000-0005-0000-0000-000017840000}"/>
    <cellStyle name="Normal 93 6 3 3" xfId="15810" xr:uid="{00000000-0005-0000-0000-000018840000}"/>
    <cellStyle name="Normal 93 6 3 3 2" xfId="32366" xr:uid="{00000000-0005-0000-0000-000019840000}"/>
    <cellStyle name="Normal 93 6 3 4" xfId="24323" xr:uid="{00000000-0005-0000-0000-00001A840000}"/>
    <cellStyle name="Normal 93 6 4" xfId="10193" xr:uid="{00000000-0005-0000-0000-00001B840000}"/>
    <cellStyle name="Normal 93 6 4 2" xfId="19549" xr:uid="{00000000-0005-0000-0000-00001C840000}"/>
    <cellStyle name="Normal 93 6 4 2 2" xfId="36123" xr:uid="{00000000-0005-0000-0000-00001D840000}"/>
    <cellStyle name="Normal 93 6 4 3" xfId="28076" xr:uid="{00000000-0005-0000-0000-00001E840000}"/>
    <cellStyle name="Normal 93 6 5" xfId="15807" xr:uid="{00000000-0005-0000-0000-00001F840000}"/>
    <cellStyle name="Normal 93 6 5 2" xfId="32363" xr:uid="{00000000-0005-0000-0000-000020840000}"/>
    <cellStyle name="Normal 93 6 6" xfId="24320" xr:uid="{00000000-0005-0000-0000-000021840000}"/>
    <cellStyle name="Normal 93 7" xfId="6367" xr:uid="{00000000-0005-0000-0000-000022840000}"/>
    <cellStyle name="Normal 93 7 2" xfId="6368" xr:uid="{00000000-0005-0000-0000-000023840000}"/>
    <cellStyle name="Normal 93 7 2 2" xfId="10194" xr:uid="{00000000-0005-0000-0000-000024840000}"/>
    <cellStyle name="Normal 93 7 2 2 2" xfId="19550" xr:uid="{00000000-0005-0000-0000-000025840000}"/>
    <cellStyle name="Normal 93 7 2 2 2 2" xfId="36124" xr:uid="{00000000-0005-0000-0000-000026840000}"/>
    <cellStyle name="Normal 93 7 2 2 3" xfId="28077" xr:uid="{00000000-0005-0000-0000-000027840000}"/>
    <cellStyle name="Normal 93 7 2 3" xfId="15812" xr:uid="{00000000-0005-0000-0000-000028840000}"/>
    <cellStyle name="Normal 93 7 2 3 2" xfId="32368" xr:uid="{00000000-0005-0000-0000-000029840000}"/>
    <cellStyle name="Normal 93 7 2 4" xfId="24325" xr:uid="{00000000-0005-0000-0000-00002A840000}"/>
    <cellStyle name="Normal 93 7 3" xfId="10195" xr:uid="{00000000-0005-0000-0000-00002B840000}"/>
    <cellStyle name="Normal 93 7 3 2" xfId="19551" xr:uid="{00000000-0005-0000-0000-00002C840000}"/>
    <cellStyle name="Normal 93 7 3 2 2" xfId="36125" xr:uid="{00000000-0005-0000-0000-00002D840000}"/>
    <cellStyle name="Normal 93 7 3 3" xfId="28078" xr:uid="{00000000-0005-0000-0000-00002E840000}"/>
    <cellStyle name="Normal 93 7 4" xfId="15811" xr:uid="{00000000-0005-0000-0000-00002F840000}"/>
    <cellStyle name="Normal 93 7 4 2" xfId="32367" xr:uid="{00000000-0005-0000-0000-000030840000}"/>
    <cellStyle name="Normal 93 7 5" xfId="24324" xr:uid="{00000000-0005-0000-0000-000031840000}"/>
    <cellStyle name="Normal 93 8" xfId="6369" xr:uid="{00000000-0005-0000-0000-000032840000}"/>
    <cellStyle name="Normal 93 8 2" xfId="10196" xr:uid="{00000000-0005-0000-0000-000033840000}"/>
    <cellStyle name="Normal 93 8 2 2" xfId="19552" xr:uid="{00000000-0005-0000-0000-000034840000}"/>
    <cellStyle name="Normal 93 8 2 2 2" xfId="36126" xr:uid="{00000000-0005-0000-0000-000035840000}"/>
    <cellStyle name="Normal 93 8 2 3" xfId="28079" xr:uid="{00000000-0005-0000-0000-000036840000}"/>
    <cellStyle name="Normal 93 8 3" xfId="15813" xr:uid="{00000000-0005-0000-0000-000037840000}"/>
    <cellStyle name="Normal 93 8 3 2" xfId="32369" xr:uid="{00000000-0005-0000-0000-000038840000}"/>
    <cellStyle name="Normal 93 8 4" xfId="24326" xr:uid="{00000000-0005-0000-0000-000039840000}"/>
    <cellStyle name="Normal 93 9" xfId="10197" xr:uid="{00000000-0005-0000-0000-00003A840000}"/>
    <cellStyle name="Normal 93 9 2" xfId="19553" xr:uid="{00000000-0005-0000-0000-00003B840000}"/>
    <cellStyle name="Normal 93 9 2 2" xfId="36127" xr:uid="{00000000-0005-0000-0000-00003C840000}"/>
    <cellStyle name="Normal 93 9 3" xfId="28080" xr:uid="{00000000-0005-0000-0000-00003D840000}"/>
    <cellStyle name="Normal 94" xfId="6370" xr:uid="{00000000-0005-0000-0000-00003E840000}"/>
    <cellStyle name="Normal 94 10" xfId="15814" xr:uid="{00000000-0005-0000-0000-00003F840000}"/>
    <cellStyle name="Normal 94 10 2" xfId="32370" xr:uid="{00000000-0005-0000-0000-000040840000}"/>
    <cellStyle name="Normal 94 11" xfId="24327" xr:uid="{00000000-0005-0000-0000-000041840000}"/>
    <cellStyle name="Normal 94 2" xfId="6371" xr:uid="{00000000-0005-0000-0000-000042840000}"/>
    <cellStyle name="Normal 94 2 2" xfId="6372" xr:uid="{00000000-0005-0000-0000-000043840000}"/>
    <cellStyle name="Normal 94 2 3" xfId="15815" xr:uid="{00000000-0005-0000-0000-000044840000}"/>
    <cellStyle name="Normal 94 2 3 2" xfId="32371" xr:uid="{00000000-0005-0000-0000-000045840000}"/>
    <cellStyle name="Normal 94 2 4" xfId="24328" xr:uid="{00000000-0005-0000-0000-000046840000}"/>
    <cellStyle name="Normal 94 3" xfId="6373" xr:uid="{00000000-0005-0000-0000-000047840000}"/>
    <cellStyle name="Normal 94 3 2" xfId="6374" xr:uid="{00000000-0005-0000-0000-000048840000}"/>
    <cellStyle name="Normal 94 3 2 2" xfId="6375" xr:uid="{00000000-0005-0000-0000-000049840000}"/>
    <cellStyle name="Normal 94 3 2 2 2" xfId="6376" xr:uid="{00000000-0005-0000-0000-00004A840000}"/>
    <cellStyle name="Normal 94 3 2 2 2 2" xfId="10198" xr:uid="{00000000-0005-0000-0000-00004B840000}"/>
    <cellStyle name="Normal 94 3 2 2 2 2 2" xfId="19554" xr:uid="{00000000-0005-0000-0000-00004C840000}"/>
    <cellStyle name="Normal 94 3 2 2 2 2 2 2" xfId="36128" xr:uid="{00000000-0005-0000-0000-00004D840000}"/>
    <cellStyle name="Normal 94 3 2 2 2 2 3" xfId="28081" xr:uid="{00000000-0005-0000-0000-00004E840000}"/>
    <cellStyle name="Normal 94 3 2 2 2 3" xfId="15818" xr:uid="{00000000-0005-0000-0000-00004F840000}"/>
    <cellStyle name="Normal 94 3 2 2 2 3 2" xfId="32374" xr:uid="{00000000-0005-0000-0000-000050840000}"/>
    <cellStyle name="Normal 94 3 2 2 2 4" xfId="24331" xr:uid="{00000000-0005-0000-0000-000051840000}"/>
    <cellStyle name="Normal 94 3 2 2 3" xfId="10199" xr:uid="{00000000-0005-0000-0000-000052840000}"/>
    <cellStyle name="Normal 94 3 2 2 3 2" xfId="19555" xr:uid="{00000000-0005-0000-0000-000053840000}"/>
    <cellStyle name="Normal 94 3 2 2 3 2 2" xfId="36129" xr:uid="{00000000-0005-0000-0000-000054840000}"/>
    <cellStyle name="Normal 94 3 2 2 3 3" xfId="28082" xr:uid="{00000000-0005-0000-0000-000055840000}"/>
    <cellStyle name="Normal 94 3 2 2 4" xfId="15817" xr:uid="{00000000-0005-0000-0000-000056840000}"/>
    <cellStyle name="Normal 94 3 2 2 4 2" xfId="32373" xr:uid="{00000000-0005-0000-0000-000057840000}"/>
    <cellStyle name="Normal 94 3 2 2 5" xfId="24330" xr:uid="{00000000-0005-0000-0000-000058840000}"/>
    <cellStyle name="Normal 94 3 2 3" xfId="6377" xr:uid="{00000000-0005-0000-0000-000059840000}"/>
    <cellStyle name="Normal 94 3 2 3 2" xfId="10200" xr:uid="{00000000-0005-0000-0000-00005A840000}"/>
    <cellStyle name="Normal 94 3 2 3 2 2" xfId="19556" xr:uid="{00000000-0005-0000-0000-00005B840000}"/>
    <cellStyle name="Normal 94 3 2 3 2 2 2" xfId="36130" xr:uid="{00000000-0005-0000-0000-00005C840000}"/>
    <cellStyle name="Normal 94 3 2 3 2 3" xfId="28083" xr:uid="{00000000-0005-0000-0000-00005D840000}"/>
    <cellStyle name="Normal 94 3 2 3 3" xfId="15819" xr:uid="{00000000-0005-0000-0000-00005E840000}"/>
    <cellStyle name="Normal 94 3 2 3 3 2" xfId="32375" xr:uid="{00000000-0005-0000-0000-00005F840000}"/>
    <cellStyle name="Normal 94 3 2 3 4" xfId="24332" xr:uid="{00000000-0005-0000-0000-000060840000}"/>
    <cellStyle name="Normal 94 3 2 4" xfId="10201" xr:uid="{00000000-0005-0000-0000-000061840000}"/>
    <cellStyle name="Normal 94 3 2 4 2" xfId="19557" xr:uid="{00000000-0005-0000-0000-000062840000}"/>
    <cellStyle name="Normal 94 3 2 4 2 2" xfId="36131" xr:uid="{00000000-0005-0000-0000-000063840000}"/>
    <cellStyle name="Normal 94 3 2 4 3" xfId="28084" xr:uid="{00000000-0005-0000-0000-000064840000}"/>
    <cellStyle name="Normal 94 3 2 5" xfId="15816" xr:uid="{00000000-0005-0000-0000-000065840000}"/>
    <cellStyle name="Normal 94 3 2 5 2" xfId="32372" xr:uid="{00000000-0005-0000-0000-000066840000}"/>
    <cellStyle name="Normal 94 3 2 6" xfId="24329" xr:uid="{00000000-0005-0000-0000-000067840000}"/>
    <cellStyle name="Normal 94 3 3" xfId="6378" xr:uid="{00000000-0005-0000-0000-000068840000}"/>
    <cellStyle name="Normal 94 3 3 2" xfId="6379" xr:uid="{00000000-0005-0000-0000-000069840000}"/>
    <cellStyle name="Normal 94 3 3 2 2" xfId="10202" xr:uid="{00000000-0005-0000-0000-00006A840000}"/>
    <cellStyle name="Normal 94 3 3 2 2 2" xfId="19558" xr:uid="{00000000-0005-0000-0000-00006B840000}"/>
    <cellStyle name="Normal 94 3 3 2 2 2 2" xfId="36132" xr:uid="{00000000-0005-0000-0000-00006C840000}"/>
    <cellStyle name="Normal 94 3 3 2 2 3" xfId="28085" xr:uid="{00000000-0005-0000-0000-00006D840000}"/>
    <cellStyle name="Normal 94 3 3 2 3" xfId="15821" xr:uid="{00000000-0005-0000-0000-00006E840000}"/>
    <cellStyle name="Normal 94 3 3 2 3 2" xfId="32377" xr:uid="{00000000-0005-0000-0000-00006F840000}"/>
    <cellStyle name="Normal 94 3 3 2 4" xfId="24334" xr:uid="{00000000-0005-0000-0000-000070840000}"/>
    <cellStyle name="Normal 94 3 3 3" xfId="10203" xr:uid="{00000000-0005-0000-0000-000071840000}"/>
    <cellStyle name="Normal 94 3 3 3 2" xfId="19559" xr:uid="{00000000-0005-0000-0000-000072840000}"/>
    <cellStyle name="Normal 94 3 3 3 2 2" xfId="36133" xr:uid="{00000000-0005-0000-0000-000073840000}"/>
    <cellStyle name="Normal 94 3 3 3 3" xfId="28086" xr:uid="{00000000-0005-0000-0000-000074840000}"/>
    <cellStyle name="Normal 94 3 3 4" xfId="15820" xr:uid="{00000000-0005-0000-0000-000075840000}"/>
    <cellStyle name="Normal 94 3 3 4 2" xfId="32376" xr:uid="{00000000-0005-0000-0000-000076840000}"/>
    <cellStyle name="Normal 94 3 3 5" xfId="24333" xr:uid="{00000000-0005-0000-0000-000077840000}"/>
    <cellStyle name="Normal 94 3 4" xfId="6380" xr:uid="{00000000-0005-0000-0000-000078840000}"/>
    <cellStyle name="Normal 94 3 4 2" xfId="10204" xr:uid="{00000000-0005-0000-0000-000079840000}"/>
    <cellStyle name="Normal 94 3 4 2 2" xfId="19560" xr:uid="{00000000-0005-0000-0000-00007A840000}"/>
    <cellStyle name="Normal 94 3 4 2 2 2" xfId="36134" xr:uid="{00000000-0005-0000-0000-00007B840000}"/>
    <cellStyle name="Normal 94 3 4 2 3" xfId="28087" xr:uid="{00000000-0005-0000-0000-00007C840000}"/>
    <cellStyle name="Normal 94 3 4 3" xfId="15822" xr:uid="{00000000-0005-0000-0000-00007D840000}"/>
    <cellStyle name="Normal 94 3 4 3 2" xfId="32378" xr:uid="{00000000-0005-0000-0000-00007E840000}"/>
    <cellStyle name="Normal 94 3 4 4" xfId="24335" xr:uid="{00000000-0005-0000-0000-00007F840000}"/>
    <cellStyle name="Normal 94 3 5" xfId="6381" xr:uid="{00000000-0005-0000-0000-000080840000}"/>
    <cellStyle name="Normal 94 3 5 2" xfId="15823" xr:uid="{00000000-0005-0000-0000-000081840000}"/>
    <cellStyle name="Normal 94 3 5 2 2" xfId="32379" xr:uid="{00000000-0005-0000-0000-000082840000}"/>
    <cellStyle name="Normal 94 3 5 3" xfId="24336" xr:uid="{00000000-0005-0000-0000-000083840000}"/>
    <cellStyle name="Normal 94 4" xfId="6382" xr:uid="{00000000-0005-0000-0000-000084840000}"/>
    <cellStyle name="Normal 94 4 2" xfId="6383" xr:uid="{00000000-0005-0000-0000-000085840000}"/>
    <cellStyle name="Normal 94 4 2 2" xfId="6384" xr:uid="{00000000-0005-0000-0000-000086840000}"/>
    <cellStyle name="Normal 94 4 2 2 2" xfId="6385" xr:uid="{00000000-0005-0000-0000-000087840000}"/>
    <cellStyle name="Normal 94 4 2 2 2 2" xfId="10205" xr:uid="{00000000-0005-0000-0000-000088840000}"/>
    <cellStyle name="Normal 94 4 2 2 2 2 2" xfId="19561" xr:uid="{00000000-0005-0000-0000-000089840000}"/>
    <cellStyle name="Normal 94 4 2 2 2 2 2 2" xfId="36135" xr:uid="{00000000-0005-0000-0000-00008A840000}"/>
    <cellStyle name="Normal 94 4 2 2 2 2 3" xfId="28088" xr:uid="{00000000-0005-0000-0000-00008B840000}"/>
    <cellStyle name="Normal 94 4 2 2 2 3" xfId="15827" xr:uid="{00000000-0005-0000-0000-00008C840000}"/>
    <cellStyle name="Normal 94 4 2 2 2 3 2" xfId="32383" xr:uid="{00000000-0005-0000-0000-00008D840000}"/>
    <cellStyle name="Normal 94 4 2 2 2 4" xfId="24340" xr:uid="{00000000-0005-0000-0000-00008E840000}"/>
    <cellStyle name="Normal 94 4 2 2 3" xfId="10206" xr:uid="{00000000-0005-0000-0000-00008F840000}"/>
    <cellStyle name="Normal 94 4 2 2 3 2" xfId="19562" xr:uid="{00000000-0005-0000-0000-000090840000}"/>
    <cellStyle name="Normal 94 4 2 2 3 2 2" xfId="36136" xr:uid="{00000000-0005-0000-0000-000091840000}"/>
    <cellStyle name="Normal 94 4 2 2 3 3" xfId="28089" xr:uid="{00000000-0005-0000-0000-000092840000}"/>
    <cellStyle name="Normal 94 4 2 2 4" xfId="15826" xr:uid="{00000000-0005-0000-0000-000093840000}"/>
    <cellStyle name="Normal 94 4 2 2 4 2" xfId="32382" xr:uid="{00000000-0005-0000-0000-000094840000}"/>
    <cellStyle name="Normal 94 4 2 2 5" xfId="24339" xr:uid="{00000000-0005-0000-0000-000095840000}"/>
    <cellStyle name="Normal 94 4 2 3" xfId="6386" xr:uid="{00000000-0005-0000-0000-000096840000}"/>
    <cellStyle name="Normal 94 4 2 3 2" xfId="10207" xr:uid="{00000000-0005-0000-0000-000097840000}"/>
    <cellStyle name="Normal 94 4 2 3 2 2" xfId="19563" xr:uid="{00000000-0005-0000-0000-000098840000}"/>
    <cellStyle name="Normal 94 4 2 3 2 2 2" xfId="36137" xr:uid="{00000000-0005-0000-0000-000099840000}"/>
    <cellStyle name="Normal 94 4 2 3 2 3" xfId="28090" xr:uid="{00000000-0005-0000-0000-00009A840000}"/>
    <cellStyle name="Normal 94 4 2 3 3" xfId="15828" xr:uid="{00000000-0005-0000-0000-00009B840000}"/>
    <cellStyle name="Normal 94 4 2 3 3 2" xfId="32384" xr:uid="{00000000-0005-0000-0000-00009C840000}"/>
    <cellStyle name="Normal 94 4 2 3 4" xfId="24341" xr:uid="{00000000-0005-0000-0000-00009D840000}"/>
    <cellStyle name="Normal 94 4 2 4" xfId="10208" xr:uid="{00000000-0005-0000-0000-00009E840000}"/>
    <cellStyle name="Normal 94 4 2 4 2" xfId="19564" xr:uid="{00000000-0005-0000-0000-00009F840000}"/>
    <cellStyle name="Normal 94 4 2 4 2 2" xfId="36138" xr:uid="{00000000-0005-0000-0000-0000A0840000}"/>
    <cellStyle name="Normal 94 4 2 4 3" xfId="28091" xr:uid="{00000000-0005-0000-0000-0000A1840000}"/>
    <cellStyle name="Normal 94 4 2 5" xfId="15825" xr:uid="{00000000-0005-0000-0000-0000A2840000}"/>
    <cellStyle name="Normal 94 4 2 5 2" xfId="32381" xr:uid="{00000000-0005-0000-0000-0000A3840000}"/>
    <cellStyle name="Normal 94 4 2 6" xfId="24338" xr:uid="{00000000-0005-0000-0000-0000A4840000}"/>
    <cellStyle name="Normal 94 4 3" xfId="6387" xr:uid="{00000000-0005-0000-0000-0000A5840000}"/>
    <cellStyle name="Normal 94 4 3 2" xfId="6388" xr:uid="{00000000-0005-0000-0000-0000A6840000}"/>
    <cellStyle name="Normal 94 4 3 2 2" xfId="10209" xr:uid="{00000000-0005-0000-0000-0000A7840000}"/>
    <cellStyle name="Normal 94 4 3 2 2 2" xfId="19565" xr:uid="{00000000-0005-0000-0000-0000A8840000}"/>
    <cellStyle name="Normal 94 4 3 2 2 2 2" xfId="36139" xr:uid="{00000000-0005-0000-0000-0000A9840000}"/>
    <cellStyle name="Normal 94 4 3 2 2 3" xfId="28092" xr:uid="{00000000-0005-0000-0000-0000AA840000}"/>
    <cellStyle name="Normal 94 4 3 2 3" xfId="15830" xr:uid="{00000000-0005-0000-0000-0000AB840000}"/>
    <cellStyle name="Normal 94 4 3 2 3 2" xfId="32386" xr:uid="{00000000-0005-0000-0000-0000AC840000}"/>
    <cellStyle name="Normal 94 4 3 2 4" xfId="24343" xr:uid="{00000000-0005-0000-0000-0000AD840000}"/>
    <cellStyle name="Normal 94 4 3 3" xfId="10210" xr:uid="{00000000-0005-0000-0000-0000AE840000}"/>
    <cellStyle name="Normal 94 4 3 3 2" xfId="19566" xr:uid="{00000000-0005-0000-0000-0000AF840000}"/>
    <cellStyle name="Normal 94 4 3 3 2 2" xfId="36140" xr:uid="{00000000-0005-0000-0000-0000B0840000}"/>
    <cellStyle name="Normal 94 4 3 3 3" xfId="28093" xr:uid="{00000000-0005-0000-0000-0000B1840000}"/>
    <cellStyle name="Normal 94 4 3 4" xfId="15829" xr:uid="{00000000-0005-0000-0000-0000B2840000}"/>
    <cellStyle name="Normal 94 4 3 4 2" xfId="32385" xr:uid="{00000000-0005-0000-0000-0000B3840000}"/>
    <cellStyle name="Normal 94 4 3 5" xfId="24342" xr:uid="{00000000-0005-0000-0000-0000B4840000}"/>
    <cellStyle name="Normal 94 4 4" xfId="6389" xr:uid="{00000000-0005-0000-0000-0000B5840000}"/>
    <cellStyle name="Normal 94 4 4 2" xfId="10211" xr:uid="{00000000-0005-0000-0000-0000B6840000}"/>
    <cellStyle name="Normal 94 4 4 2 2" xfId="19567" xr:uid="{00000000-0005-0000-0000-0000B7840000}"/>
    <cellStyle name="Normal 94 4 4 2 2 2" xfId="36141" xr:uid="{00000000-0005-0000-0000-0000B8840000}"/>
    <cellStyle name="Normal 94 4 4 2 3" xfId="28094" xr:uid="{00000000-0005-0000-0000-0000B9840000}"/>
    <cellStyle name="Normal 94 4 4 3" xfId="15831" xr:uid="{00000000-0005-0000-0000-0000BA840000}"/>
    <cellStyle name="Normal 94 4 4 3 2" xfId="32387" xr:uid="{00000000-0005-0000-0000-0000BB840000}"/>
    <cellStyle name="Normal 94 4 4 4" xfId="24344" xr:uid="{00000000-0005-0000-0000-0000BC840000}"/>
    <cellStyle name="Normal 94 4 5" xfId="10212" xr:uid="{00000000-0005-0000-0000-0000BD840000}"/>
    <cellStyle name="Normal 94 4 5 2" xfId="19568" xr:uid="{00000000-0005-0000-0000-0000BE840000}"/>
    <cellStyle name="Normal 94 4 5 2 2" xfId="36142" xr:uid="{00000000-0005-0000-0000-0000BF840000}"/>
    <cellStyle name="Normal 94 4 5 3" xfId="28095" xr:uid="{00000000-0005-0000-0000-0000C0840000}"/>
    <cellStyle name="Normal 94 4 6" xfId="15824" xr:uid="{00000000-0005-0000-0000-0000C1840000}"/>
    <cellStyle name="Normal 94 4 6 2" xfId="32380" xr:uid="{00000000-0005-0000-0000-0000C2840000}"/>
    <cellStyle name="Normal 94 4 7" xfId="24337" xr:uid="{00000000-0005-0000-0000-0000C3840000}"/>
    <cellStyle name="Normal 94 5" xfId="6390" xr:uid="{00000000-0005-0000-0000-0000C4840000}"/>
    <cellStyle name="Normal 94 5 2" xfId="6391" xr:uid="{00000000-0005-0000-0000-0000C5840000}"/>
    <cellStyle name="Normal 94 5 2 2" xfId="6392" xr:uid="{00000000-0005-0000-0000-0000C6840000}"/>
    <cellStyle name="Normal 94 5 2 2 2" xfId="6393" xr:uid="{00000000-0005-0000-0000-0000C7840000}"/>
    <cellStyle name="Normal 94 5 2 2 2 2" xfId="10213" xr:uid="{00000000-0005-0000-0000-0000C8840000}"/>
    <cellStyle name="Normal 94 5 2 2 2 2 2" xfId="19569" xr:uid="{00000000-0005-0000-0000-0000C9840000}"/>
    <cellStyle name="Normal 94 5 2 2 2 2 2 2" xfId="36143" xr:uid="{00000000-0005-0000-0000-0000CA840000}"/>
    <cellStyle name="Normal 94 5 2 2 2 2 3" xfId="28096" xr:uid="{00000000-0005-0000-0000-0000CB840000}"/>
    <cellStyle name="Normal 94 5 2 2 2 3" xfId="15835" xr:uid="{00000000-0005-0000-0000-0000CC840000}"/>
    <cellStyle name="Normal 94 5 2 2 2 3 2" xfId="32391" xr:uid="{00000000-0005-0000-0000-0000CD840000}"/>
    <cellStyle name="Normal 94 5 2 2 2 4" xfId="24348" xr:uid="{00000000-0005-0000-0000-0000CE840000}"/>
    <cellStyle name="Normal 94 5 2 2 3" xfId="10214" xr:uid="{00000000-0005-0000-0000-0000CF840000}"/>
    <cellStyle name="Normal 94 5 2 2 3 2" xfId="19570" xr:uid="{00000000-0005-0000-0000-0000D0840000}"/>
    <cellStyle name="Normal 94 5 2 2 3 2 2" xfId="36144" xr:uid="{00000000-0005-0000-0000-0000D1840000}"/>
    <cellStyle name="Normal 94 5 2 2 3 3" xfId="28097" xr:uid="{00000000-0005-0000-0000-0000D2840000}"/>
    <cellStyle name="Normal 94 5 2 2 4" xfId="15834" xr:uid="{00000000-0005-0000-0000-0000D3840000}"/>
    <cellStyle name="Normal 94 5 2 2 4 2" xfId="32390" xr:uid="{00000000-0005-0000-0000-0000D4840000}"/>
    <cellStyle name="Normal 94 5 2 2 5" xfId="24347" xr:uid="{00000000-0005-0000-0000-0000D5840000}"/>
    <cellStyle name="Normal 94 5 2 3" xfId="6394" xr:uid="{00000000-0005-0000-0000-0000D6840000}"/>
    <cellStyle name="Normal 94 5 2 3 2" xfId="10215" xr:uid="{00000000-0005-0000-0000-0000D7840000}"/>
    <cellStyle name="Normal 94 5 2 3 2 2" xfId="19571" xr:uid="{00000000-0005-0000-0000-0000D8840000}"/>
    <cellStyle name="Normal 94 5 2 3 2 2 2" xfId="36145" xr:uid="{00000000-0005-0000-0000-0000D9840000}"/>
    <cellStyle name="Normal 94 5 2 3 2 3" xfId="28098" xr:uid="{00000000-0005-0000-0000-0000DA840000}"/>
    <cellStyle name="Normal 94 5 2 3 3" xfId="15836" xr:uid="{00000000-0005-0000-0000-0000DB840000}"/>
    <cellStyle name="Normal 94 5 2 3 3 2" xfId="32392" xr:uid="{00000000-0005-0000-0000-0000DC840000}"/>
    <cellStyle name="Normal 94 5 2 3 4" xfId="24349" xr:uid="{00000000-0005-0000-0000-0000DD840000}"/>
    <cellStyle name="Normal 94 5 2 4" xfId="10216" xr:uid="{00000000-0005-0000-0000-0000DE840000}"/>
    <cellStyle name="Normal 94 5 2 4 2" xfId="19572" xr:uid="{00000000-0005-0000-0000-0000DF840000}"/>
    <cellStyle name="Normal 94 5 2 4 2 2" xfId="36146" xr:uid="{00000000-0005-0000-0000-0000E0840000}"/>
    <cellStyle name="Normal 94 5 2 4 3" xfId="28099" xr:uid="{00000000-0005-0000-0000-0000E1840000}"/>
    <cellStyle name="Normal 94 5 2 5" xfId="15833" xr:uid="{00000000-0005-0000-0000-0000E2840000}"/>
    <cellStyle name="Normal 94 5 2 5 2" xfId="32389" xr:uid="{00000000-0005-0000-0000-0000E3840000}"/>
    <cellStyle name="Normal 94 5 2 6" xfId="24346" xr:uid="{00000000-0005-0000-0000-0000E4840000}"/>
    <cellStyle name="Normal 94 5 3" xfId="6395" xr:uid="{00000000-0005-0000-0000-0000E5840000}"/>
    <cellStyle name="Normal 94 5 3 2" xfId="6396" xr:uid="{00000000-0005-0000-0000-0000E6840000}"/>
    <cellStyle name="Normal 94 5 3 2 2" xfId="10217" xr:uid="{00000000-0005-0000-0000-0000E7840000}"/>
    <cellStyle name="Normal 94 5 3 2 2 2" xfId="19573" xr:uid="{00000000-0005-0000-0000-0000E8840000}"/>
    <cellStyle name="Normal 94 5 3 2 2 2 2" xfId="36147" xr:uid="{00000000-0005-0000-0000-0000E9840000}"/>
    <cellStyle name="Normal 94 5 3 2 2 3" xfId="28100" xr:uid="{00000000-0005-0000-0000-0000EA840000}"/>
    <cellStyle name="Normal 94 5 3 2 3" xfId="15838" xr:uid="{00000000-0005-0000-0000-0000EB840000}"/>
    <cellStyle name="Normal 94 5 3 2 3 2" xfId="32394" xr:uid="{00000000-0005-0000-0000-0000EC840000}"/>
    <cellStyle name="Normal 94 5 3 2 4" xfId="24351" xr:uid="{00000000-0005-0000-0000-0000ED840000}"/>
    <cellStyle name="Normal 94 5 3 3" xfId="10218" xr:uid="{00000000-0005-0000-0000-0000EE840000}"/>
    <cellStyle name="Normal 94 5 3 3 2" xfId="19574" xr:uid="{00000000-0005-0000-0000-0000EF840000}"/>
    <cellStyle name="Normal 94 5 3 3 2 2" xfId="36148" xr:uid="{00000000-0005-0000-0000-0000F0840000}"/>
    <cellStyle name="Normal 94 5 3 3 3" xfId="28101" xr:uid="{00000000-0005-0000-0000-0000F1840000}"/>
    <cellStyle name="Normal 94 5 3 4" xfId="15837" xr:uid="{00000000-0005-0000-0000-0000F2840000}"/>
    <cellStyle name="Normal 94 5 3 4 2" xfId="32393" xr:uid="{00000000-0005-0000-0000-0000F3840000}"/>
    <cellStyle name="Normal 94 5 3 5" xfId="24350" xr:uid="{00000000-0005-0000-0000-0000F4840000}"/>
    <cellStyle name="Normal 94 5 4" xfId="6397" xr:uid="{00000000-0005-0000-0000-0000F5840000}"/>
    <cellStyle name="Normal 94 5 4 2" xfId="10219" xr:uid="{00000000-0005-0000-0000-0000F6840000}"/>
    <cellStyle name="Normal 94 5 4 2 2" xfId="19575" xr:uid="{00000000-0005-0000-0000-0000F7840000}"/>
    <cellStyle name="Normal 94 5 4 2 2 2" xfId="36149" xr:uid="{00000000-0005-0000-0000-0000F8840000}"/>
    <cellStyle name="Normal 94 5 4 2 3" xfId="28102" xr:uid="{00000000-0005-0000-0000-0000F9840000}"/>
    <cellStyle name="Normal 94 5 4 3" xfId="15839" xr:uid="{00000000-0005-0000-0000-0000FA840000}"/>
    <cellStyle name="Normal 94 5 4 3 2" xfId="32395" xr:uid="{00000000-0005-0000-0000-0000FB840000}"/>
    <cellStyle name="Normal 94 5 4 4" xfId="24352" xr:uid="{00000000-0005-0000-0000-0000FC840000}"/>
    <cellStyle name="Normal 94 5 5" xfId="10220" xr:uid="{00000000-0005-0000-0000-0000FD840000}"/>
    <cellStyle name="Normal 94 5 5 2" xfId="19576" xr:uid="{00000000-0005-0000-0000-0000FE840000}"/>
    <cellStyle name="Normal 94 5 5 2 2" xfId="36150" xr:uid="{00000000-0005-0000-0000-0000FF840000}"/>
    <cellStyle name="Normal 94 5 5 3" xfId="28103" xr:uid="{00000000-0005-0000-0000-000000850000}"/>
    <cellStyle name="Normal 94 5 6" xfId="15832" xr:uid="{00000000-0005-0000-0000-000001850000}"/>
    <cellStyle name="Normal 94 5 6 2" xfId="32388" xr:uid="{00000000-0005-0000-0000-000002850000}"/>
    <cellStyle name="Normal 94 5 7" xfId="24345" xr:uid="{00000000-0005-0000-0000-000003850000}"/>
    <cellStyle name="Normal 94 6" xfId="6398" xr:uid="{00000000-0005-0000-0000-000004850000}"/>
    <cellStyle name="Normal 94 6 2" xfId="6399" xr:uid="{00000000-0005-0000-0000-000005850000}"/>
    <cellStyle name="Normal 94 6 2 2" xfId="6400" xr:uid="{00000000-0005-0000-0000-000006850000}"/>
    <cellStyle name="Normal 94 6 2 2 2" xfId="10221" xr:uid="{00000000-0005-0000-0000-000007850000}"/>
    <cellStyle name="Normal 94 6 2 2 2 2" xfId="19577" xr:uid="{00000000-0005-0000-0000-000008850000}"/>
    <cellStyle name="Normal 94 6 2 2 2 2 2" xfId="36151" xr:uid="{00000000-0005-0000-0000-000009850000}"/>
    <cellStyle name="Normal 94 6 2 2 2 3" xfId="28104" xr:uid="{00000000-0005-0000-0000-00000A850000}"/>
    <cellStyle name="Normal 94 6 2 2 3" xfId="15842" xr:uid="{00000000-0005-0000-0000-00000B850000}"/>
    <cellStyle name="Normal 94 6 2 2 3 2" xfId="32398" xr:uid="{00000000-0005-0000-0000-00000C850000}"/>
    <cellStyle name="Normal 94 6 2 2 4" xfId="24355" xr:uid="{00000000-0005-0000-0000-00000D850000}"/>
    <cellStyle name="Normal 94 6 2 3" xfId="10222" xr:uid="{00000000-0005-0000-0000-00000E850000}"/>
    <cellStyle name="Normal 94 6 2 3 2" xfId="19578" xr:uid="{00000000-0005-0000-0000-00000F850000}"/>
    <cellStyle name="Normal 94 6 2 3 2 2" xfId="36152" xr:uid="{00000000-0005-0000-0000-000010850000}"/>
    <cellStyle name="Normal 94 6 2 3 3" xfId="28105" xr:uid="{00000000-0005-0000-0000-000011850000}"/>
    <cellStyle name="Normal 94 6 2 4" xfId="15841" xr:uid="{00000000-0005-0000-0000-000012850000}"/>
    <cellStyle name="Normal 94 6 2 4 2" xfId="32397" xr:uid="{00000000-0005-0000-0000-000013850000}"/>
    <cellStyle name="Normal 94 6 2 5" xfId="24354" xr:uid="{00000000-0005-0000-0000-000014850000}"/>
    <cellStyle name="Normal 94 6 3" xfId="6401" xr:uid="{00000000-0005-0000-0000-000015850000}"/>
    <cellStyle name="Normal 94 6 3 2" xfId="10223" xr:uid="{00000000-0005-0000-0000-000016850000}"/>
    <cellStyle name="Normal 94 6 3 2 2" xfId="19579" xr:uid="{00000000-0005-0000-0000-000017850000}"/>
    <cellStyle name="Normal 94 6 3 2 2 2" xfId="36153" xr:uid="{00000000-0005-0000-0000-000018850000}"/>
    <cellStyle name="Normal 94 6 3 2 3" xfId="28106" xr:uid="{00000000-0005-0000-0000-000019850000}"/>
    <cellStyle name="Normal 94 6 3 3" xfId="15843" xr:uid="{00000000-0005-0000-0000-00001A850000}"/>
    <cellStyle name="Normal 94 6 3 3 2" xfId="32399" xr:uid="{00000000-0005-0000-0000-00001B850000}"/>
    <cellStyle name="Normal 94 6 3 4" xfId="24356" xr:uid="{00000000-0005-0000-0000-00001C850000}"/>
    <cellStyle name="Normal 94 6 4" xfId="10224" xr:uid="{00000000-0005-0000-0000-00001D850000}"/>
    <cellStyle name="Normal 94 6 4 2" xfId="19580" xr:uid="{00000000-0005-0000-0000-00001E850000}"/>
    <cellStyle name="Normal 94 6 4 2 2" xfId="36154" xr:uid="{00000000-0005-0000-0000-00001F850000}"/>
    <cellStyle name="Normal 94 6 4 3" xfId="28107" xr:uid="{00000000-0005-0000-0000-000020850000}"/>
    <cellStyle name="Normal 94 6 5" xfId="15840" xr:uid="{00000000-0005-0000-0000-000021850000}"/>
    <cellStyle name="Normal 94 6 5 2" xfId="32396" xr:uid="{00000000-0005-0000-0000-000022850000}"/>
    <cellStyle name="Normal 94 6 6" xfId="24353" xr:uid="{00000000-0005-0000-0000-000023850000}"/>
    <cellStyle name="Normal 94 7" xfId="6402" xr:uid="{00000000-0005-0000-0000-000024850000}"/>
    <cellStyle name="Normal 94 7 2" xfId="6403" xr:uid="{00000000-0005-0000-0000-000025850000}"/>
    <cellStyle name="Normal 94 7 2 2" xfId="10225" xr:uid="{00000000-0005-0000-0000-000026850000}"/>
    <cellStyle name="Normal 94 7 2 2 2" xfId="19581" xr:uid="{00000000-0005-0000-0000-000027850000}"/>
    <cellStyle name="Normal 94 7 2 2 2 2" xfId="36155" xr:uid="{00000000-0005-0000-0000-000028850000}"/>
    <cellStyle name="Normal 94 7 2 2 3" xfId="28108" xr:uid="{00000000-0005-0000-0000-000029850000}"/>
    <cellStyle name="Normal 94 7 2 3" xfId="15845" xr:uid="{00000000-0005-0000-0000-00002A850000}"/>
    <cellStyle name="Normal 94 7 2 3 2" xfId="32401" xr:uid="{00000000-0005-0000-0000-00002B850000}"/>
    <cellStyle name="Normal 94 7 2 4" xfId="24358" xr:uid="{00000000-0005-0000-0000-00002C850000}"/>
    <cellStyle name="Normal 94 7 3" xfId="10226" xr:uid="{00000000-0005-0000-0000-00002D850000}"/>
    <cellStyle name="Normal 94 7 3 2" xfId="19582" xr:uid="{00000000-0005-0000-0000-00002E850000}"/>
    <cellStyle name="Normal 94 7 3 2 2" xfId="36156" xr:uid="{00000000-0005-0000-0000-00002F850000}"/>
    <cellStyle name="Normal 94 7 3 3" xfId="28109" xr:uid="{00000000-0005-0000-0000-000030850000}"/>
    <cellStyle name="Normal 94 7 4" xfId="15844" xr:uid="{00000000-0005-0000-0000-000031850000}"/>
    <cellStyle name="Normal 94 7 4 2" xfId="32400" xr:uid="{00000000-0005-0000-0000-000032850000}"/>
    <cellStyle name="Normal 94 7 5" xfId="24357" xr:uid="{00000000-0005-0000-0000-000033850000}"/>
    <cellStyle name="Normal 94 8" xfId="6404" xr:uid="{00000000-0005-0000-0000-000034850000}"/>
    <cellStyle name="Normal 94 8 2" xfId="10227" xr:uid="{00000000-0005-0000-0000-000035850000}"/>
    <cellStyle name="Normal 94 8 2 2" xfId="19583" xr:uid="{00000000-0005-0000-0000-000036850000}"/>
    <cellStyle name="Normal 94 8 2 2 2" xfId="36157" xr:uid="{00000000-0005-0000-0000-000037850000}"/>
    <cellStyle name="Normal 94 8 2 3" xfId="28110" xr:uid="{00000000-0005-0000-0000-000038850000}"/>
    <cellStyle name="Normal 94 8 3" xfId="15846" xr:uid="{00000000-0005-0000-0000-000039850000}"/>
    <cellStyle name="Normal 94 8 3 2" xfId="32402" xr:uid="{00000000-0005-0000-0000-00003A850000}"/>
    <cellStyle name="Normal 94 8 4" xfId="24359" xr:uid="{00000000-0005-0000-0000-00003B850000}"/>
    <cellStyle name="Normal 94 9" xfId="10228" xr:uid="{00000000-0005-0000-0000-00003C850000}"/>
    <cellStyle name="Normal 94 9 2" xfId="19584" xr:uid="{00000000-0005-0000-0000-00003D850000}"/>
    <cellStyle name="Normal 94 9 2 2" xfId="36158" xr:uid="{00000000-0005-0000-0000-00003E850000}"/>
    <cellStyle name="Normal 94 9 3" xfId="28111" xr:uid="{00000000-0005-0000-0000-00003F850000}"/>
    <cellStyle name="Normal 95" xfId="6405" xr:uid="{00000000-0005-0000-0000-000040850000}"/>
    <cellStyle name="Normal 95 10" xfId="15847" xr:uid="{00000000-0005-0000-0000-000041850000}"/>
    <cellStyle name="Normal 95 10 2" xfId="32403" xr:uid="{00000000-0005-0000-0000-000042850000}"/>
    <cellStyle name="Normal 95 11" xfId="24360" xr:uid="{00000000-0005-0000-0000-000043850000}"/>
    <cellStyle name="Normal 95 2" xfId="6406" xr:uid="{00000000-0005-0000-0000-000044850000}"/>
    <cellStyle name="Normal 95 2 2" xfId="6407" xr:uid="{00000000-0005-0000-0000-000045850000}"/>
    <cellStyle name="Normal 95 2 3" xfId="15848" xr:uid="{00000000-0005-0000-0000-000046850000}"/>
    <cellStyle name="Normal 95 2 3 2" xfId="32404" xr:uid="{00000000-0005-0000-0000-000047850000}"/>
    <cellStyle name="Normal 95 2 4" xfId="24361" xr:uid="{00000000-0005-0000-0000-000048850000}"/>
    <cellStyle name="Normal 95 3" xfId="6408" xr:uid="{00000000-0005-0000-0000-000049850000}"/>
    <cellStyle name="Normal 95 3 2" xfId="6409" xr:uid="{00000000-0005-0000-0000-00004A850000}"/>
    <cellStyle name="Normal 95 3 2 2" xfId="6410" xr:uid="{00000000-0005-0000-0000-00004B850000}"/>
    <cellStyle name="Normal 95 3 2 2 2" xfId="6411" xr:uid="{00000000-0005-0000-0000-00004C850000}"/>
    <cellStyle name="Normal 95 3 2 2 2 2" xfId="10229" xr:uid="{00000000-0005-0000-0000-00004D850000}"/>
    <cellStyle name="Normal 95 3 2 2 2 2 2" xfId="19585" xr:uid="{00000000-0005-0000-0000-00004E850000}"/>
    <cellStyle name="Normal 95 3 2 2 2 2 2 2" xfId="36159" xr:uid="{00000000-0005-0000-0000-00004F850000}"/>
    <cellStyle name="Normal 95 3 2 2 2 2 3" xfId="28112" xr:uid="{00000000-0005-0000-0000-000050850000}"/>
    <cellStyle name="Normal 95 3 2 2 2 3" xfId="15851" xr:uid="{00000000-0005-0000-0000-000051850000}"/>
    <cellStyle name="Normal 95 3 2 2 2 3 2" xfId="32407" xr:uid="{00000000-0005-0000-0000-000052850000}"/>
    <cellStyle name="Normal 95 3 2 2 2 4" xfId="24364" xr:uid="{00000000-0005-0000-0000-000053850000}"/>
    <cellStyle name="Normal 95 3 2 2 3" xfId="10230" xr:uid="{00000000-0005-0000-0000-000054850000}"/>
    <cellStyle name="Normal 95 3 2 2 3 2" xfId="19586" xr:uid="{00000000-0005-0000-0000-000055850000}"/>
    <cellStyle name="Normal 95 3 2 2 3 2 2" xfId="36160" xr:uid="{00000000-0005-0000-0000-000056850000}"/>
    <cellStyle name="Normal 95 3 2 2 3 3" xfId="28113" xr:uid="{00000000-0005-0000-0000-000057850000}"/>
    <cellStyle name="Normal 95 3 2 2 4" xfId="15850" xr:uid="{00000000-0005-0000-0000-000058850000}"/>
    <cellStyle name="Normal 95 3 2 2 4 2" xfId="32406" xr:uid="{00000000-0005-0000-0000-000059850000}"/>
    <cellStyle name="Normal 95 3 2 2 5" xfId="24363" xr:uid="{00000000-0005-0000-0000-00005A850000}"/>
    <cellStyle name="Normal 95 3 2 3" xfId="6412" xr:uid="{00000000-0005-0000-0000-00005B850000}"/>
    <cellStyle name="Normal 95 3 2 3 2" xfId="10231" xr:uid="{00000000-0005-0000-0000-00005C850000}"/>
    <cellStyle name="Normal 95 3 2 3 2 2" xfId="19587" xr:uid="{00000000-0005-0000-0000-00005D850000}"/>
    <cellStyle name="Normal 95 3 2 3 2 2 2" xfId="36161" xr:uid="{00000000-0005-0000-0000-00005E850000}"/>
    <cellStyle name="Normal 95 3 2 3 2 3" xfId="28114" xr:uid="{00000000-0005-0000-0000-00005F850000}"/>
    <cellStyle name="Normal 95 3 2 3 3" xfId="15852" xr:uid="{00000000-0005-0000-0000-000060850000}"/>
    <cellStyle name="Normal 95 3 2 3 3 2" xfId="32408" xr:uid="{00000000-0005-0000-0000-000061850000}"/>
    <cellStyle name="Normal 95 3 2 3 4" xfId="24365" xr:uid="{00000000-0005-0000-0000-000062850000}"/>
    <cellStyle name="Normal 95 3 2 4" xfId="10232" xr:uid="{00000000-0005-0000-0000-000063850000}"/>
    <cellStyle name="Normal 95 3 2 4 2" xfId="19588" xr:uid="{00000000-0005-0000-0000-000064850000}"/>
    <cellStyle name="Normal 95 3 2 4 2 2" xfId="36162" xr:uid="{00000000-0005-0000-0000-000065850000}"/>
    <cellStyle name="Normal 95 3 2 4 3" xfId="28115" xr:uid="{00000000-0005-0000-0000-000066850000}"/>
    <cellStyle name="Normal 95 3 2 5" xfId="15849" xr:uid="{00000000-0005-0000-0000-000067850000}"/>
    <cellStyle name="Normal 95 3 2 5 2" xfId="32405" xr:uid="{00000000-0005-0000-0000-000068850000}"/>
    <cellStyle name="Normal 95 3 2 6" xfId="24362" xr:uid="{00000000-0005-0000-0000-000069850000}"/>
    <cellStyle name="Normal 95 3 3" xfId="6413" xr:uid="{00000000-0005-0000-0000-00006A850000}"/>
    <cellStyle name="Normal 95 3 3 2" xfId="6414" xr:uid="{00000000-0005-0000-0000-00006B850000}"/>
    <cellStyle name="Normal 95 3 3 2 2" xfId="10233" xr:uid="{00000000-0005-0000-0000-00006C850000}"/>
    <cellStyle name="Normal 95 3 3 2 2 2" xfId="19589" xr:uid="{00000000-0005-0000-0000-00006D850000}"/>
    <cellStyle name="Normal 95 3 3 2 2 2 2" xfId="36163" xr:uid="{00000000-0005-0000-0000-00006E850000}"/>
    <cellStyle name="Normal 95 3 3 2 2 3" xfId="28116" xr:uid="{00000000-0005-0000-0000-00006F850000}"/>
    <cellStyle name="Normal 95 3 3 2 3" xfId="15854" xr:uid="{00000000-0005-0000-0000-000070850000}"/>
    <cellStyle name="Normal 95 3 3 2 3 2" xfId="32410" xr:uid="{00000000-0005-0000-0000-000071850000}"/>
    <cellStyle name="Normal 95 3 3 2 4" xfId="24367" xr:uid="{00000000-0005-0000-0000-000072850000}"/>
    <cellStyle name="Normal 95 3 3 3" xfId="10234" xr:uid="{00000000-0005-0000-0000-000073850000}"/>
    <cellStyle name="Normal 95 3 3 3 2" xfId="19590" xr:uid="{00000000-0005-0000-0000-000074850000}"/>
    <cellStyle name="Normal 95 3 3 3 2 2" xfId="36164" xr:uid="{00000000-0005-0000-0000-000075850000}"/>
    <cellStyle name="Normal 95 3 3 3 3" xfId="28117" xr:uid="{00000000-0005-0000-0000-000076850000}"/>
    <cellStyle name="Normal 95 3 3 4" xfId="15853" xr:uid="{00000000-0005-0000-0000-000077850000}"/>
    <cellStyle name="Normal 95 3 3 4 2" xfId="32409" xr:uid="{00000000-0005-0000-0000-000078850000}"/>
    <cellStyle name="Normal 95 3 3 5" xfId="24366" xr:uid="{00000000-0005-0000-0000-000079850000}"/>
    <cellStyle name="Normal 95 3 4" xfId="6415" xr:uid="{00000000-0005-0000-0000-00007A850000}"/>
    <cellStyle name="Normal 95 3 4 2" xfId="10235" xr:uid="{00000000-0005-0000-0000-00007B850000}"/>
    <cellStyle name="Normal 95 3 4 2 2" xfId="19591" xr:uid="{00000000-0005-0000-0000-00007C850000}"/>
    <cellStyle name="Normal 95 3 4 2 2 2" xfId="36165" xr:uid="{00000000-0005-0000-0000-00007D850000}"/>
    <cellStyle name="Normal 95 3 4 2 3" xfId="28118" xr:uid="{00000000-0005-0000-0000-00007E850000}"/>
    <cellStyle name="Normal 95 3 4 3" xfId="15855" xr:uid="{00000000-0005-0000-0000-00007F850000}"/>
    <cellStyle name="Normal 95 3 4 3 2" xfId="32411" xr:uid="{00000000-0005-0000-0000-000080850000}"/>
    <cellStyle name="Normal 95 3 4 4" xfId="24368" xr:uid="{00000000-0005-0000-0000-000081850000}"/>
    <cellStyle name="Normal 95 3 5" xfId="6416" xr:uid="{00000000-0005-0000-0000-000082850000}"/>
    <cellStyle name="Normal 95 3 5 2" xfId="15856" xr:uid="{00000000-0005-0000-0000-000083850000}"/>
    <cellStyle name="Normal 95 3 5 2 2" xfId="32412" xr:uid="{00000000-0005-0000-0000-000084850000}"/>
    <cellStyle name="Normal 95 3 5 3" xfId="24369" xr:uid="{00000000-0005-0000-0000-000085850000}"/>
    <cellStyle name="Normal 95 4" xfId="6417" xr:uid="{00000000-0005-0000-0000-000086850000}"/>
    <cellStyle name="Normal 95 4 2" xfId="6418" xr:uid="{00000000-0005-0000-0000-000087850000}"/>
    <cellStyle name="Normal 95 4 2 2" xfId="6419" xr:uid="{00000000-0005-0000-0000-000088850000}"/>
    <cellStyle name="Normal 95 4 2 2 2" xfId="6420" xr:uid="{00000000-0005-0000-0000-000089850000}"/>
    <cellStyle name="Normal 95 4 2 2 2 2" xfId="10236" xr:uid="{00000000-0005-0000-0000-00008A850000}"/>
    <cellStyle name="Normal 95 4 2 2 2 2 2" xfId="19592" xr:uid="{00000000-0005-0000-0000-00008B850000}"/>
    <cellStyle name="Normal 95 4 2 2 2 2 2 2" xfId="36166" xr:uid="{00000000-0005-0000-0000-00008C850000}"/>
    <cellStyle name="Normal 95 4 2 2 2 2 3" xfId="28119" xr:uid="{00000000-0005-0000-0000-00008D850000}"/>
    <cellStyle name="Normal 95 4 2 2 2 3" xfId="15860" xr:uid="{00000000-0005-0000-0000-00008E850000}"/>
    <cellStyle name="Normal 95 4 2 2 2 3 2" xfId="32416" xr:uid="{00000000-0005-0000-0000-00008F850000}"/>
    <cellStyle name="Normal 95 4 2 2 2 4" xfId="24373" xr:uid="{00000000-0005-0000-0000-000090850000}"/>
    <cellStyle name="Normal 95 4 2 2 3" xfId="10237" xr:uid="{00000000-0005-0000-0000-000091850000}"/>
    <cellStyle name="Normal 95 4 2 2 3 2" xfId="19593" xr:uid="{00000000-0005-0000-0000-000092850000}"/>
    <cellStyle name="Normal 95 4 2 2 3 2 2" xfId="36167" xr:uid="{00000000-0005-0000-0000-000093850000}"/>
    <cellStyle name="Normal 95 4 2 2 3 3" xfId="28120" xr:uid="{00000000-0005-0000-0000-000094850000}"/>
    <cellStyle name="Normal 95 4 2 2 4" xfId="15859" xr:uid="{00000000-0005-0000-0000-000095850000}"/>
    <cellStyle name="Normal 95 4 2 2 4 2" xfId="32415" xr:uid="{00000000-0005-0000-0000-000096850000}"/>
    <cellStyle name="Normal 95 4 2 2 5" xfId="24372" xr:uid="{00000000-0005-0000-0000-000097850000}"/>
    <cellStyle name="Normal 95 4 2 3" xfId="6421" xr:uid="{00000000-0005-0000-0000-000098850000}"/>
    <cellStyle name="Normal 95 4 2 3 2" xfId="10238" xr:uid="{00000000-0005-0000-0000-000099850000}"/>
    <cellStyle name="Normal 95 4 2 3 2 2" xfId="19594" xr:uid="{00000000-0005-0000-0000-00009A850000}"/>
    <cellStyle name="Normal 95 4 2 3 2 2 2" xfId="36168" xr:uid="{00000000-0005-0000-0000-00009B850000}"/>
    <cellStyle name="Normal 95 4 2 3 2 3" xfId="28121" xr:uid="{00000000-0005-0000-0000-00009C850000}"/>
    <cellStyle name="Normal 95 4 2 3 3" xfId="15861" xr:uid="{00000000-0005-0000-0000-00009D850000}"/>
    <cellStyle name="Normal 95 4 2 3 3 2" xfId="32417" xr:uid="{00000000-0005-0000-0000-00009E850000}"/>
    <cellStyle name="Normal 95 4 2 3 4" xfId="24374" xr:uid="{00000000-0005-0000-0000-00009F850000}"/>
    <cellStyle name="Normal 95 4 2 4" xfId="10239" xr:uid="{00000000-0005-0000-0000-0000A0850000}"/>
    <cellStyle name="Normal 95 4 2 4 2" xfId="19595" xr:uid="{00000000-0005-0000-0000-0000A1850000}"/>
    <cellStyle name="Normal 95 4 2 4 2 2" xfId="36169" xr:uid="{00000000-0005-0000-0000-0000A2850000}"/>
    <cellStyle name="Normal 95 4 2 4 3" xfId="28122" xr:uid="{00000000-0005-0000-0000-0000A3850000}"/>
    <cellStyle name="Normal 95 4 2 5" xfId="15858" xr:uid="{00000000-0005-0000-0000-0000A4850000}"/>
    <cellStyle name="Normal 95 4 2 5 2" xfId="32414" xr:uid="{00000000-0005-0000-0000-0000A5850000}"/>
    <cellStyle name="Normal 95 4 2 6" xfId="24371" xr:uid="{00000000-0005-0000-0000-0000A6850000}"/>
    <cellStyle name="Normal 95 4 3" xfId="6422" xr:uid="{00000000-0005-0000-0000-0000A7850000}"/>
    <cellStyle name="Normal 95 4 3 2" xfId="6423" xr:uid="{00000000-0005-0000-0000-0000A8850000}"/>
    <cellStyle name="Normal 95 4 3 2 2" xfId="10240" xr:uid="{00000000-0005-0000-0000-0000A9850000}"/>
    <cellStyle name="Normal 95 4 3 2 2 2" xfId="19596" xr:uid="{00000000-0005-0000-0000-0000AA850000}"/>
    <cellStyle name="Normal 95 4 3 2 2 2 2" xfId="36170" xr:uid="{00000000-0005-0000-0000-0000AB850000}"/>
    <cellStyle name="Normal 95 4 3 2 2 3" xfId="28123" xr:uid="{00000000-0005-0000-0000-0000AC850000}"/>
    <cellStyle name="Normal 95 4 3 2 3" xfId="15863" xr:uid="{00000000-0005-0000-0000-0000AD850000}"/>
    <cellStyle name="Normal 95 4 3 2 3 2" xfId="32419" xr:uid="{00000000-0005-0000-0000-0000AE850000}"/>
    <cellStyle name="Normal 95 4 3 2 4" xfId="24376" xr:uid="{00000000-0005-0000-0000-0000AF850000}"/>
    <cellStyle name="Normal 95 4 3 3" xfId="10241" xr:uid="{00000000-0005-0000-0000-0000B0850000}"/>
    <cellStyle name="Normal 95 4 3 3 2" xfId="19597" xr:uid="{00000000-0005-0000-0000-0000B1850000}"/>
    <cellStyle name="Normal 95 4 3 3 2 2" xfId="36171" xr:uid="{00000000-0005-0000-0000-0000B2850000}"/>
    <cellStyle name="Normal 95 4 3 3 3" xfId="28124" xr:uid="{00000000-0005-0000-0000-0000B3850000}"/>
    <cellStyle name="Normal 95 4 3 4" xfId="15862" xr:uid="{00000000-0005-0000-0000-0000B4850000}"/>
    <cellStyle name="Normal 95 4 3 4 2" xfId="32418" xr:uid="{00000000-0005-0000-0000-0000B5850000}"/>
    <cellStyle name="Normal 95 4 3 5" xfId="24375" xr:uid="{00000000-0005-0000-0000-0000B6850000}"/>
    <cellStyle name="Normal 95 4 4" xfId="6424" xr:uid="{00000000-0005-0000-0000-0000B7850000}"/>
    <cellStyle name="Normal 95 4 4 2" xfId="10242" xr:uid="{00000000-0005-0000-0000-0000B8850000}"/>
    <cellStyle name="Normal 95 4 4 2 2" xfId="19598" xr:uid="{00000000-0005-0000-0000-0000B9850000}"/>
    <cellStyle name="Normal 95 4 4 2 2 2" xfId="36172" xr:uid="{00000000-0005-0000-0000-0000BA850000}"/>
    <cellStyle name="Normal 95 4 4 2 3" xfId="28125" xr:uid="{00000000-0005-0000-0000-0000BB850000}"/>
    <cellStyle name="Normal 95 4 4 3" xfId="15864" xr:uid="{00000000-0005-0000-0000-0000BC850000}"/>
    <cellStyle name="Normal 95 4 4 3 2" xfId="32420" xr:uid="{00000000-0005-0000-0000-0000BD850000}"/>
    <cellStyle name="Normal 95 4 4 4" xfId="24377" xr:uid="{00000000-0005-0000-0000-0000BE850000}"/>
    <cellStyle name="Normal 95 4 5" xfId="10243" xr:uid="{00000000-0005-0000-0000-0000BF850000}"/>
    <cellStyle name="Normal 95 4 5 2" xfId="19599" xr:uid="{00000000-0005-0000-0000-0000C0850000}"/>
    <cellStyle name="Normal 95 4 5 2 2" xfId="36173" xr:uid="{00000000-0005-0000-0000-0000C1850000}"/>
    <cellStyle name="Normal 95 4 5 3" xfId="28126" xr:uid="{00000000-0005-0000-0000-0000C2850000}"/>
    <cellStyle name="Normal 95 4 6" xfId="15857" xr:uid="{00000000-0005-0000-0000-0000C3850000}"/>
    <cellStyle name="Normal 95 4 6 2" xfId="32413" xr:uid="{00000000-0005-0000-0000-0000C4850000}"/>
    <cellStyle name="Normal 95 4 7" xfId="24370" xr:uid="{00000000-0005-0000-0000-0000C5850000}"/>
    <cellStyle name="Normal 95 5" xfId="6425" xr:uid="{00000000-0005-0000-0000-0000C6850000}"/>
    <cellStyle name="Normal 95 5 2" xfId="6426" xr:uid="{00000000-0005-0000-0000-0000C7850000}"/>
    <cellStyle name="Normal 95 5 2 2" xfId="6427" xr:uid="{00000000-0005-0000-0000-0000C8850000}"/>
    <cellStyle name="Normal 95 5 2 2 2" xfId="6428" xr:uid="{00000000-0005-0000-0000-0000C9850000}"/>
    <cellStyle name="Normal 95 5 2 2 2 2" xfId="10244" xr:uid="{00000000-0005-0000-0000-0000CA850000}"/>
    <cellStyle name="Normal 95 5 2 2 2 2 2" xfId="19600" xr:uid="{00000000-0005-0000-0000-0000CB850000}"/>
    <cellStyle name="Normal 95 5 2 2 2 2 2 2" xfId="36174" xr:uid="{00000000-0005-0000-0000-0000CC850000}"/>
    <cellStyle name="Normal 95 5 2 2 2 2 3" xfId="28127" xr:uid="{00000000-0005-0000-0000-0000CD850000}"/>
    <cellStyle name="Normal 95 5 2 2 2 3" xfId="15868" xr:uid="{00000000-0005-0000-0000-0000CE850000}"/>
    <cellStyle name="Normal 95 5 2 2 2 3 2" xfId="32424" xr:uid="{00000000-0005-0000-0000-0000CF850000}"/>
    <cellStyle name="Normal 95 5 2 2 2 4" xfId="24381" xr:uid="{00000000-0005-0000-0000-0000D0850000}"/>
    <cellStyle name="Normal 95 5 2 2 3" xfId="10245" xr:uid="{00000000-0005-0000-0000-0000D1850000}"/>
    <cellStyle name="Normal 95 5 2 2 3 2" xfId="19601" xr:uid="{00000000-0005-0000-0000-0000D2850000}"/>
    <cellStyle name="Normal 95 5 2 2 3 2 2" xfId="36175" xr:uid="{00000000-0005-0000-0000-0000D3850000}"/>
    <cellStyle name="Normal 95 5 2 2 3 3" xfId="28128" xr:uid="{00000000-0005-0000-0000-0000D4850000}"/>
    <cellStyle name="Normal 95 5 2 2 4" xfId="15867" xr:uid="{00000000-0005-0000-0000-0000D5850000}"/>
    <cellStyle name="Normal 95 5 2 2 4 2" xfId="32423" xr:uid="{00000000-0005-0000-0000-0000D6850000}"/>
    <cellStyle name="Normal 95 5 2 2 5" xfId="24380" xr:uid="{00000000-0005-0000-0000-0000D7850000}"/>
    <cellStyle name="Normal 95 5 2 3" xfId="6429" xr:uid="{00000000-0005-0000-0000-0000D8850000}"/>
    <cellStyle name="Normal 95 5 2 3 2" xfId="10246" xr:uid="{00000000-0005-0000-0000-0000D9850000}"/>
    <cellStyle name="Normal 95 5 2 3 2 2" xfId="19602" xr:uid="{00000000-0005-0000-0000-0000DA850000}"/>
    <cellStyle name="Normal 95 5 2 3 2 2 2" xfId="36176" xr:uid="{00000000-0005-0000-0000-0000DB850000}"/>
    <cellStyle name="Normal 95 5 2 3 2 3" xfId="28129" xr:uid="{00000000-0005-0000-0000-0000DC850000}"/>
    <cellStyle name="Normal 95 5 2 3 3" xfId="15869" xr:uid="{00000000-0005-0000-0000-0000DD850000}"/>
    <cellStyle name="Normal 95 5 2 3 3 2" xfId="32425" xr:uid="{00000000-0005-0000-0000-0000DE850000}"/>
    <cellStyle name="Normal 95 5 2 3 4" xfId="24382" xr:uid="{00000000-0005-0000-0000-0000DF850000}"/>
    <cellStyle name="Normal 95 5 2 4" xfId="10247" xr:uid="{00000000-0005-0000-0000-0000E0850000}"/>
    <cellStyle name="Normal 95 5 2 4 2" xfId="19603" xr:uid="{00000000-0005-0000-0000-0000E1850000}"/>
    <cellStyle name="Normal 95 5 2 4 2 2" xfId="36177" xr:uid="{00000000-0005-0000-0000-0000E2850000}"/>
    <cellStyle name="Normal 95 5 2 4 3" xfId="28130" xr:uid="{00000000-0005-0000-0000-0000E3850000}"/>
    <cellStyle name="Normal 95 5 2 5" xfId="15866" xr:uid="{00000000-0005-0000-0000-0000E4850000}"/>
    <cellStyle name="Normal 95 5 2 5 2" xfId="32422" xr:uid="{00000000-0005-0000-0000-0000E5850000}"/>
    <cellStyle name="Normal 95 5 2 6" xfId="24379" xr:uid="{00000000-0005-0000-0000-0000E6850000}"/>
    <cellStyle name="Normal 95 5 3" xfId="6430" xr:uid="{00000000-0005-0000-0000-0000E7850000}"/>
    <cellStyle name="Normal 95 5 3 2" xfId="6431" xr:uid="{00000000-0005-0000-0000-0000E8850000}"/>
    <cellStyle name="Normal 95 5 3 2 2" xfId="10248" xr:uid="{00000000-0005-0000-0000-0000E9850000}"/>
    <cellStyle name="Normal 95 5 3 2 2 2" xfId="19604" xr:uid="{00000000-0005-0000-0000-0000EA850000}"/>
    <cellStyle name="Normal 95 5 3 2 2 2 2" xfId="36178" xr:uid="{00000000-0005-0000-0000-0000EB850000}"/>
    <cellStyle name="Normal 95 5 3 2 2 3" xfId="28131" xr:uid="{00000000-0005-0000-0000-0000EC850000}"/>
    <cellStyle name="Normal 95 5 3 2 3" xfId="15871" xr:uid="{00000000-0005-0000-0000-0000ED850000}"/>
    <cellStyle name="Normal 95 5 3 2 3 2" xfId="32427" xr:uid="{00000000-0005-0000-0000-0000EE850000}"/>
    <cellStyle name="Normal 95 5 3 2 4" xfId="24384" xr:uid="{00000000-0005-0000-0000-0000EF850000}"/>
    <cellStyle name="Normal 95 5 3 3" xfId="10249" xr:uid="{00000000-0005-0000-0000-0000F0850000}"/>
    <cellStyle name="Normal 95 5 3 3 2" xfId="19605" xr:uid="{00000000-0005-0000-0000-0000F1850000}"/>
    <cellStyle name="Normal 95 5 3 3 2 2" xfId="36179" xr:uid="{00000000-0005-0000-0000-0000F2850000}"/>
    <cellStyle name="Normal 95 5 3 3 3" xfId="28132" xr:uid="{00000000-0005-0000-0000-0000F3850000}"/>
    <cellStyle name="Normal 95 5 3 4" xfId="15870" xr:uid="{00000000-0005-0000-0000-0000F4850000}"/>
    <cellStyle name="Normal 95 5 3 4 2" xfId="32426" xr:uid="{00000000-0005-0000-0000-0000F5850000}"/>
    <cellStyle name="Normal 95 5 3 5" xfId="24383" xr:uid="{00000000-0005-0000-0000-0000F6850000}"/>
    <cellStyle name="Normal 95 5 4" xfId="6432" xr:uid="{00000000-0005-0000-0000-0000F7850000}"/>
    <cellStyle name="Normal 95 5 4 2" xfId="10250" xr:uid="{00000000-0005-0000-0000-0000F8850000}"/>
    <cellStyle name="Normal 95 5 4 2 2" xfId="19606" xr:uid="{00000000-0005-0000-0000-0000F9850000}"/>
    <cellStyle name="Normal 95 5 4 2 2 2" xfId="36180" xr:uid="{00000000-0005-0000-0000-0000FA850000}"/>
    <cellStyle name="Normal 95 5 4 2 3" xfId="28133" xr:uid="{00000000-0005-0000-0000-0000FB850000}"/>
    <cellStyle name="Normal 95 5 4 3" xfId="15872" xr:uid="{00000000-0005-0000-0000-0000FC850000}"/>
    <cellStyle name="Normal 95 5 4 3 2" xfId="32428" xr:uid="{00000000-0005-0000-0000-0000FD850000}"/>
    <cellStyle name="Normal 95 5 4 4" xfId="24385" xr:uid="{00000000-0005-0000-0000-0000FE850000}"/>
    <cellStyle name="Normal 95 5 5" xfId="10251" xr:uid="{00000000-0005-0000-0000-0000FF850000}"/>
    <cellStyle name="Normal 95 5 5 2" xfId="19607" xr:uid="{00000000-0005-0000-0000-000000860000}"/>
    <cellStyle name="Normal 95 5 5 2 2" xfId="36181" xr:uid="{00000000-0005-0000-0000-000001860000}"/>
    <cellStyle name="Normal 95 5 5 3" xfId="28134" xr:uid="{00000000-0005-0000-0000-000002860000}"/>
    <cellStyle name="Normal 95 5 6" xfId="15865" xr:uid="{00000000-0005-0000-0000-000003860000}"/>
    <cellStyle name="Normal 95 5 6 2" xfId="32421" xr:uid="{00000000-0005-0000-0000-000004860000}"/>
    <cellStyle name="Normal 95 5 7" xfId="24378" xr:uid="{00000000-0005-0000-0000-000005860000}"/>
    <cellStyle name="Normal 95 6" xfId="6433" xr:uid="{00000000-0005-0000-0000-000006860000}"/>
    <cellStyle name="Normal 95 6 2" xfId="6434" xr:uid="{00000000-0005-0000-0000-000007860000}"/>
    <cellStyle name="Normal 95 6 2 2" xfId="6435" xr:uid="{00000000-0005-0000-0000-000008860000}"/>
    <cellStyle name="Normal 95 6 2 2 2" xfId="10252" xr:uid="{00000000-0005-0000-0000-000009860000}"/>
    <cellStyle name="Normal 95 6 2 2 2 2" xfId="19608" xr:uid="{00000000-0005-0000-0000-00000A860000}"/>
    <cellStyle name="Normal 95 6 2 2 2 2 2" xfId="36182" xr:uid="{00000000-0005-0000-0000-00000B860000}"/>
    <cellStyle name="Normal 95 6 2 2 2 3" xfId="28135" xr:uid="{00000000-0005-0000-0000-00000C860000}"/>
    <cellStyle name="Normal 95 6 2 2 3" xfId="15875" xr:uid="{00000000-0005-0000-0000-00000D860000}"/>
    <cellStyle name="Normal 95 6 2 2 3 2" xfId="32431" xr:uid="{00000000-0005-0000-0000-00000E860000}"/>
    <cellStyle name="Normal 95 6 2 2 4" xfId="24388" xr:uid="{00000000-0005-0000-0000-00000F860000}"/>
    <cellStyle name="Normal 95 6 2 3" xfId="10253" xr:uid="{00000000-0005-0000-0000-000010860000}"/>
    <cellStyle name="Normal 95 6 2 3 2" xfId="19609" xr:uid="{00000000-0005-0000-0000-000011860000}"/>
    <cellStyle name="Normal 95 6 2 3 2 2" xfId="36183" xr:uid="{00000000-0005-0000-0000-000012860000}"/>
    <cellStyle name="Normal 95 6 2 3 3" xfId="28136" xr:uid="{00000000-0005-0000-0000-000013860000}"/>
    <cellStyle name="Normal 95 6 2 4" xfId="15874" xr:uid="{00000000-0005-0000-0000-000014860000}"/>
    <cellStyle name="Normal 95 6 2 4 2" xfId="32430" xr:uid="{00000000-0005-0000-0000-000015860000}"/>
    <cellStyle name="Normal 95 6 2 5" xfId="24387" xr:uid="{00000000-0005-0000-0000-000016860000}"/>
    <cellStyle name="Normal 95 6 3" xfId="6436" xr:uid="{00000000-0005-0000-0000-000017860000}"/>
    <cellStyle name="Normal 95 6 3 2" xfId="10254" xr:uid="{00000000-0005-0000-0000-000018860000}"/>
    <cellStyle name="Normal 95 6 3 2 2" xfId="19610" xr:uid="{00000000-0005-0000-0000-000019860000}"/>
    <cellStyle name="Normal 95 6 3 2 2 2" xfId="36184" xr:uid="{00000000-0005-0000-0000-00001A860000}"/>
    <cellStyle name="Normal 95 6 3 2 3" xfId="28137" xr:uid="{00000000-0005-0000-0000-00001B860000}"/>
    <cellStyle name="Normal 95 6 3 3" xfId="15876" xr:uid="{00000000-0005-0000-0000-00001C860000}"/>
    <cellStyle name="Normal 95 6 3 3 2" xfId="32432" xr:uid="{00000000-0005-0000-0000-00001D860000}"/>
    <cellStyle name="Normal 95 6 3 4" xfId="24389" xr:uid="{00000000-0005-0000-0000-00001E860000}"/>
    <cellStyle name="Normal 95 6 4" xfId="10255" xr:uid="{00000000-0005-0000-0000-00001F860000}"/>
    <cellStyle name="Normal 95 6 4 2" xfId="19611" xr:uid="{00000000-0005-0000-0000-000020860000}"/>
    <cellStyle name="Normal 95 6 4 2 2" xfId="36185" xr:uid="{00000000-0005-0000-0000-000021860000}"/>
    <cellStyle name="Normal 95 6 4 3" xfId="28138" xr:uid="{00000000-0005-0000-0000-000022860000}"/>
    <cellStyle name="Normal 95 6 5" xfId="15873" xr:uid="{00000000-0005-0000-0000-000023860000}"/>
    <cellStyle name="Normal 95 6 5 2" xfId="32429" xr:uid="{00000000-0005-0000-0000-000024860000}"/>
    <cellStyle name="Normal 95 6 6" xfId="24386" xr:uid="{00000000-0005-0000-0000-000025860000}"/>
    <cellStyle name="Normal 95 7" xfId="6437" xr:uid="{00000000-0005-0000-0000-000026860000}"/>
    <cellStyle name="Normal 95 7 2" xfId="6438" xr:uid="{00000000-0005-0000-0000-000027860000}"/>
    <cellStyle name="Normal 95 7 2 2" xfId="10256" xr:uid="{00000000-0005-0000-0000-000028860000}"/>
    <cellStyle name="Normal 95 7 2 2 2" xfId="19612" xr:uid="{00000000-0005-0000-0000-000029860000}"/>
    <cellStyle name="Normal 95 7 2 2 2 2" xfId="36186" xr:uid="{00000000-0005-0000-0000-00002A860000}"/>
    <cellStyle name="Normal 95 7 2 2 3" xfId="28139" xr:uid="{00000000-0005-0000-0000-00002B860000}"/>
    <cellStyle name="Normal 95 7 2 3" xfId="15878" xr:uid="{00000000-0005-0000-0000-00002C860000}"/>
    <cellStyle name="Normal 95 7 2 3 2" xfId="32434" xr:uid="{00000000-0005-0000-0000-00002D860000}"/>
    <cellStyle name="Normal 95 7 2 4" xfId="24391" xr:uid="{00000000-0005-0000-0000-00002E860000}"/>
    <cellStyle name="Normal 95 7 3" xfId="10257" xr:uid="{00000000-0005-0000-0000-00002F860000}"/>
    <cellStyle name="Normal 95 7 3 2" xfId="19613" xr:uid="{00000000-0005-0000-0000-000030860000}"/>
    <cellStyle name="Normal 95 7 3 2 2" xfId="36187" xr:uid="{00000000-0005-0000-0000-000031860000}"/>
    <cellStyle name="Normal 95 7 3 3" xfId="28140" xr:uid="{00000000-0005-0000-0000-000032860000}"/>
    <cellStyle name="Normal 95 7 4" xfId="15877" xr:uid="{00000000-0005-0000-0000-000033860000}"/>
    <cellStyle name="Normal 95 7 4 2" xfId="32433" xr:uid="{00000000-0005-0000-0000-000034860000}"/>
    <cellStyle name="Normal 95 7 5" xfId="24390" xr:uid="{00000000-0005-0000-0000-000035860000}"/>
    <cellStyle name="Normal 95 8" xfId="6439" xr:uid="{00000000-0005-0000-0000-000036860000}"/>
    <cellStyle name="Normal 95 8 2" xfId="10258" xr:uid="{00000000-0005-0000-0000-000037860000}"/>
    <cellStyle name="Normal 95 8 2 2" xfId="19614" xr:uid="{00000000-0005-0000-0000-000038860000}"/>
    <cellStyle name="Normal 95 8 2 2 2" xfId="36188" xr:uid="{00000000-0005-0000-0000-000039860000}"/>
    <cellStyle name="Normal 95 8 2 3" xfId="28141" xr:uid="{00000000-0005-0000-0000-00003A860000}"/>
    <cellStyle name="Normal 95 8 3" xfId="15879" xr:uid="{00000000-0005-0000-0000-00003B860000}"/>
    <cellStyle name="Normal 95 8 3 2" xfId="32435" xr:uid="{00000000-0005-0000-0000-00003C860000}"/>
    <cellStyle name="Normal 95 8 4" xfId="24392" xr:uid="{00000000-0005-0000-0000-00003D860000}"/>
    <cellStyle name="Normal 95 9" xfId="10259" xr:uid="{00000000-0005-0000-0000-00003E860000}"/>
    <cellStyle name="Normal 95 9 2" xfId="19615" xr:uid="{00000000-0005-0000-0000-00003F860000}"/>
    <cellStyle name="Normal 95 9 2 2" xfId="36189" xr:uid="{00000000-0005-0000-0000-000040860000}"/>
    <cellStyle name="Normal 95 9 3" xfId="28142" xr:uid="{00000000-0005-0000-0000-000041860000}"/>
    <cellStyle name="Normal 96" xfId="6440" xr:uid="{00000000-0005-0000-0000-000042860000}"/>
    <cellStyle name="Normal 96 10" xfId="15880" xr:uid="{00000000-0005-0000-0000-000043860000}"/>
    <cellStyle name="Normal 96 10 2" xfId="32436" xr:uid="{00000000-0005-0000-0000-000044860000}"/>
    <cellStyle name="Normal 96 11" xfId="24393" xr:uid="{00000000-0005-0000-0000-000045860000}"/>
    <cellStyle name="Normal 96 2" xfId="6441" xr:uid="{00000000-0005-0000-0000-000046860000}"/>
    <cellStyle name="Normal 96 2 2" xfId="6442" xr:uid="{00000000-0005-0000-0000-000047860000}"/>
    <cellStyle name="Normal 96 2 3" xfId="15881" xr:uid="{00000000-0005-0000-0000-000048860000}"/>
    <cellStyle name="Normal 96 2 3 2" xfId="32437" xr:uid="{00000000-0005-0000-0000-000049860000}"/>
    <cellStyle name="Normal 96 2 4" xfId="24394" xr:uid="{00000000-0005-0000-0000-00004A860000}"/>
    <cellStyle name="Normal 96 3" xfId="6443" xr:uid="{00000000-0005-0000-0000-00004B860000}"/>
    <cellStyle name="Normal 96 3 2" xfId="6444" xr:uid="{00000000-0005-0000-0000-00004C860000}"/>
    <cellStyle name="Normal 96 3 2 2" xfId="6445" xr:uid="{00000000-0005-0000-0000-00004D860000}"/>
    <cellStyle name="Normal 96 3 2 2 2" xfId="6446" xr:uid="{00000000-0005-0000-0000-00004E860000}"/>
    <cellStyle name="Normal 96 3 2 2 2 2" xfId="10260" xr:uid="{00000000-0005-0000-0000-00004F860000}"/>
    <cellStyle name="Normal 96 3 2 2 2 2 2" xfId="19616" xr:uid="{00000000-0005-0000-0000-000050860000}"/>
    <cellStyle name="Normal 96 3 2 2 2 2 2 2" xfId="36190" xr:uid="{00000000-0005-0000-0000-000051860000}"/>
    <cellStyle name="Normal 96 3 2 2 2 2 3" xfId="28143" xr:uid="{00000000-0005-0000-0000-000052860000}"/>
    <cellStyle name="Normal 96 3 2 2 2 3" xfId="15884" xr:uid="{00000000-0005-0000-0000-000053860000}"/>
    <cellStyle name="Normal 96 3 2 2 2 3 2" xfId="32440" xr:uid="{00000000-0005-0000-0000-000054860000}"/>
    <cellStyle name="Normal 96 3 2 2 2 4" xfId="24397" xr:uid="{00000000-0005-0000-0000-000055860000}"/>
    <cellStyle name="Normal 96 3 2 2 3" xfId="10261" xr:uid="{00000000-0005-0000-0000-000056860000}"/>
    <cellStyle name="Normal 96 3 2 2 3 2" xfId="19617" xr:uid="{00000000-0005-0000-0000-000057860000}"/>
    <cellStyle name="Normal 96 3 2 2 3 2 2" xfId="36191" xr:uid="{00000000-0005-0000-0000-000058860000}"/>
    <cellStyle name="Normal 96 3 2 2 3 3" xfId="28144" xr:uid="{00000000-0005-0000-0000-000059860000}"/>
    <cellStyle name="Normal 96 3 2 2 4" xfId="15883" xr:uid="{00000000-0005-0000-0000-00005A860000}"/>
    <cellStyle name="Normal 96 3 2 2 4 2" xfId="32439" xr:uid="{00000000-0005-0000-0000-00005B860000}"/>
    <cellStyle name="Normal 96 3 2 2 5" xfId="24396" xr:uid="{00000000-0005-0000-0000-00005C860000}"/>
    <cellStyle name="Normal 96 3 2 3" xfId="6447" xr:uid="{00000000-0005-0000-0000-00005D860000}"/>
    <cellStyle name="Normal 96 3 2 3 2" xfId="10262" xr:uid="{00000000-0005-0000-0000-00005E860000}"/>
    <cellStyle name="Normal 96 3 2 3 2 2" xfId="19618" xr:uid="{00000000-0005-0000-0000-00005F860000}"/>
    <cellStyle name="Normal 96 3 2 3 2 2 2" xfId="36192" xr:uid="{00000000-0005-0000-0000-000060860000}"/>
    <cellStyle name="Normal 96 3 2 3 2 3" xfId="28145" xr:uid="{00000000-0005-0000-0000-000061860000}"/>
    <cellStyle name="Normal 96 3 2 3 3" xfId="15885" xr:uid="{00000000-0005-0000-0000-000062860000}"/>
    <cellStyle name="Normal 96 3 2 3 3 2" xfId="32441" xr:uid="{00000000-0005-0000-0000-000063860000}"/>
    <cellStyle name="Normal 96 3 2 3 4" xfId="24398" xr:uid="{00000000-0005-0000-0000-000064860000}"/>
    <cellStyle name="Normal 96 3 2 4" xfId="10263" xr:uid="{00000000-0005-0000-0000-000065860000}"/>
    <cellStyle name="Normal 96 3 2 4 2" xfId="19619" xr:uid="{00000000-0005-0000-0000-000066860000}"/>
    <cellStyle name="Normal 96 3 2 4 2 2" xfId="36193" xr:uid="{00000000-0005-0000-0000-000067860000}"/>
    <cellStyle name="Normal 96 3 2 4 3" xfId="28146" xr:uid="{00000000-0005-0000-0000-000068860000}"/>
    <cellStyle name="Normal 96 3 2 5" xfId="15882" xr:uid="{00000000-0005-0000-0000-000069860000}"/>
    <cellStyle name="Normal 96 3 2 5 2" xfId="32438" xr:uid="{00000000-0005-0000-0000-00006A860000}"/>
    <cellStyle name="Normal 96 3 2 6" xfId="24395" xr:uid="{00000000-0005-0000-0000-00006B860000}"/>
    <cellStyle name="Normal 96 3 3" xfId="6448" xr:uid="{00000000-0005-0000-0000-00006C860000}"/>
    <cellStyle name="Normal 96 3 3 2" xfId="6449" xr:uid="{00000000-0005-0000-0000-00006D860000}"/>
    <cellStyle name="Normal 96 3 3 2 2" xfId="10264" xr:uid="{00000000-0005-0000-0000-00006E860000}"/>
    <cellStyle name="Normal 96 3 3 2 2 2" xfId="19620" xr:uid="{00000000-0005-0000-0000-00006F860000}"/>
    <cellStyle name="Normal 96 3 3 2 2 2 2" xfId="36194" xr:uid="{00000000-0005-0000-0000-000070860000}"/>
    <cellStyle name="Normal 96 3 3 2 2 3" xfId="28147" xr:uid="{00000000-0005-0000-0000-000071860000}"/>
    <cellStyle name="Normal 96 3 3 2 3" xfId="15887" xr:uid="{00000000-0005-0000-0000-000072860000}"/>
    <cellStyle name="Normal 96 3 3 2 3 2" xfId="32443" xr:uid="{00000000-0005-0000-0000-000073860000}"/>
    <cellStyle name="Normal 96 3 3 2 4" xfId="24400" xr:uid="{00000000-0005-0000-0000-000074860000}"/>
    <cellStyle name="Normal 96 3 3 3" xfId="10265" xr:uid="{00000000-0005-0000-0000-000075860000}"/>
    <cellStyle name="Normal 96 3 3 3 2" xfId="19621" xr:uid="{00000000-0005-0000-0000-000076860000}"/>
    <cellStyle name="Normal 96 3 3 3 2 2" xfId="36195" xr:uid="{00000000-0005-0000-0000-000077860000}"/>
    <cellStyle name="Normal 96 3 3 3 3" xfId="28148" xr:uid="{00000000-0005-0000-0000-000078860000}"/>
    <cellStyle name="Normal 96 3 3 4" xfId="15886" xr:uid="{00000000-0005-0000-0000-000079860000}"/>
    <cellStyle name="Normal 96 3 3 4 2" xfId="32442" xr:uid="{00000000-0005-0000-0000-00007A860000}"/>
    <cellStyle name="Normal 96 3 3 5" xfId="24399" xr:uid="{00000000-0005-0000-0000-00007B860000}"/>
    <cellStyle name="Normal 96 3 4" xfId="6450" xr:uid="{00000000-0005-0000-0000-00007C860000}"/>
    <cellStyle name="Normal 96 3 4 2" xfId="10266" xr:uid="{00000000-0005-0000-0000-00007D860000}"/>
    <cellStyle name="Normal 96 3 4 2 2" xfId="19622" xr:uid="{00000000-0005-0000-0000-00007E860000}"/>
    <cellStyle name="Normal 96 3 4 2 2 2" xfId="36196" xr:uid="{00000000-0005-0000-0000-00007F860000}"/>
    <cellStyle name="Normal 96 3 4 2 3" xfId="28149" xr:uid="{00000000-0005-0000-0000-000080860000}"/>
    <cellStyle name="Normal 96 3 4 3" xfId="15888" xr:uid="{00000000-0005-0000-0000-000081860000}"/>
    <cellStyle name="Normal 96 3 4 3 2" xfId="32444" xr:uid="{00000000-0005-0000-0000-000082860000}"/>
    <cellStyle name="Normal 96 3 4 4" xfId="24401" xr:uid="{00000000-0005-0000-0000-000083860000}"/>
    <cellStyle name="Normal 96 3 5" xfId="6451" xr:uid="{00000000-0005-0000-0000-000084860000}"/>
    <cellStyle name="Normal 96 3 5 2" xfId="15889" xr:uid="{00000000-0005-0000-0000-000085860000}"/>
    <cellStyle name="Normal 96 3 5 2 2" xfId="32445" xr:uid="{00000000-0005-0000-0000-000086860000}"/>
    <cellStyle name="Normal 96 3 5 3" xfId="24402" xr:uid="{00000000-0005-0000-0000-000087860000}"/>
    <cellStyle name="Normal 96 4" xfId="6452" xr:uid="{00000000-0005-0000-0000-000088860000}"/>
    <cellStyle name="Normal 96 4 2" xfId="6453" xr:uid="{00000000-0005-0000-0000-000089860000}"/>
    <cellStyle name="Normal 96 4 2 2" xfId="6454" xr:uid="{00000000-0005-0000-0000-00008A860000}"/>
    <cellStyle name="Normal 96 4 2 2 2" xfId="6455" xr:uid="{00000000-0005-0000-0000-00008B860000}"/>
    <cellStyle name="Normal 96 4 2 2 2 2" xfId="10267" xr:uid="{00000000-0005-0000-0000-00008C860000}"/>
    <cellStyle name="Normal 96 4 2 2 2 2 2" xfId="19623" xr:uid="{00000000-0005-0000-0000-00008D860000}"/>
    <cellStyle name="Normal 96 4 2 2 2 2 2 2" xfId="36197" xr:uid="{00000000-0005-0000-0000-00008E860000}"/>
    <cellStyle name="Normal 96 4 2 2 2 2 3" xfId="28150" xr:uid="{00000000-0005-0000-0000-00008F860000}"/>
    <cellStyle name="Normal 96 4 2 2 2 3" xfId="15893" xr:uid="{00000000-0005-0000-0000-000090860000}"/>
    <cellStyle name="Normal 96 4 2 2 2 3 2" xfId="32449" xr:uid="{00000000-0005-0000-0000-000091860000}"/>
    <cellStyle name="Normal 96 4 2 2 2 4" xfId="24406" xr:uid="{00000000-0005-0000-0000-000092860000}"/>
    <cellStyle name="Normal 96 4 2 2 3" xfId="10268" xr:uid="{00000000-0005-0000-0000-000093860000}"/>
    <cellStyle name="Normal 96 4 2 2 3 2" xfId="19624" xr:uid="{00000000-0005-0000-0000-000094860000}"/>
    <cellStyle name="Normal 96 4 2 2 3 2 2" xfId="36198" xr:uid="{00000000-0005-0000-0000-000095860000}"/>
    <cellStyle name="Normal 96 4 2 2 3 3" xfId="28151" xr:uid="{00000000-0005-0000-0000-000096860000}"/>
    <cellStyle name="Normal 96 4 2 2 4" xfId="15892" xr:uid="{00000000-0005-0000-0000-000097860000}"/>
    <cellStyle name="Normal 96 4 2 2 4 2" xfId="32448" xr:uid="{00000000-0005-0000-0000-000098860000}"/>
    <cellStyle name="Normal 96 4 2 2 5" xfId="24405" xr:uid="{00000000-0005-0000-0000-000099860000}"/>
    <cellStyle name="Normal 96 4 2 3" xfId="6456" xr:uid="{00000000-0005-0000-0000-00009A860000}"/>
    <cellStyle name="Normal 96 4 2 3 2" xfId="10269" xr:uid="{00000000-0005-0000-0000-00009B860000}"/>
    <cellStyle name="Normal 96 4 2 3 2 2" xfId="19625" xr:uid="{00000000-0005-0000-0000-00009C860000}"/>
    <cellStyle name="Normal 96 4 2 3 2 2 2" xfId="36199" xr:uid="{00000000-0005-0000-0000-00009D860000}"/>
    <cellStyle name="Normal 96 4 2 3 2 3" xfId="28152" xr:uid="{00000000-0005-0000-0000-00009E860000}"/>
    <cellStyle name="Normal 96 4 2 3 3" xfId="15894" xr:uid="{00000000-0005-0000-0000-00009F860000}"/>
    <cellStyle name="Normal 96 4 2 3 3 2" xfId="32450" xr:uid="{00000000-0005-0000-0000-0000A0860000}"/>
    <cellStyle name="Normal 96 4 2 3 4" xfId="24407" xr:uid="{00000000-0005-0000-0000-0000A1860000}"/>
    <cellStyle name="Normal 96 4 2 4" xfId="10270" xr:uid="{00000000-0005-0000-0000-0000A2860000}"/>
    <cellStyle name="Normal 96 4 2 4 2" xfId="19626" xr:uid="{00000000-0005-0000-0000-0000A3860000}"/>
    <cellStyle name="Normal 96 4 2 4 2 2" xfId="36200" xr:uid="{00000000-0005-0000-0000-0000A4860000}"/>
    <cellStyle name="Normal 96 4 2 4 3" xfId="28153" xr:uid="{00000000-0005-0000-0000-0000A5860000}"/>
    <cellStyle name="Normal 96 4 2 5" xfId="15891" xr:uid="{00000000-0005-0000-0000-0000A6860000}"/>
    <cellStyle name="Normal 96 4 2 5 2" xfId="32447" xr:uid="{00000000-0005-0000-0000-0000A7860000}"/>
    <cellStyle name="Normal 96 4 2 6" xfId="24404" xr:uid="{00000000-0005-0000-0000-0000A8860000}"/>
    <cellStyle name="Normal 96 4 3" xfId="6457" xr:uid="{00000000-0005-0000-0000-0000A9860000}"/>
    <cellStyle name="Normal 96 4 3 2" xfId="6458" xr:uid="{00000000-0005-0000-0000-0000AA860000}"/>
    <cellStyle name="Normal 96 4 3 2 2" xfId="10271" xr:uid="{00000000-0005-0000-0000-0000AB860000}"/>
    <cellStyle name="Normal 96 4 3 2 2 2" xfId="19627" xr:uid="{00000000-0005-0000-0000-0000AC860000}"/>
    <cellStyle name="Normal 96 4 3 2 2 2 2" xfId="36201" xr:uid="{00000000-0005-0000-0000-0000AD860000}"/>
    <cellStyle name="Normal 96 4 3 2 2 3" xfId="28154" xr:uid="{00000000-0005-0000-0000-0000AE860000}"/>
    <cellStyle name="Normal 96 4 3 2 3" xfId="15896" xr:uid="{00000000-0005-0000-0000-0000AF860000}"/>
    <cellStyle name="Normal 96 4 3 2 3 2" xfId="32452" xr:uid="{00000000-0005-0000-0000-0000B0860000}"/>
    <cellStyle name="Normal 96 4 3 2 4" xfId="24409" xr:uid="{00000000-0005-0000-0000-0000B1860000}"/>
    <cellStyle name="Normal 96 4 3 3" xfId="10272" xr:uid="{00000000-0005-0000-0000-0000B2860000}"/>
    <cellStyle name="Normal 96 4 3 3 2" xfId="19628" xr:uid="{00000000-0005-0000-0000-0000B3860000}"/>
    <cellStyle name="Normal 96 4 3 3 2 2" xfId="36202" xr:uid="{00000000-0005-0000-0000-0000B4860000}"/>
    <cellStyle name="Normal 96 4 3 3 3" xfId="28155" xr:uid="{00000000-0005-0000-0000-0000B5860000}"/>
    <cellStyle name="Normal 96 4 3 4" xfId="15895" xr:uid="{00000000-0005-0000-0000-0000B6860000}"/>
    <cellStyle name="Normal 96 4 3 4 2" xfId="32451" xr:uid="{00000000-0005-0000-0000-0000B7860000}"/>
    <cellStyle name="Normal 96 4 3 5" xfId="24408" xr:uid="{00000000-0005-0000-0000-0000B8860000}"/>
    <cellStyle name="Normal 96 4 4" xfId="6459" xr:uid="{00000000-0005-0000-0000-0000B9860000}"/>
    <cellStyle name="Normal 96 4 4 2" xfId="10273" xr:uid="{00000000-0005-0000-0000-0000BA860000}"/>
    <cellStyle name="Normal 96 4 4 2 2" xfId="19629" xr:uid="{00000000-0005-0000-0000-0000BB860000}"/>
    <cellStyle name="Normal 96 4 4 2 2 2" xfId="36203" xr:uid="{00000000-0005-0000-0000-0000BC860000}"/>
    <cellStyle name="Normal 96 4 4 2 3" xfId="28156" xr:uid="{00000000-0005-0000-0000-0000BD860000}"/>
    <cellStyle name="Normal 96 4 4 3" xfId="15897" xr:uid="{00000000-0005-0000-0000-0000BE860000}"/>
    <cellStyle name="Normal 96 4 4 3 2" xfId="32453" xr:uid="{00000000-0005-0000-0000-0000BF860000}"/>
    <cellStyle name="Normal 96 4 4 4" xfId="24410" xr:uid="{00000000-0005-0000-0000-0000C0860000}"/>
    <cellStyle name="Normal 96 4 5" xfId="10274" xr:uid="{00000000-0005-0000-0000-0000C1860000}"/>
    <cellStyle name="Normal 96 4 5 2" xfId="19630" xr:uid="{00000000-0005-0000-0000-0000C2860000}"/>
    <cellStyle name="Normal 96 4 5 2 2" xfId="36204" xr:uid="{00000000-0005-0000-0000-0000C3860000}"/>
    <cellStyle name="Normal 96 4 5 3" xfId="28157" xr:uid="{00000000-0005-0000-0000-0000C4860000}"/>
    <cellStyle name="Normal 96 4 6" xfId="15890" xr:uid="{00000000-0005-0000-0000-0000C5860000}"/>
    <cellStyle name="Normal 96 4 6 2" xfId="32446" xr:uid="{00000000-0005-0000-0000-0000C6860000}"/>
    <cellStyle name="Normal 96 4 7" xfId="24403" xr:uid="{00000000-0005-0000-0000-0000C7860000}"/>
    <cellStyle name="Normal 96 5" xfId="6460" xr:uid="{00000000-0005-0000-0000-0000C8860000}"/>
    <cellStyle name="Normal 96 5 2" xfId="6461" xr:uid="{00000000-0005-0000-0000-0000C9860000}"/>
    <cellStyle name="Normal 96 5 2 2" xfId="6462" xr:uid="{00000000-0005-0000-0000-0000CA860000}"/>
    <cellStyle name="Normal 96 5 2 2 2" xfId="6463" xr:uid="{00000000-0005-0000-0000-0000CB860000}"/>
    <cellStyle name="Normal 96 5 2 2 2 2" xfId="10275" xr:uid="{00000000-0005-0000-0000-0000CC860000}"/>
    <cellStyle name="Normal 96 5 2 2 2 2 2" xfId="19631" xr:uid="{00000000-0005-0000-0000-0000CD860000}"/>
    <cellStyle name="Normal 96 5 2 2 2 2 2 2" xfId="36205" xr:uid="{00000000-0005-0000-0000-0000CE860000}"/>
    <cellStyle name="Normal 96 5 2 2 2 2 3" xfId="28158" xr:uid="{00000000-0005-0000-0000-0000CF860000}"/>
    <cellStyle name="Normal 96 5 2 2 2 3" xfId="15901" xr:uid="{00000000-0005-0000-0000-0000D0860000}"/>
    <cellStyle name="Normal 96 5 2 2 2 3 2" xfId="32457" xr:uid="{00000000-0005-0000-0000-0000D1860000}"/>
    <cellStyle name="Normal 96 5 2 2 2 4" xfId="24414" xr:uid="{00000000-0005-0000-0000-0000D2860000}"/>
    <cellStyle name="Normal 96 5 2 2 3" xfId="10276" xr:uid="{00000000-0005-0000-0000-0000D3860000}"/>
    <cellStyle name="Normal 96 5 2 2 3 2" xfId="19632" xr:uid="{00000000-0005-0000-0000-0000D4860000}"/>
    <cellStyle name="Normal 96 5 2 2 3 2 2" xfId="36206" xr:uid="{00000000-0005-0000-0000-0000D5860000}"/>
    <cellStyle name="Normal 96 5 2 2 3 3" xfId="28159" xr:uid="{00000000-0005-0000-0000-0000D6860000}"/>
    <cellStyle name="Normal 96 5 2 2 4" xfId="15900" xr:uid="{00000000-0005-0000-0000-0000D7860000}"/>
    <cellStyle name="Normal 96 5 2 2 4 2" xfId="32456" xr:uid="{00000000-0005-0000-0000-0000D8860000}"/>
    <cellStyle name="Normal 96 5 2 2 5" xfId="24413" xr:uid="{00000000-0005-0000-0000-0000D9860000}"/>
    <cellStyle name="Normal 96 5 2 3" xfId="6464" xr:uid="{00000000-0005-0000-0000-0000DA860000}"/>
    <cellStyle name="Normal 96 5 2 3 2" xfId="10277" xr:uid="{00000000-0005-0000-0000-0000DB860000}"/>
    <cellStyle name="Normal 96 5 2 3 2 2" xfId="19633" xr:uid="{00000000-0005-0000-0000-0000DC860000}"/>
    <cellStyle name="Normal 96 5 2 3 2 2 2" xfId="36207" xr:uid="{00000000-0005-0000-0000-0000DD860000}"/>
    <cellStyle name="Normal 96 5 2 3 2 3" xfId="28160" xr:uid="{00000000-0005-0000-0000-0000DE860000}"/>
    <cellStyle name="Normal 96 5 2 3 3" xfId="15902" xr:uid="{00000000-0005-0000-0000-0000DF860000}"/>
    <cellStyle name="Normal 96 5 2 3 3 2" xfId="32458" xr:uid="{00000000-0005-0000-0000-0000E0860000}"/>
    <cellStyle name="Normal 96 5 2 3 4" xfId="24415" xr:uid="{00000000-0005-0000-0000-0000E1860000}"/>
    <cellStyle name="Normal 96 5 2 4" xfId="10278" xr:uid="{00000000-0005-0000-0000-0000E2860000}"/>
    <cellStyle name="Normal 96 5 2 4 2" xfId="19634" xr:uid="{00000000-0005-0000-0000-0000E3860000}"/>
    <cellStyle name="Normal 96 5 2 4 2 2" xfId="36208" xr:uid="{00000000-0005-0000-0000-0000E4860000}"/>
    <cellStyle name="Normal 96 5 2 4 3" xfId="28161" xr:uid="{00000000-0005-0000-0000-0000E5860000}"/>
    <cellStyle name="Normal 96 5 2 5" xfId="15899" xr:uid="{00000000-0005-0000-0000-0000E6860000}"/>
    <cellStyle name="Normal 96 5 2 5 2" xfId="32455" xr:uid="{00000000-0005-0000-0000-0000E7860000}"/>
    <cellStyle name="Normal 96 5 2 6" xfId="24412" xr:uid="{00000000-0005-0000-0000-0000E8860000}"/>
    <cellStyle name="Normal 96 5 3" xfId="6465" xr:uid="{00000000-0005-0000-0000-0000E9860000}"/>
    <cellStyle name="Normal 96 5 3 2" xfId="6466" xr:uid="{00000000-0005-0000-0000-0000EA860000}"/>
    <cellStyle name="Normal 96 5 3 2 2" xfId="10279" xr:uid="{00000000-0005-0000-0000-0000EB860000}"/>
    <cellStyle name="Normal 96 5 3 2 2 2" xfId="19635" xr:uid="{00000000-0005-0000-0000-0000EC860000}"/>
    <cellStyle name="Normal 96 5 3 2 2 2 2" xfId="36209" xr:uid="{00000000-0005-0000-0000-0000ED860000}"/>
    <cellStyle name="Normal 96 5 3 2 2 3" xfId="28162" xr:uid="{00000000-0005-0000-0000-0000EE860000}"/>
    <cellStyle name="Normal 96 5 3 2 3" xfId="15904" xr:uid="{00000000-0005-0000-0000-0000EF860000}"/>
    <cellStyle name="Normal 96 5 3 2 3 2" xfId="32460" xr:uid="{00000000-0005-0000-0000-0000F0860000}"/>
    <cellStyle name="Normal 96 5 3 2 4" xfId="24417" xr:uid="{00000000-0005-0000-0000-0000F1860000}"/>
    <cellStyle name="Normal 96 5 3 3" xfId="10280" xr:uid="{00000000-0005-0000-0000-0000F2860000}"/>
    <cellStyle name="Normal 96 5 3 3 2" xfId="19636" xr:uid="{00000000-0005-0000-0000-0000F3860000}"/>
    <cellStyle name="Normal 96 5 3 3 2 2" xfId="36210" xr:uid="{00000000-0005-0000-0000-0000F4860000}"/>
    <cellStyle name="Normal 96 5 3 3 3" xfId="28163" xr:uid="{00000000-0005-0000-0000-0000F5860000}"/>
    <cellStyle name="Normal 96 5 3 4" xfId="15903" xr:uid="{00000000-0005-0000-0000-0000F6860000}"/>
    <cellStyle name="Normal 96 5 3 4 2" xfId="32459" xr:uid="{00000000-0005-0000-0000-0000F7860000}"/>
    <cellStyle name="Normal 96 5 3 5" xfId="24416" xr:uid="{00000000-0005-0000-0000-0000F8860000}"/>
    <cellStyle name="Normal 96 5 4" xfId="6467" xr:uid="{00000000-0005-0000-0000-0000F9860000}"/>
    <cellStyle name="Normal 96 5 4 2" xfId="10281" xr:uid="{00000000-0005-0000-0000-0000FA860000}"/>
    <cellStyle name="Normal 96 5 4 2 2" xfId="19637" xr:uid="{00000000-0005-0000-0000-0000FB860000}"/>
    <cellStyle name="Normal 96 5 4 2 2 2" xfId="36211" xr:uid="{00000000-0005-0000-0000-0000FC860000}"/>
    <cellStyle name="Normal 96 5 4 2 3" xfId="28164" xr:uid="{00000000-0005-0000-0000-0000FD860000}"/>
    <cellStyle name="Normal 96 5 4 3" xfId="15905" xr:uid="{00000000-0005-0000-0000-0000FE860000}"/>
    <cellStyle name="Normal 96 5 4 3 2" xfId="32461" xr:uid="{00000000-0005-0000-0000-0000FF860000}"/>
    <cellStyle name="Normal 96 5 4 4" xfId="24418" xr:uid="{00000000-0005-0000-0000-000000870000}"/>
    <cellStyle name="Normal 96 5 5" xfId="10282" xr:uid="{00000000-0005-0000-0000-000001870000}"/>
    <cellStyle name="Normal 96 5 5 2" xfId="19638" xr:uid="{00000000-0005-0000-0000-000002870000}"/>
    <cellStyle name="Normal 96 5 5 2 2" xfId="36212" xr:uid="{00000000-0005-0000-0000-000003870000}"/>
    <cellStyle name="Normal 96 5 5 3" xfId="28165" xr:uid="{00000000-0005-0000-0000-000004870000}"/>
    <cellStyle name="Normal 96 5 6" xfId="15898" xr:uid="{00000000-0005-0000-0000-000005870000}"/>
    <cellStyle name="Normal 96 5 6 2" xfId="32454" xr:uid="{00000000-0005-0000-0000-000006870000}"/>
    <cellStyle name="Normal 96 5 7" xfId="24411" xr:uid="{00000000-0005-0000-0000-000007870000}"/>
    <cellStyle name="Normal 96 6" xfId="6468" xr:uid="{00000000-0005-0000-0000-000008870000}"/>
    <cellStyle name="Normal 96 6 2" xfId="6469" xr:uid="{00000000-0005-0000-0000-000009870000}"/>
    <cellStyle name="Normal 96 6 2 2" xfId="6470" xr:uid="{00000000-0005-0000-0000-00000A870000}"/>
    <cellStyle name="Normal 96 6 2 2 2" xfId="10283" xr:uid="{00000000-0005-0000-0000-00000B870000}"/>
    <cellStyle name="Normal 96 6 2 2 2 2" xfId="19639" xr:uid="{00000000-0005-0000-0000-00000C870000}"/>
    <cellStyle name="Normal 96 6 2 2 2 2 2" xfId="36213" xr:uid="{00000000-0005-0000-0000-00000D870000}"/>
    <cellStyle name="Normal 96 6 2 2 2 3" xfId="28166" xr:uid="{00000000-0005-0000-0000-00000E870000}"/>
    <cellStyle name="Normal 96 6 2 2 3" xfId="15908" xr:uid="{00000000-0005-0000-0000-00000F870000}"/>
    <cellStyle name="Normal 96 6 2 2 3 2" xfId="32464" xr:uid="{00000000-0005-0000-0000-000010870000}"/>
    <cellStyle name="Normal 96 6 2 2 4" xfId="24421" xr:uid="{00000000-0005-0000-0000-000011870000}"/>
    <cellStyle name="Normal 96 6 2 3" xfId="10284" xr:uid="{00000000-0005-0000-0000-000012870000}"/>
    <cellStyle name="Normal 96 6 2 3 2" xfId="19640" xr:uid="{00000000-0005-0000-0000-000013870000}"/>
    <cellStyle name="Normal 96 6 2 3 2 2" xfId="36214" xr:uid="{00000000-0005-0000-0000-000014870000}"/>
    <cellStyle name="Normal 96 6 2 3 3" xfId="28167" xr:uid="{00000000-0005-0000-0000-000015870000}"/>
    <cellStyle name="Normal 96 6 2 4" xfId="15907" xr:uid="{00000000-0005-0000-0000-000016870000}"/>
    <cellStyle name="Normal 96 6 2 4 2" xfId="32463" xr:uid="{00000000-0005-0000-0000-000017870000}"/>
    <cellStyle name="Normal 96 6 2 5" xfId="24420" xr:uid="{00000000-0005-0000-0000-000018870000}"/>
    <cellStyle name="Normal 96 6 3" xfId="6471" xr:uid="{00000000-0005-0000-0000-000019870000}"/>
    <cellStyle name="Normal 96 6 3 2" xfId="10285" xr:uid="{00000000-0005-0000-0000-00001A870000}"/>
    <cellStyle name="Normal 96 6 3 2 2" xfId="19641" xr:uid="{00000000-0005-0000-0000-00001B870000}"/>
    <cellStyle name="Normal 96 6 3 2 2 2" xfId="36215" xr:uid="{00000000-0005-0000-0000-00001C870000}"/>
    <cellStyle name="Normal 96 6 3 2 3" xfId="28168" xr:uid="{00000000-0005-0000-0000-00001D870000}"/>
    <cellStyle name="Normal 96 6 3 3" xfId="15909" xr:uid="{00000000-0005-0000-0000-00001E870000}"/>
    <cellStyle name="Normal 96 6 3 3 2" xfId="32465" xr:uid="{00000000-0005-0000-0000-00001F870000}"/>
    <cellStyle name="Normal 96 6 3 4" xfId="24422" xr:uid="{00000000-0005-0000-0000-000020870000}"/>
    <cellStyle name="Normal 96 6 4" xfId="10286" xr:uid="{00000000-0005-0000-0000-000021870000}"/>
    <cellStyle name="Normal 96 6 4 2" xfId="19642" xr:uid="{00000000-0005-0000-0000-000022870000}"/>
    <cellStyle name="Normal 96 6 4 2 2" xfId="36216" xr:uid="{00000000-0005-0000-0000-000023870000}"/>
    <cellStyle name="Normal 96 6 4 3" xfId="28169" xr:uid="{00000000-0005-0000-0000-000024870000}"/>
    <cellStyle name="Normal 96 6 5" xfId="15906" xr:uid="{00000000-0005-0000-0000-000025870000}"/>
    <cellStyle name="Normal 96 6 5 2" xfId="32462" xr:uid="{00000000-0005-0000-0000-000026870000}"/>
    <cellStyle name="Normal 96 6 6" xfId="24419" xr:uid="{00000000-0005-0000-0000-000027870000}"/>
    <cellStyle name="Normal 96 7" xfId="6472" xr:uid="{00000000-0005-0000-0000-000028870000}"/>
    <cellStyle name="Normal 96 7 2" xfId="6473" xr:uid="{00000000-0005-0000-0000-000029870000}"/>
    <cellStyle name="Normal 96 7 2 2" xfId="10287" xr:uid="{00000000-0005-0000-0000-00002A870000}"/>
    <cellStyle name="Normal 96 7 2 2 2" xfId="19643" xr:uid="{00000000-0005-0000-0000-00002B870000}"/>
    <cellStyle name="Normal 96 7 2 2 2 2" xfId="36217" xr:uid="{00000000-0005-0000-0000-00002C870000}"/>
    <cellStyle name="Normal 96 7 2 2 3" xfId="28170" xr:uid="{00000000-0005-0000-0000-00002D870000}"/>
    <cellStyle name="Normal 96 7 2 3" xfId="15911" xr:uid="{00000000-0005-0000-0000-00002E870000}"/>
    <cellStyle name="Normal 96 7 2 3 2" xfId="32467" xr:uid="{00000000-0005-0000-0000-00002F870000}"/>
    <cellStyle name="Normal 96 7 2 4" xfId="24424" xr:uid="{00000000-0005-0000-0000-000030870000}"/>
    <cellStyle name="Normal 96 7 3" xfId="10288" xr:uid="{00000000-0005-0000-0000-000031870000}"/>
    <cellStyle name="Normal 96 7 3 2" xfId="19644" xr:uid="{00000000-0005-0000-0000-000032870000}"/>
    <cellStyle name="Normal 96 7 3 2 2" xfId="36218" xr:uid="{00000000-0005-0000-0000-000033870000}"/>
    <cellStyle name="Normal 96 7 3 3" xfId="28171" xr:uid="{00000000-0005-0000-0000-000034870000}"/>
    <cellStyle name="Normal 96 7 4" xfId="15910" xr:uid="{00000000-0005-0000-0000-000035870000}"/>
    <cellStyle name="Normal 96 7 4 2" xfId="32466" xr:uid="{00000000-0005-0000-0000-000036870000}"/>
    <cellStyle name="Normal 96 7 5" xfId="24423" xr:uid="{00000000-0005-0000-0000-000037870000}"/>
    <cellStyle name="Normal 96 8" xfId="6474" xr:uid="{00000000-0005-0000-0000-000038870000}"/>
    <cellStyle name="Normal 96 8 2" xfId="10289" xr:uid="{00000000-0005-0000-0000-000039870000}"/>
    <cellStyle name="Normal 96 8 2 2" xfId="19645" xr:uid="{00000000-0005-0000-0000-00003A870000}"/>
    <cellStyle name="Normal 96 8 2 2 2" xfId="36219" xr:uid="{00000000-0005-0000-0000-00003B870000}"/>
    <cellStyle name="Normal 96 8 2 3" xfId="28172" xr:uid="{00000000-0005-0000-0000-00003C870000}"/>
    <cellStyle name="Normal 96 8 3" xfId="15912" xr:uid="{00000000-0005-0000-0000-00003D870000}"/>
    <cellStyle name="Normal 96 8 3 2" xfId="32468" xr:uid="{00000000-0005-0000-0000-00003E870000}"/>
    <cellStyle name="Normal 96 8 4" xfId="24425" xr:uid="{00000000-0005-0000-0000-00003F870000}"/>
    <cellStyle name="Normal 96 9" xfId="10290" xr:uid="{00000000-0005-0000-0000-000040870000}"/>
    <cellStyle name="Normal 96 9 2" xfId="19646" xr:uid="{00000000-0005-0000-0000-000041870000}"/>
    <cellStyle name="Normal 96 9 2 2" xfId="36220" xr:uid="{00000000-0005-0000-0000-000042870000}"/>
    <cellStyle name="Normal 96 9 3" xfId="28173" xr:uid="{00000000-0005-0000-0000-000043870000}"/>
    <cellStyle name="Normal 97" xfId="6475" xr:uid="{00000000-0005-0000-0000-000044870000}"/>
    <cellStyle name="Normal 97 10" xfId="15913" xr:uid="{00000000-0005-0000-0000-000045870000}"/>
    <cellStyle name="Normal 97 10 2" xfId="32469" xr:uid="{00000000-0005-0000-0000-000046870000}"/>
    <cellStyle name="Normal 97 11" xfId="24426" xr:uid="{00000000-0005-0000-0000-000047870000}"/>
    <cellStyle name="Normal 97 2" xfId="6476" xr:uid="{00000000-0005-0000-0000-000048870000}"/>
    <cellStyle name="Normal 97 2 2" xfId="6477" xr:uid="{00000000-0005-0000-0000-000049870000}"/>
    <cellStyle name="Normal 97 2 3" xfId="15914" xr:uid="{00000000-0005-0000-0000-00004A870000}"/>
    <cellStyle name="Normal 97 2 3 2" xfId="32470" xr:uid="{00000000-0005-0000-0000-00004B870000}"/>
    <cellStyle name="Normal 97 2 4" xfId="24427" xr:uid="{00000000-0005-0000-0000-00004C870000}"/>
    <cellStyle name="Normal 97 3" xfId="6478" xr:uid="{00000000-0005-0000-0000-00004D870000}"/>
    <cellStyle name="Normal 97 3 2" xfId="6479" xr:uid="{00000000-0005-0000-0000-00004E870000}"/>
    <cellStyle name="Normal 97 3 2 2" xfId="6480" xr:uid="{00000000-0005-0000-0000-00004F870000}"/>
    <cellStyle name="Normal 97 3 2 2 2" xfId="6481" xr:uid="{00000000-0005-0000-0000-000050870000}"/>
    <cellStyle name="Normal 97 3 2 2 2 2" xfId="10291" xr:uid="{00000000-0005-0000-0000-000051870000}"/>
    <cellStyle name="Normal 97 3 2 2 2 2 2" xfId="19647" xr:uid="{00000000-0005-0000-0000-000052870000}"/>
    <cellStyle name="Normal 97 3 2 2 2 2 2 2" xfId="36221" xr:uid="{00000000-0005-0000-0000-000053870000}"/>
    <cellStyle name="Normal 97 3 2 2 2 2 3" xfId="28174" xr:uid="{00000000-0005-0000-0000-000054870000}"/>
    <cellStyle name="Normal 97 3 2 2 2 3" xfId="15917" xr:uid="{00000000-0005-0000-0000-000055870000}"/>
    <cellStyle name="Normal 97 3 2 2 2 3 2" xfId="32473" xr:uid="{00000000-0005-0000-0000-000056870000}"/>
    <cellStyle name="Normal 97 3 2 2 2 4" xfId="24430" xr:uid="{00000000-0005-0000-0000-000057870000}"/>
    <cellStyle name="Normal 97 3 2 2 3" xfId="10292" xr:uid="{00000000-0005-0000-0000-000058870000}"/>
    <cellStyle name="Normal 97 3 2 2 3 2" xfId="19648" xr:uid="{00000000-0005-0000-0000-000059870000}"/>
    <cellStyle name="Normal 97 3 2 2 3 2 2" xfId="36222" xr:uid="{00000000-0005-0000-0000-00005A870000}"/>
    <cellStyle name="Normal 97 3 2 2 3 3" xfId="28175" xr:uid="{00000000-0005-0000-0000-00005B870000}"/>
    <cellStyle name="Normal 97 3 2 2 4" xfId="15916" xr:uid="{00000000-0005-0000-0000-00005C870000}"/>
    <cellStyle name="Normal 97 3 2 2 4 2" xfId="32472" xr:uid="{00000000-0005-0000-0000-00005D870000}"/>
    <cellStyle name="Normal 97 3 2 2 5" xfId="24429" xr:uid="{00000000-0005-0000-0000-00005E870000}"/>
    <cellStyle name="Normal 97 3 2 3" xfId="6482" xr:uid="{00000000-0005-0000-0000-00005F870000}"/>
    <cellStyle name="Normal 97 3 2 3 2" xfId="10293" xr:uid="{00000000-0005-0000-0000-000060870000}"/>
    <cellStyle name="Normal 97 3 2 3 2 2" xfId="19649" xr:uid="{00000000-0005-0000-0000-000061870000}"/>
    <cellStyle name="Normal 97 3 2 3 2 2 2" xfId="36223" xr:uid="{00000000-0005-0000-0000-000062870000}"/>
    <cellStyle name="Normal 97 3 2 3 2 3" xfId="28176" xr:uid="{00000000-0005-0000-0000-000063870000}"/>
    <cellStyle name="Normal 97 3 2 3 3" xfId="15918" xr:uid="{00000000-0005-0000-0000-000064870000}"/>
    <cellStyle name="Normal 97 3 2 3 3 2" xfId="32474" xr:uid="{00000000-0005-0000-0000-000065870000}"/>
    <cellStyle name="Normal 97 3 2 3 4" xfId="24431" xr:uid="{00000000-0005-0000-0000-000066870000}"/>
    <cellStyle name="Normal 97 3 2 4" xfId="10294" xr:uid="{00000000-0005-0000-0000-000067870000}"/>
    <cellStyle name="Normal 97 3 2 4 2" xfId="19650" xr:uid="{00000000-0005-0000-0000-000068870000}"/>
    <cellStyle name="Normal 97 3 2 4 2 2" xfId="36224" xr:uid="{00000000-0005-0000-0000-000069870000}"/>
    <cellStyle name="Normal 97 3 2 4 3" xfId="28177" xr:uid="{00000000-0005-0000-0000-00006A870000}"/>
    <cellStyle name="Normal 97 3 2 5" xfId="15915" xr:uid="{00000000-0005-0000-0000-00006B870000}"/>
    <cellStyle name="Normal 97 3 2 5 2" xfId="32471" xr:uid="{00000000-0005-0000-0000-00006C870000}"/>
    <cellStyle name="Normal 97 3 2 6" xfId="24428" xr:uid="{00000000-0005-0000-0000-00006D870000}"/>
    <cellStyle name="Normal 97 3 3" xfId="6483" xr:uid="{00000000-0005-0000-0000-00006E870000}"/>
    <cellStyle name="Normal 97 3 3 2" xfId="6484" xr:uid="{00000000-0005-0000-0000-00006F870000}"/>
    <cellStyle name="Normal 97 3 3 2 2" xfId="10295" xr:uid="{00000000-0005-0000-0000-000070870000}"/>
    <cellStyle name="Normal 97 3 3 2 2 2" xfId="19651" xr:uid="{00000000-0005-0000-0000-000071870000}"/>
    <cellStyle name="Normal 97 3 3 2 2 2 2" xfId="36225" xr:uid="{00000000-0005-0000-0000-000072870000}"/>
    <cellStyle name="Normal 97 3 3 2 2 3" xfId="28178" xr:uid="{00000000-0005-0000-0000-000073870000}"/>
    <cellStyle name="Normal 97 3 3 2 3" xfId="15920" xr:uid="{00000000-0005-0000-0000-000074870000}"/>
    <cellStyle name="Normal 97 3 3 2 3 2" xfId="32476" xr:uid="{00000000-0005-0000-0000-000075870000}"/>
    <cellStyle name="Normal 97 3 3 2 4" xfId="24433" xr:uid="{00000000-0005-0000-0000-000076870000}"/>
    <cellStyle name="Normal 97 3 3 3" xfId="10296" xr:uid="{00000000-0005-0000-0000-000077870000}"/>
    <cellStyle name="Normal 97 3 3 3 2" xfId="19652" xr:uid="{00000000-0005-0000-0000-000078870000}"/>
    <cellStyle name="Normal 97 3 3 3 2 2" xfId="36226" xr:uid="{00000000-0005-0000-0000-000079870000}"/>
    <cellStyle name="Normal 97 3 3 3 3" xfId="28179" xr:uid="{00000000-0005-0000-0000-00007A870000}"/>
    <cellStyle name="Normal 97 3 3 4" xfId="15919" xr:uid="{00000000-0005-0000-0000-00007B870000}"/>
    <cellStyle name="Normal 97 3 3 4 2" xfId="32475" xr:uid="{00000000-0005-0000-0000-00007C870000}"/>
    <cellStyle name="Normal 97 3 3 5" xfId="24432" xr:uid="{00000000-0005-0000-0000-00007D870000}"/>
    <cellStyle name="Normal 97 3 4" xfId="6485" xr:uid="{00000000-0005-0000-0000-00007E870000}"/>
    <cellStyle name="Normal 97 3 4 2" xfId="10297" xr:uid="{00000000-0005-0000-0000-00007F870000}"/>
    <cellStyle name="Normal 97 3 4 2 2" xfId="19653" xr:uid="{00000000-0005-0000-0000-000080870000}"/>
    <cellStyle name="Normal 97 3 4 2 2 2" xfId="36227" xr:uid="{00000000-0005-0000-0000-000081870000}"/>
    <cellStyle name="Normal 97 3 4 2 3" xfId="28180" xr:uid="{00000000-0005-0000-0000-000082870000}"/>
    <cellStyle name="Normal 97 3 4 3" xfId="15921" xr:uid="{00000000-0005-0000-0000-000083870000}"/>
    <cellStyle name="Normal 97 3 4 3 2" xfId="32477" xr:uid="{00000000-0005-0000-0000-000084870000}"/>
    <cellStyle name="Normal 97 3 4 4" xfId="24434" xr:uid="{00000000-0005-0000-0000-000085870000}"/>
    <cellStyle name="Normal 97 3 5" xfId="6486" xr:uid="{00000000-0005-0000-0000-000086870000}"/>
    <cellStyle name="Normal 97 3 5 2" xfId="15922" xr:uid="{00000000-0005-0000-0000-000087870000}"/>
    <cellStyle name="Normal 97 3 5 2 2" xfId="32478" xr:uid="{00000000-0005-0000-0000-000088870000}"/>
    <cellStyle name="Normal 97 3 5 3" xfId="24435" xr:uid="{00000000-0005-0000-0000-000089870000}"/>
    <cellStyle name="Normal 97 4" xfId="6487" xr:uid="{00000000-0005-0000-0000-00008A870000}"/>
    <cellStyle name="Normal 97 4 2" xfId="6488" xr:uid="{00000000-0005-0000-0000-00008B870000}"/>
    <cellStyle name="Normal 97 4 2 2" xfId="6489" xr:uid="{00000000-0005-0000-0000-00008C870000}"/>
    <cellStyle name="Normal 97 4 2 2 2" xfId="6490" xr:uid="{00000000-0005-0000-0000-00008D870000}"/>
    <cellStyle name="Normal 97 4 2 2 2 2" xfId="10298" xr:uid="{00000000-0005-0000-0000-00008E870000}"/>
    <cellStyle name="Normal 97 4 2 2 2 2 2" xfId="19654" xr:uid="{00000000-0005-0000-0000-00008F870000}"/>
    <cellStyle name="Normal 97 4 2 2 2 2 2 2" xfId="36228" xr:uid="{00000000-0005-0000-0000-000090870000}"/>
    <cellStyle name="Normal 97 4 2 2 2 2 3" xfId="28181" xr:uid="{00000000-0005-0000-0000-000091870000}"/>
    <cellStyle name="Normal 97 4 2 2 2 3" xfId="15926" xr:uid="{00000000-0005-0000-0000-000092870000}"/>
    <cellStyle name="Normal 97 4 2 2 2 3 2" xfId="32482" xr:uid="{00000000-0005-0000-0000-000093870000}"/>
    <cellStyle name="Normal 97 4 2 2 2 4" xfId="24439" xr:uid="{00000000-0005-0000-0000-000094870000}"/>
    <cellStyle name="Normal 97 4 2 2 3" xfId="10299" xr:uid="{00000000-0005-0000-0000-000095870000}"/>
    <cellStyle name="Normal 97 4 2 2 3 2" xfId="19655" xr:uid="{00000000-0005-0000-0000-000096870000}"/>
    <cellStyle name="Normal 97 4 2 2 3 2 2" xfId="36229" xr:uid="{00000000-0005-0000-0000-000097870000}"/>
    <cellStyle name="Normal 97 4 2 2 3 3" xfId="28182" xr:uid="{00000000-0005-0000-0000-000098870000}"/>
    <cellStyle name="Normal 97 4 2 2 4" xfId="15925" xr:uid="{00000000-0005-0000-0000-000099870000}"/>
    <cellStyle name="Normal 97 4 2 2 4 2" xfId="32481" xr:uid="{00000000-0005-0000-0000-00009A870000}"/>
    <cellStyle name="Normal 97 4 2 2 5" xfId="24438" xr:uid="{00000000-0005-0000-0000-00009B870000}"/>
    <cellStyle name="Normal 97 4 2 3" xfId="6491" xr:uid="{00000000-0005-0000-0000-00009C870000}"/>
    <cellStyle name="Normal 97 4 2 3 2" xfId="10300" xr:uid="{00000000-0005-0000-0000-00009D870000}"/>
    <cellStyle name="Normal 97 4 2 3 2 2" xfId="19656" xr:uid="{00000000-0005-0000-0000-00009E870000}"/>
    <cellStyle name="Normal 97 4 2 3 2 2 2" xfId="36230" xr:uid="{00000000-0005-0000-0000-00009F870000}"/>
    <cellStyle name="Normal 97 4 2 3 2 3" xfId="28183" xr:uid="{00000000-0005-0000-0000-0000A0870000}"/>
    <cellStyle name="Normal 97 4 2 3 3" xfId="15927" xr:uid="{00000000-0005-0000-0000-0000A1870000}"/>
    <cellStyle name="Normal 97 4 2 3 3 2" xfId="32483" xr:uid="{00000000-0005-0000-0000-0000A2870000}"/>
    <cellStyle name="Normal 97 4 2 3 4" xfId="24440" xr:uid="{00000000-0005-0000-0000-0000A3870000}"/>
    <cellStyle name="Normal 97 4 2 4" xfId="10301" xr:uid="{00000000-0005-0000-0000-0000A4870000}"/>
    <cellStyle name="Normal 97 4 2 4 2" xfId="19657" xr:uid="{00000000-0005-0000-0000-0000A5870000}"/>
    <cellStyle name="Normal 97 4 2 4 2 2" xfId="36231" xr:uid="{00000000-0005-0000-0000-0000A6870000}"/>
    <cellStyle name="Normal 97 4 2 4 3" xfId="28184" xr:uid="{00000000-0005-0000-0000-0000A7870000}"/>
    <cellStyle name="Normal 97 4 2 5" xfId="15924" xr:uid="{00000000-0005-0000-0000-0000A8870000}"/>
    <cellStyle name="Normal 97 4 2 5 2" xfId="32480" xr:uid="{00000000-0005-0000-0000-0000A9870000}"/>
    <cellStyle name="Normal 97 4 2 6" xfId="24437" xr:uid="{00000000-0005-0000-0000-0000AA870000}"/>
    <cellStyle name="Normal 97 4 3" xfId="6492" xr:uid="{00000000-0005-0000-0000-0000AB870000}"/>
    <cellStyle name="Normal 97 4 3 2" xfId="6493" xr:uid="{00000000-0005-0000-0000-0000AC870000}"/>
    <cellStyle name="Normal 97 4 3 2 2" xfId="10302" xr:uid="{00000000-0005-0000-0000-0000AD870000}"/>
    <cellStyle name="Normal 97 4 3 2 2 2" xfId="19658" xr:uid="{00000000-0005-0000-0000-0000AE870000}"/>
    <cellStyle name="Normal 97 4 3 2 2 2 2" xfId="36232" xr:uid="{00000000-0005-0000-0000-0000AF870000}"/>
    <cellStyle name="Normal 97 4 3 2 2 3" xfId="28185" xr:uid="{00000000-0005-0000-0000-0000B0870000}"/>
    <cellStyle name="Normal 97 4 3 2 3" xfId="15929" xr:uid="{00000000-0005-0000-0000-0000B1870000}"/>
    <cellStyle name="Normal 97 4 3 2 3 2" xfId="32485" xr:uid="{00000000-0005-0000-0000-0000B2870000}"/>
    <cellStyle name="Normal 97 4 3 2 4" xfId="24442" xr:uid="{00000000-0005-0000-0000-0000B3870000}"/>
    <cellStyle name="Normal 97 4 3 3" xfId="10303" xr:uid="{00000000-0005-0000-0000-0000B4870000}"/>
    <cellStyle name="Normal 97 4 3 3 2" xfId="19659" xr:uid="{00000000-0005-0000-0000-0000B5870000}"/>
    <cellStyle name="Normal 97 4 3 3 2 2" xfId="36233" xr:uid="{00000000-0005-0000-0000-0000B6870000}"/>
    <cellStyle name="Normal 97 4 3 3 3" xfId="28186" xr:uid="{00000000-0005-0000-0000-0000B7870000}"/>
    <cellStyle name="Normal 97 4 3 4" xfId="15928" xr:uid="{00000000-0005-0000-0000-0000B8870000}"/>
    <cellStyle name="Normal 97 4 3 4 2" xfId="32484" xr:uid="{00000000-0005-0000-0000-0000B9870000}"/>
    <cellStyle name="Normal 97 4 3 5" xfId="24441" xr:uid="{00000000-0005-0000-0000-0000BA870000}"/>
    <cellStyle name="Normal 97 4 4" xfId="6494" xr:uid="{00000000-0005-0000-0000-0000BB870000}"/>
    <cellStyle name="Normal 97 4 4 2" xfId="10304" xr:uid="{00000000-0005-0000-0000-0000BC870000}"/>
    <cellStyle name="Normal 97 4 4 2 2" xfId="19660" xr:uid="{00000000-0005-0000-0000-0000BD870000}"/>
    <cellStyle name="Normal 97 4 4 2 2 2" xfId="36234" xr:uid="{00000000-0005-0000-0000-0000BE870000}"/>
    <cellStyle name="Normal 97 4 4 2 3" xfId="28187" xr:uid="{00000000-0005-0000-0000-0000BF870000}"/>
    <cellStyle name="Normal 97 4 4 3" xfId="15930" xr:uid="{00000000-0005-0000-0000-0000C0870000}"/>
    <cellStyle name="Normal 97 4 4 3 2" xfId="32486" xr:uid="{00000000-0005-0000-0000-0000C1870000}"/>
    <cellStyle name="Normal 97 4 4 4" xfId="24443" xr:uid="{00000000-0005-0000-0000-0000C2870000}"/>
    <cellStyle name="Normal 97 4 5" xfId="10305" xr:uid="{00000000-0005-0000-0000-0000C3870000}"/>
    <cellStyle name="Normal 97 4 5 2" xfId="19661" xr:uid="{00000000-0005-0000-0000-0000C4870000}"/>
    <cellStyle name="Normal 97 4 5 2 2" xfId="36235" xr:uid="{00000000-0005-0000-0000-0000C5870000}"/>
    <cellStyle name="Normal 97 4 5 3" xfId="28188" xr:uid="{00000000-0005-0000-0000-0000C6870000}"/>
    <cellStyle name="Normal 97 4 6" xfId="15923" xr:uid="{00000000-0005-0000-0000-0000C7870000}"/>
    <cellStyle name="Normal 97 4 6 2" xfId="32479" xr:uid="{00000000-0005-0000-0000-0000C8870000}"/>
    <cellStyle name="Normal 97 4 7" xfId="24436" xr:uid="{00000000-0005-0000-0000-0000C9870000}"/>
    <cellStyle name="Normal 97 5" xfId="6495" xr:uid="{00000000-0005-0000-0000-0000CA870000}"/>
    <cellStyle name="Normal 97 5 2" xfId="6496" xr:uid="{00000000-0005-0000-0000-0000CB870000}"/>
    <cellStyle name="Normal 97 5 2 2" xfId="6497" xr:uid="{00000000-0005-0000-0000-0000CC870000}"/>
    <cellStyle name="Normal 97 5 2 2 2" xfId="6498" xr:uid="{00000000-0005-0000-0000-0000CD870000}"/>
    <cellStyle name="Normal 97 5 2 2 2 2" xfId="10306" xr:uid="{00000000-0005-0000-0000-0000CE870000}"/>
    <cellStyle name="Normal 97 5 2 2 2 2 2" xfId="19662" xr:uid="{00000000-0005-0000-0000-0000CF870000}"/>
    <cellStyle name="Normal 97 5 2 2 2 2 2 2" xfId="36236" xr:uid="{00000000-0005-0000-0000-0000D0870000}"/>
    <cellStyle name="Normal 97 5 2 2 2 2 3" xfId="28189" xr:uid="{00000000-0005-0000-0000-0000D1870000}"/>
    <cellStyle name="Normal 97 5 2 2 2 3" xfId="15934" xr:uid="{00000000-0005-0000-0000-0000D2870000}"/>
    <cellStyle name="Normal 97 5 2 2 2 3 2" xfId="32490" xr:uid="{00000000-0005-0000-0000-0000D3870000}"/>
    <cellStyle name="Normal 97 5 2 2 2 4" xfId="24447" xr:uid="{00000000-0005-0000-0000-0000D4870000}"/>
    <cellStyle name="Normal 97 5 2 2 3" xfId="10307" xr:uid="{00000000-0005-0000-0000-0000D5870000}"/>
    <cellStyle name="Normal 97 5 2 2 3 2" xfId="19663" xr:uid="{00000000-0005-0000-0000-0000D6870000}"/>
    <cellStyle name="Normal 97 5 2 2 3 2 2" xfId="36237" xr:uid="{00000000-0005-0000-0000-0000D7870000}"/>
    <cellStyle name="Normal 97 5 2 2 3 3" xfId="28190" xr:uid="{00000000-0005-0000-0000-0000D8870000}"/>
    <cellStyle name="Normal 97 5 2 2 4" xfId="15933" xr:uid="{00000000-0005-0000-0000-0000D9870000}"/>
    <cellStyle name="Normal 97 5 2 2 4 2" xfId="32489" xr:uid="{00000000-0005-0000-0000-0000DA870000}"/>
    <cellStyle name="Normal 97 5 2 2 5" xfId="24446" xr:uid="{00000000-0005-0000-0000-0000DB870000}"/>
    <cellStyle name="Normal 97 5 2 3" xfId="6499" xr:uid="{00000000-0005-0000-0000-0000DC870000}"/>
    <cellStyle name="Normal 97 5 2 3 2" xfId="10308" xr:uid="{00000000-0005-0000-0000-0000DD870000}"/>
    <cellStyle name="Normal 97 5 2 3 2 2" xfId="19664" xr:uid="{00000000-0005-0000-0000-0000DE870000}"/>
    <cellStyle name="Normal 97 5 2 3 2 2 2" xfId="36238" xr:uid="{00000000-0005-0000-0000-0000DF870000}"/>
    <cellStyle name="Normal 97 5 2 3 2 3" xfId="28191" xr:uid="{00000000-0005-0000-0000-0000E0870000}"/>
    <cellStyle name="Normal 97 5 2 3 3" xfId="15935" xr:uid="{00000000-0005-0000-0000-0000E1870000}"/>
    <cellStyle name="Normal 97 5 2 3 3 2" xfId="32491" xr:uid="{00000000-0005-0000-0000-0000E2870000}"/>
    <cellStyle name="Normal 97 5 2 3 4" xfId="24448" xr:uid="{00000000-0005-0000-0000-0000E3870000}"/>
    <cellStyle name="Normal 97 5 2 4" xfId="10309" xr:uid="{00000000-0005-0000-0000-0000E4870000}"/>
    <cellStyle name="Normal 97 5 2 4 2" xfId="19665" xr:uid="{00000000-0005-0000-0000-0000E5870000}"/>
    <cellStyle name="Normal 97 5 2 4 2 2" xfId="36239" xr:uid="{00000000-0005-0000-0000-0000E6870000}"/>
    <cellStyle name="Normal 97 5 2 4 3" xfId="28192" xr:uid="{00000000-0005-0000-0000-0000E7870000}"/>
    <cellStyle name="Normal 97 5 2 5" xfId="15932" xr:uid="{00000000-0005-0000-0000-0000E8870000}"/>
    <cellStyle name="Normal 97 5 2 5 2" xfId="32488" xr:uid="{00000000-0005-0000-0000-0000E9870000}"/>
    <cellStyle name="Normal 97 5 2 6" xfId="24445" xr:uid="{00000000-0005-0000-0000-0000EA870000}"/>
    <cellStyle name="Normal 97 5 3" xfId="6500" xr:uid="{00000000-0005-0000-0000-0000EB870000}"/>
    <cellStyle name="Normal 97 5 3 2" xfId="6501" xr:uid="{00000000-0005-0000-0000-0000EC870000}"/>
    <cellStyle name="Normal 97 5 3 2 2" xfId="10310" xr:uid="{00000000-0005-0000-0000-0000ED870000}"/>
    <cellStyle name="Normal 97 5 3 2 2 2" xfId="19666" xr:uid="{00000000-0005-0000-0000-0000EE870000}"/>
    <cellStyle name="Normal 97 5 3 2 2 2 2" xfId="36240" xr:uid="{00000000-0005-0000-0000-0000EF870000}"/>
    <cellStyle name="Normal 97 5 3 2 2 3" xfId="28193" xr:uid="{00000000-0005-0000-0000-0000F0870000}"/>
    <cellStyle name="Normal 97 5 3 2 3" xfId="15937" xr:uid="{00000000-0005-0000-0000-0000F1870000}"/>
    <cellStyle name="Normal 97 5 3 2 3 2" xfId="32493" xr:uid="{00000000-0005-0000-0000-0000F2870000}"/>
    <cellStyle name="Normal 97 5 3 2 4" xfId="24450" xr:uid="{00000000-0005-0000-0000-0000F3870000}"/>
    <cellStyle name="Normal 97 5 3 3" xfId="10311" xr:uid="{00000000-0005-0000-0000-0000F4870000}"/>
    <cellStyle name="Normal 97 5 3 3 2" xfId="19667" xr:uid="{00000000-0005-0000-0000-0000F5870000}"/>
    <cellStyle name="Normal 97 5 3 3 2 2" xfId="36241" xr:uid="{00000000-0005-0000-0000-0000F6870000}"/>
    <cellStyle name="Normal 97 5 3 3 3" xfId="28194" xr:uid="{00000000-0005-0000-0000-0000F7870000}"/>
    <cellStyle name="Normal 97 5 3 4" xfId="15936" xr:uid="{00000000-0005-0000-0000-0000F8870000}"/>
    <cellStyle name="Normal 97 5 3 4 2" xfId="32492" xr:uid="{00000000-0005-0000-0000-0000F9870000}"/>
    <cellStyle name="Normal 97 5 3 5" xfId="24449" xr:uid="{00000000-0005-0000-0000-0000FA870000}"/>
    <cellStyle name="Normal 97 5 4" xfId="6502" xr:uid="{00000000-0005-0000-0000-0000FB870000}"/>
    <cellStyle name="Normal 97 5 4 2" xfId="10312" xr:uid="{00000000-0005-0000-0000-0000FC870000}"/>
    <cellStyle name="Normal 97 5 4 2 2" xfId="19668" xr:uid="{00000000-0005-0000-0000-0000FD870000}"/>
    <cellStyle name="Normal 97 5 4 2 2 2" xfId="36242" xr:uid="{00000000-0005-0000-0000-0000FE870000}"/>
    <cellStyle name="Normal 97 5 4 2 3" xfId="28195" xr:uid="{00000000-0005-0000-0000-0000FF870000}"/>
    <cellStyle name="Normal 97 5 4 3" xfId="15938" xr:uid="{00000000-0005-0000-0000-000000880000}"/>
    <cellStyle name="Normal 97 5 4 3 2" xfId="32494" xr:uid="{00000000-0005-0000-0000-000001880000}"/>
    <cellStyle name="Normal 97 5 4 4" xfId="24451" xr:uid="{00000000-0005-0000-0000-000002880000}"/>
    <cellStyle name="Normal 97 5 5" xfId="10313" xr:uid="{00000000-0005-0000-0000-000003880000}"/>
    <cellStyle name="Normal 97 5 5 2" xfId="19669" xr:uid="{00000000-0005-0000-0000-000004880000}"/>
    <cellStyle name="Normal 97 5 5 2 2" xfId="36243" xr:uid="{00000000-0005-0000-0000-000005880000}"/>
    <cellStyle name="Normal 97 5 5 3" xfId="28196" xr:uid="{00000000-0005-0000-0000-000006880000}"/>
    <cellStyle name="Normal 97 5 6" xfId="15931" xr:uid="{00000000-0005-0000-0000-000007880000}"/>
    <cellStyle name="Normal 97 5 6 2" xfId="32487" xr:uid="{00000000-0005-0000-0000-000008880000}"/>
    <cellStyle name="Normal 97 5 7" xfId="24444" xr:uid="{00000000-0005-0000-0000-000009880000}"/>
    <cellStyle name="Normal 97 6" xfId="6503" xr:uid="{00000000-0005-0000-0000-00000A880000}"/>
    <cellStyle name="Normal 97 6 2" xfId="6504" xr:uid="{00000000-0005-0000-0000-00000B880000}"/>
    <cellStyle name="Normal 97 6 2 2" xfId="6505" xr:uid="{00000000-0005-0000-0000-00000C880000}"/>
    <cellStyle name="Normal 97 6 2 2 2" xfId="10314" xr:uid="{00000000-0005-0000-0000-00000D880000}"/>
    <cellStyle name="Normal 97 6 2 2 2 2" xfId="19670" xr:uid="{00000000-0005-0000-0000-00000E880000}"/>
    <cellStyle name="Normal 97 6 2 2 2 2 2" xfId="36244" xr:uid="{00000000-0005-0000-0000-00000F880000}"/>
    <cellStyle name="Normal 97 6 2 2 2 3" xfId="28197" xr:uid="{00000000-0005-0000-0000-000010880000}"/>
    <cellStyle name="Normal 97 6 2 2 3" xfId="15941" xr:uid="{00000000-0005-0000-0000-000011880000}"/>
    <cellStyle name="Normal 97 6 2 2 3 2" xfId="32497" xr:uid="{00000000-0005-0000-0000-000012880000}"/>
    <cellStyle name="Normal 97 6 2 2 4" xfId="24454" xr:uid="{00000000-0005-0000-0000-000013880000}"/>
    <cellStyle name="Normal 97 6 2 3" xfId="10315" xr:uid="{00000000-0005-0000-0000-000014880000}"/>
    <cellStyle name="Normal 97 6 2 3 2" xfId="19671" xr:uid="{00000000-0005-0000-0000-000015880000}"/>
    <cellStyle name="Normal 97 6 2 3 2 2" xfId="36245" xr:uid="{00000000-0005-0000-0000-000016880000}"/>
    <cellStyle name="Normal 97 6 2 3 3" xfId="28198" xr:uid="{00000000-0005-0000-0000-000017880000}"/>
    <cellStyle name="Normal 97 6 2 4" xfId="15940" xr:uid="{00000000-0005-0000-0000-000018880000}"/>
    <cellStyle name="Normal 97 6 2 4 2" xfId="32496" xr:uid="{00000000-0005-0000-0000-000019880000}"/>
    <cellStyle name="Normal 97 6 2 5" xfId="24453" xr:uid="{00000000-0005-0000-0000-00001A880000}"/>
    <cellStyle name="Normal 97 6 3" xfId="6506" xr:uid="{00000000-0005-0000-0000-00001B880000}"/>
    <cellStyle name="Normal 97 6 3 2" xfId="10316" xr:uid="{00000000-0005-0000-0000-00001C880000}"/>
    <cellStyle name="Normal 97 6 3 2 2" xfId="19672" xr:uid="{00000000-0005-0000-0000-00001D880000}"/>
    <cellStyle name="Normal 97 6 3 2 2 2" xfId="36246" xr:uid="{00000000-0005-0000-0000-00001E880000}"/>
    <cellStyle name="Normal 97 6 3 2 3" xfId="28199" xr:uid="{00000000-0005-0000-0000-00001F880000}"/>
    <cellStyle name="Normal 97 6 3 3" xfId="15942" xr:uid="{00000000-0005-0000-0000-000020880000}"/>
    <cellStyle name="Normal 97 6 3 3 2" xfId="32498" xr:uid="{00000000-0005-0000-0000-000021880000}"/>
    <cellStyle name="Normal 97 6 3 4" xfId="24455" xr:uid="{00000000-0005-0000-0000-000022880000}"/>
    <cellStyle name="Normal 97 6 4" xfId="10317" xr:uid="{00000000-0005-0000-0000-000023880000}"/>
    <cellStyle name="Normal 97 6 4 2" xfId="19673" xr:uid="{00000000-0005-0000-0000-000024880000}"/>
    <cellStyle name="Normal 97 6 4 2 2" xfId="36247" xr:uid="{00000000-0005-0000-0000-000025880000}"/>
    <cellStyle name="Normal 97 6 4 3" xfId="28200" xr:uid="{00000000-0005-0000-0000-000026880000}"/>
    <cellStyle name="Normal 97 6 5" xfId="15939" xr:uid="{00000000-0005-0000-0000-000027880000}"/>
    <cellStyle name="Normal 97 6 5 2" xfId="32495" xr:uid="{00000000-0005-0000-0000-000028880000}"/>
    <cellStyle name="Normal 97 6 6" xfId="24452" xr:uid="{00000000-0005-0000-0000-000029880000}"/>
    <cellStyle name="Normal 97 7" xfId="6507" xr:uid="{00000000-0005-0000-0000-00002A880000}"/>
    <cellStyle name="Normal 97 7 2" xfId="6508" xr:uid="{00000000-0005-0000-0000-00002B880000}"/>
    <cellStyle name="Normal 97 7 2 2" xfId="10318" xr:uid="{00000000-0005-0000-0000-00002C880000}"/>
    <cellStyle name="Normal 97 7 2 2 2" xfId="19674" xr:uid="{00000000-0005-0000-0000-00002D880000}"/>
    <cellStyle name="Normal 97 7 2 2 2 2" xfId="36248" xr:uid="{00000000-0005-0000-0000-00002E880000}"/>
    <cellStyle name="Normal 97 7 2 2 3" xfId="28201" xr:uid="{00000000-0005-0000-0000-00002F880000}"/>
    <cellStyle name="Normal 97 7 2 3" xfId="15944" xr:uid="{00000000-0005-0000-0000-000030880000}"/>
    <cellStyle name="Normal 97 7 2 3 2" xfId="32500" xr:uid="{00000000-0005-0000-0000-000031880000}"/>
    <cellStyle name="Normal 97 7 2 4" xfId="24457" xr:uid="{00000000-0005-0000-0000-000032880000}"/>
    <cellStyle name="Normal 97 7 3" xfId="10319" xr:uid="{00000000-0005-0000-0000-000033880000}"/>
    <cellStyle name="Normal 97 7 3 2" xfId="19675" xr:uid="{00000000-0005-0000-0000-000034880000}"/>
    <cellStyle name="Normal 97 7 3 2 2" xfId="36249" xr:uid="{00000000-0005-0000-0000-000035880000}"/>
    <cellStyle name="Normal 97 7 3 3" xfId="28202" xr:uid="{00000000-0005-0000-0000-000036880000}"/>
    <cellStyle name="Normal 97 7 4" xfId="15943" xr:uid="{00000000-0005-0000-0000-000037880000}"/>
    <cellStyle name="Normal 97 7 4 2" xfId="32499" xr:uid="{00000000-0005-0000-0000-000038880000}"/>
    <cellStyle name="Normal 97 7 5" xfId="24456" xr:uid="{00000000-0005-0000-0000-000039880000}"/>
    <cellStyle name="Normal 97 8" xfId="6509" xr:uid="{00000000-0005-0000-0000-00003A880000}"/>
    <cellStyle name="Normal 97 8 2" xfId="10320" xr:uid="{00000000-0005-0000-0000-00003B880000}"/>
    <cellStyle name="Normal 97 8 2 2" xfId="19676" xr:uid="{00000000-0005-0000-0000-00003C880000}"/>
    <cellStyle name="Normal 97 8 2 2 2" xfId="36250" xr:uid="{00000000-0005-0000-0000-00003D880000}"/>
    <cellStyle name="Normal 97 8 2 3" xfId="28203" xr:uid="{00000000-0005-0000-0000-00003E880000}"/>
    <cellStyle name="Normal 97 8 3" xfId="15945" xr:uid="{00000000-0005-0000-0000-00003F880000}"/>
    <cellStyle name="Normal 97 8 3 2" xfId="32501" xr:uid="{00000000-0005-0000-0000-000040880000}"/>
    <cellStyle name="Normal 97 8 4" xfId="24458" xr:uid="{00000000-0005-0000-0000-000041880000}"/>
    <cellStyle name="Normal 97 9" xfId="10321" xr:uid="{00000000-0005-0000-0000-000042880000}"/>
    <cellStyle name="Normal 97 9 2" xfId="19677" xr:uid="{00000000-0005-0000-0000-000043880000}"/>
    <cellStyle name="Normal 97 9 2 2" xfId="36251" xr:uid="{00000000-0005-0000-0000-000044880000}"/>
    <cellStyle name="Normal 97 9 3" xfId="28204" xr:uid="{00000000-0005-0000-0000-000045880000}"/>
    <cellStyle name="Normal 98" xfId="6510" xr:uid="{00000000-0005-0000-0000-000046880000}"/>
    <cellStyle name="Normal 98 10" xfId="15946" xr:uid="{00000000-0005-0000-0000-000047880000}"/>
    <cellStyle name="Normal 98 10 2" xfId="32502" xr:uid="{00000000-0005-0000-0000-000048880000}"/>
    <cellStyle name="Normal 98 11" xfId="24459" xr:uid="{00000000-0005-0000-0000-000049880000}"/>
    <cellStyle name="Normal 98 2" xfId="6511" xr:uid="{00000000-0005-0000-0000-00004A880000}"/>
    <cellStyle name="Normal 98 2 2" xfId="6512" xr:uid="{00000000-0005-0000-0000-00004B880000}"/>
    <cellStyle name="Normal 98 2 3" xfId="15947" xr:uid="{00000000-0005-0000-0000-00004C880000}"/>
    <cellStyle name="Normal 98 2 3 2" xfId="32503" xr:uid="{00000000-0005-0000-0000-00004D880000}"/>
    <cellStyle name="Normal 98 2 4" xfId="24460" xr:uid="{00000000-0005-0000-0000-00004E880000}"/>
    <cellStyle name="Normal 98 3" xfId="6513" xr:uid="{00000000-0005-0000-0000-00004F880000}"/>
    <cellStyle name="Normal 98 3 2" xfId="6514" xr:uid="{00000000-0005-0000-0000-000050880000}"/>
    <cellStyle name="Normal 98 3 2 2" xfId="6515" xr:uid="{00000000-0005-0000-0000-000051880000}"/>
    <cellStyle name="Normal 98 3 2 2 2" xfId="6516" xr:uid="{00000000-0005-0000-0000-000052880000}"/>
    <cellStyle name="Normal 98 3 2 2 2 2" xfId="10322" xr:uid="{00000000-0005-0000-0000-000053880000}"/>
    <cellStyle name="Normal 98 3 2 2 2 2 2" xfId="19678" xr:uid="{00000000-0005-0000-0000-000054880000}"/>
    <cellStyle name="Normal 98 3 2 2 2 2 2 2" xfId="36252" xr:uid="{00000000-0005-0000-0000-000055880000}"/>
    <cellStyle name="Normal 98 3 2 2 2 2 3" xfId="28205" xr:uid="{00000000-0005-0000-0000-000056880000}"/>
    <cellStyle name="Normal 98 3 2 2 2 3" xfId="15950" xr:uid="{00000000-0005-0000-0000-000057880000}"/>
    <cellStyle name="Normal 98 3 2 2 2 3 2" xfId="32506" xr:uid="{00000000-0005-0000-0000-000058880000}"/>
    <cellStyle name="Normal 98 3 2 2 2 4" xfId="24463" xr:uid="{00000000-0005-0000-0000-000059880000}"/>
    <cellStyle name="Normal 98 3 2 2 3" xfId="10323" xr:uid="{00000000-0005-0000-0000-00005A880000}"/>
    <cellStyle name="Normal 98 3 2 2 3 2" xfId="19679" xr:uid="{00000000-0005-0000-0000-00005B880000}"/>
    <cellStyle name="Normal 98 3 2 2 3 2 2" xfId="36253" xr:uid="{00000000-0005-0000-0000-00005C880000}"/>
    <cellStyle name="Normal 98 3 2 2 3 3" xfId="28206" xr:uid="{00000000-0005-0000-0000-00005D880000}"/>
    <cellStyle name="Normal 98 3 2 2 4" xfId="15949" xr:uid="{00000000-0005-0000-0000-00005E880000}"/>
    <cellStyle name="Normal 98 3 2 2 4 2" xfId="32505" xr:uid="{00000000-0005-0000-0000-00005F880000}"/>
    <cellStyle name="Normal 98 3 2 2 5" xfId="24462" xr:uid="{00000000-0005-0000-0000-000060880000}"/>
    <cellStyle name="Normal 98 3 2 3" xfId="6517" xr:uid="{00000000-0005-0000-0000-000061880000}"/>
    <cellStyle name="Normal 98 3 2 3 2" xfId="10324" xr:uid="{00000000-0005-0000-0000-000062880000}"/>
    <cellStyle name="Normal 98 3 2 3 2 2" xfId="19680" xr:uid="{00000000-0005-0000-0000-000063880000}"/>
    <cellStyle name="Normal 98 3 2 3 2 2 2" xfId="36254" xr:uid="{00000000-0005-0000-0000-000064880000}"/>
    <cellStyle name="Normal 98 3 2 3 2 3" xfId="28207" xr:uid="{00000000-0005-0000-0000-000065880000}"/>
    <cellStyle name="Normal 98 3 2 3 3" xfId="15951" xr:uid="{00000000-0005-0000-0000-000066880000}"/>
    <cellStyle name="Normal 98 3 2 3 3 2" xfId="32507" xr:uid="{00000000-0005-0000-0000-000067880000}"/>
    <cellStyle name="Normal 98 3 2 3 4" xfId="24464" xr:uid="{00000000-0005-0000-0000-000068880000}"/>
    <cellStyle name="Normal 98 3 2 4" xfId="10325" xr:uid="{00000000-0005-0000-0000-000069880000}"/>
    <cellStyle name="Normal 98 3 2 4 2" xfId="19681" xr:uid="{00000000-0005-0000-0000-00006A880000}"/>
    <cellStyle name="Normal 98 3 2 4 2 2" xfId="36255" xr:uid="{00000000-0005-0000-0000-00006B880000}"/>
    <cellStyle name="Normal 98 3 2 4 3" xfId="28208" xr:uid="{00000000-0005-0000-0000-00006C880000}"/>
    <cellStyle name="Normal 98 3 2 5" xfId="15948" xr:uid="{00000000-0005-0000-0000-00006D880000}"/>
    <cellStyle name="Normal 98 3 2 5 2" xfId="32504" xr:uid="{00000000-0005-0000-0000-00006E880000}"/>
    <cellStyle name="Normal 98 3 2 6" xfId="24461" xr:uid="{00000000-0005-0000-0000-00006F880000}"/>
    <cellStyle name="Normal 98 3 3" xfId="6518" xr:uid="{00000000-0005-0000-0000-000070880000}"/>
    <cellStyle name="Normal 98 3 3 2" xfId="6519" xr:uid="{00000000-0005-0000-0000-000071880000}"/>
    <cellStyle name="Normal 98 3 3 2 2" xfId="10326" xr:uid="{00000000-0005-0000-0000-000072880000}"/>
    <cellStyle name="Normal 98 3 3 2 2 2" xfId="19682" xr:uid="{00000000-0005-0000-0000-000073880000}"/>
    <cellStyle name="Normal 98 3 3 2 2 2 2" xfId="36256" xr:uid="{00000000-0005-0000-0000-000074880000}"/>
    <cellStyle name="Normal 98 3 3 2 2 3" xfId="28209" xr:uid="{00000000-0005-0000-0000-000075880000}"/>
    <cellStyle name="Normal 98 3 3 2 3" xfId="15953" xr:uid="{00000000-0005-0000-0000-000076880000}"/>
    <cellStyle name="Normal 98 3 3 2 3 2" xfId="32509" xr:uid="{00000000-0005-0000-0000-000077880000}"/>
    <cellStyle name="Normal 98 3 3 2 4" xfId="24466" xr:uid="{00000000-0005-0000-0000-000078880000}"/>
    <cellStyle name="Normal 98 3 3 3" xfId="10327" xr:uid="{00000000-0005-0000-0000-000079880000}"/>
    <cellStyle name="Normal 98 3 3 3 2" xfId="19683" xr:uid="{00000000-0005-0000-0000-00007A880000}"/>
    <cellStyle name="Normal 98 3 3 3 2 2" xfId="36257" xr:uid="{00000000-0005-0000-0000-00007B880000}"/>
    <cellStyle name="Normal 98 3 3 3 3" xfId="28210" xr:uid="{00000000-0005-0000-0000-00007C880000}"/>
    <cellStyle name="Normal 98 3 3 4" xfId="15952" xr:uid="{00000000-0005-0000-0000-00007D880000}"/>
    <cellStyle name="Normal 98 3 3 4 2" xfId="32508" xr:uid="{00000000-0005-0000-0000-00007E880000}"/>
    <cellStyle name="Normal 98 3 3 5" xfId="24465" xr:uid="{00000000-0005-0000-0000-00007F880000}"/>
    <cellStyle name="Normal 98 3 4" xfId="6520" xr:uid="{00000000-0005-0000-0000-000080880000}"/>
    <cellStyle name="Normal 98 3 4 2" xfId="10328" xr:uid="{00000000-0005-0000-0000-000081880000}"/>
    <cellStyle name="Normal 98 3 4 2 2" xfId="19684" xr:uid="{00000000-0005-0000-0000-000082880000}"/>
    <cellStyle name="Normal 98 3 4 2 2 2" xfId="36258" xr:uid="{00000000-0005-0000-0000-000083880000}"/>
    <cellStyle name="Normal 98 3 4 2 3" xfId="28211" xr:uid="{00000000-0005-0000-0000-000084880000}"/>
    <cellStyle name="Normal 98 3 4 3" xfId="15954" xr:uid="{00000000-0005-0000-0000-000085880000}"/>
    <cellStyle name="Normal 98 3 4 3 2" xfId="32510" xr:uid="{00000000-0005-0000-0000-000086880000}"/>
    <cellStyle name="Normal 98 3 4 4" xfId="24467" xr:uid="{00000000-0005-0000-0000-000087880000}"/>
    <cellStyle name="Normal 98 3 5" xfId="6521" xr:uid="{00000000-0005-0000-0000-000088880000}"/>
    <cellStyle name="Normal 98 3 5 2" xfId="15955" xr:uid="{00000000-0005-0000-0000-000089880000}"/>
    <cellStyle name="Normal 98 3 5 2 2" xfId="32511" xr:uid="{00000000-0005-0000-0000-00008A880000}"/>
    <cellStyle name="Normal 98 3 5 3" xfId="24468" xr:uid="{00000000-0005-0000-0000-00008B880000}"/>
    <cellStyle name="Normal 98 4" xfId="6522" xr:uid="{00000000-0005-0000-0000-00008C880000}"/>
    <cellStyle name="Normal 98 4 2" xfId="6523" xr:uid="{00000000-0005-0000-0000-00008D880000}"/>
    <cellStyle name="Normal 98 4 2 2" xfId="6524" xr:uid="{00000000-0005-0000-0000-00008E880000}"/>
    <cellStyle name="Normal 98 4 2 2 2" xfId="6525" xr:uid="{00000000-0005-0000-0000-00008F880000}"/>
    <cellStyle name="Normal 98 4 2 2 2 2" xfId="10329" xr:uid="{00000000-0005-0000-0000-000090880000}"/>
    <cellStyle name="Normal 98 4 2 2 2 2 2" xfId="19685" xr:uid="{00000000-0005-0000-0000-000091880000}"/>
    <cellStyle name="Normal 98 4 2 2 2 2 2 2" xfId="36259" xr:uid="{00000000-0005-0000-0000-000092880000}"/>
    <cellStyle name="Normal 98 4 2 2 2 2 3" xfId="28212" xr:uid="{00000000-0005-0000-0000-000093880000}"/>
    <cellStyle name="Normal 98 4 2 2 2 3" xfId="15959" xr:uid="{00000000-0005-0000-0000-000094880000}"/>
    <cellStyle name="Normal 98 4 2 2 2 3 2" xfId="32515" xr:uid="{00000000-0005-0000-0000-000095880000}"/>
    <cellStyle name="Normal 98 4 2 2 2 4" xfId="24472" xr:uid="{00000000-0005-0000-0000-000096880000}"/>
    <cellStyle name="Normal 98 4 2 2 3" xfId="10330" xr:uid="{00000000-0005-0000-0000-000097880000}"/>
    <cellStyle name="Normal 98 4 2 2 3 2" xfId="19686" xr:uid="{00000000-0005-0000-0000-000098880000}"/>
    <cellStyle name="Normal 98 4 2 2 3 2 2" xfId="36260" xr:uid="{00000000-0005-0000-0000-000099880000}"/>
    <cellStyle name="Normal 98 4 2 2 3 3" xfId="28213" xr:uid="{00000000-0005-0000-0000-00009A880000}"/>
    <cellStyle name="Normal 98 4 2 2 4" xfId="15958" xr:uid="{00000000-0005-0000-0000-00009B880000}"/>
    <cellStyle name="Normal 98 4 2 2 4 2" xfId="32514" xr:uid="{00000000-0005-0000-0000-00009C880000}"/>
    <cellStyle name="Normal 98 4 2 2 5" xfId="24471" xr:uid="{00000000-0005-0000-0000-00009D880000}"/>
    <cellStyle name="Normal 98 4 2 3" xfId="6526" xr:uid="{00000000-0005-0000-0000-00009E880000}"/>
    <cellStyle name="Normal 98 4 2 3 2" xfId="10331" xr:uid="{00000000-0005-0000-0000-00009F880000}"/>
    <cellStyle name="Normal 98 4 2 3 2 2" xfId="19687" xr:uid="{00000000-0005-0000-0000-0000A0880000}"/>
    <cellStyle name="Normal 98 4 2 3 2 2 2" xfId="36261" xr:uid="{00000000-0005-0000-0000-0000A1880000}"/>
    <cellStyle name="Normal 98 4 2 3 2 3" xfId="28214" xr:uid="{00000000-0005-0000-0000-0000A2880000}"/>
    <cellStyle name="Normal 98 4 2 3 3" xfId="15960" xr:uid="{00000000-0005-0000-0000-0000A3880000}"/>
    <cellStyle name="Normal 98 4 2 3 3 2" xfId="32516" xr:uid="{00000000-0005-0000-0000-0000A4880000}"/>
    <cellStyle name="Normal 98 4 2 3 4" xfId="24473" xr:uid="{00000000-0005-0000-0000-0000A5880000}"/>
    <cellStyle name="Normal 98 4 2 4" xfId="10332" xr:uid="{00000000-0005-0000-0000-0000A6880000}"/>
    <cellStyle name="Normal 98 4 2 4 2" xfId="19688" xr:uid="{00000000-0005-0000-0000-0000A7880000}"/>
    <cellStyle name="Normal 98 4 2 4 2 2" xfId="36262" xr:uid="{00000000-0005-0000-0000-0000A8880000}"/>
    <cellStyle name="Normal 98 4 2 4 3" xfId="28215" xr:uid="{00000000-0005-0000-0000-0000A9880000}"/>
    <cellStyle name="Normal 98 4 2 5" xfId="15957" xr:uid="{00000000-0005-0000-0000-0000AA880000}"/>
    <cellStyle name="Normal 98 4 2 5 2" xfId="32513" xr:uid="{00000000-0005-0000-0000-0000AB880000}"/>
    <cellStyle name="Normal 98 4 2 6" xfId="24470" xr:uid="{00000000-0005-0000-0000-0000AC880000}"/>
    <cellStyle name="Normal 98 4 3" xfId="6527" xr:uid="{00000000-0005-0000-0000-0000AD880000}"/>
    <cellStyle name="Normal 98 4 3 2" xfId="6528" xr:uid="{00000000-0005-0000-0000-0000AE880000}"/>
    <cellStyle name="Normal 98 4 3 2 2" xfId="10333" xr:uid="{00000000-0005-0000-0000-0000AF880000}"/>
    <cellStyle name="Normal 98 4 3 2 2 2" xfId="19689" xr:uid="{00000000-0005-0000-0000-0000B0880000}"/>
    <cellStyle name="Normal 98 4 3 2 2 2 2" xfId="36263" xr:uid="{00000000-0005-0000-0000-0000B1880000}"/>
    <cellStyle name="Normal 98 4 3 2 2 3" xfId="28216" xr:uid="{00000000-0005-0000-0000-0000B2880000}"/>
    <cellStyle name="Normal 98 4 3 2 3" xfId="15962" xr:uid="{00000000-0005-0000-0000-0000B3880000}"/>
    <cellStyle name="Normal 98 4 3 2 3 2" xfId="32518" xr:uid="{00000000-0005-0000-0000-0000B4880000}"/>
    <cellStyle name="Normal 98 4 3 2 4" xfId="24475" xr:uid="{00000000-0005-0000-0000-0000B5880000}"/>
    <cellStyle name="Normal 98 4 3 3" xfId="10334" xr:uid="{00000000-0005-0000-0000-0000B6880000}"/>
    <cellStyle name="Normal 98 4 3 3 2" xfId="19690" xr:uid="{00000000-0005-0000-0000-0000B7880000}"/>
    <cellStyle name="Normal 98 4 3 3 2 2" xfId="36264" xr:uid="{00000000-0005-0000-0000-0000B8880000}"/>
    <cellStyle name="Normal 98 4 3 3 3" xfId="28217" xr:uid="{00000000-0005-0000-0000-0000B9880000}"/>
    <cellStyle name="Normal 98 4 3 4" xfId="15961" xr:uid="{00000000-0005-0000-0000-0000BA880000}"/>
    <cellStyle name="Normal 98 4 3 4 2" xfId="32517" xr:uid="{00000000-0005-0000-0000-0000BB880000}"/>
    <cellStyle name="Normal 98 4 3 5" xfId="24474" xr:uid="{00000000-0005-0000-0000-0000BC880000}"/>
    <cellStyle name="Normal 98 4 4" xfId="6529" xr:uid="{00000000-0005-0000-0000-0000BD880000}"/>
    <cellStyle name="Normal 98 4 4 2" xfId="10335" xr:uid="{00000000-0005-0000-0000-0000BE880000}"/>
    <cellStyle name="Normal 98 4 4 2 2" xfId="19691" xr:uid="{00000000-0005-0000-0000-0000BF880000}"/>
    <cellStyle name="Normal 98 4 4 2 2 2" xfId="36265" xr:uid="{00000000-0005-0000-0000-0000C0880000}"/>
    <cellStyle name="Normal 98 4 4 2 3" xfId="28218" xr:uid="{00000000-0005-0000-0000-0000C1880000}"/>
    <cellStyle name="Normal 98 4 4 3" xfId="15963" xr:uid="{00000000-0005-0000-0000-0000C2880000}"/>
    <cellStyle name="Normal 98 4 4 3 2" xfId="32519" xr:uid="{00000000-0005-0000-0000-0000C3880000}"/>
    <cellStyle name="Normal 98 4 4 4" xfId="24476" xr:uid="{00000000-0005-0000-0000-0000C4880000}"/>
    <cellStyle name="Normal 98 4 5" xfId="10336" xr:uid="{00000000-0005-0000-0000-0000C5880000}"/>
    <cellStyle name="Normal 98 4 5 2" xfId="19692" xr:uid="{00000000-0005-0000-0000-0000C6880000}"/>
    <cellStyle name="Normal 98 4 5 2 2" xfId="36266" xr:uid="{00000000-0005-0000-0000-0000C7880000}"/>
    <cellStyle name="Normal 98 4 5 3" xfId="28219" xr:uid="{00000000-0005-0000-0000-0000C8880000}"/>
    <cellStyle name="Normal 98 4 6" xfId="15956" xr:uid="{00000000-0005-0000-0000-0000C9880000}"/>
    <cellStyle name="Normal 98 4 6 2" xfId="32512" xr:uid="{00000000-0005-0000-0000-0000CA880000}"/>
    <cellStyle name="Normal 98 4 7" xfId="24469" xr:uid="{00000000-0005-0000-0000-0000CB880000}"/>
    <cellStyle name="Normal 98 5" xfId="6530" xr:uid="{00000000-0005-0000-0000-0000CC880000}"/>
    <cellStyle name="Normal 98 5 2" xfId="6531" xr:uid="{00000000-0005-0000-0000-0000CD880000}"/>
    <cellStyle name="Normal 98 5 2 2" xfId="6532" xr:uid="{00000000-0005-0000-0000-0000CE880000}"/>
    <cellStyle name="Normal 98 5 2 2 2" xfId="6533" xr:uid="{00000000-0005-0000-0000-0000CF880000}"/>
    <cellStyle name="Normal 98 5 2 2 2 2" xfId="10337" xr:uid="{00000000-0005-0000-0000-0000D0880000}"/>
    <cellStyle name="Normal 98 5 2 2 2 2 2" xfId="19693" xr:uid="{00000000-0005-0000-0000-0000D1880000}"/>
    <cellStyle name="Normal 98 5 2 2 2 2 2 2" xfId="36267" xr:uid="{00000000-0005-0000-0000-0000D2880000}"/>
    <cellStyle name="Normal 98 5 2 2 2 2 3" xfId="28220" xr:uid="{00000000-0005-0000-0000-0000D3880000}"/>
    <cellStyle name="Normal 98 5 2 2 2 3" xfId="15967" xr:uid="{00000000-0005-0000-0000-0000D4880000}"/>
    <cellStyle name="Normal 98 5 2 2 2 3 2" xfId="32523" xr:uid="{00000000-0005-0000-0000-0000D5880000}"/>
    <cellStyle name="Normal 98 5 2 2 2 4" xfId="24480" xr:uid="{00000000-0005-0000-0000-0000D6880000}"/>
    <cellStyle name="Normal 98 5 2 2 3" xfId="10338" xr:uid="{00000000-0005-0000-0000-0000D7880000}"/>
    <cellStyle name="Normal 98 5 2 2 3 2" xfId="19694" xr:uid="{00000000-0005-0000-0000-0000D8880000}"/>
    <cellStyle name="Normal 98 5 2 2 3 2 2" xfId="36268" xr:uid="{00000000-0005-0000-0000-0000D9880000}"/>
    <cellStyle name="Normal 98 5 2 2 3 3" xfId="28221" xr:uid="{00000000-0005-0000-0000-0000DA880000}"/>
    <cellStyle name="Normal 98 5 2 2 4" xfId="15966" xr:uid="{00000000-0005-0000-0000-0000DB880000}"/>
    <cellStyle name="Normal 98 5 2 2 4 2" xfId="32522" xr:uid="{00000000-0005-0000-0000-0000DC880000}"/>
    <cellStyle name="Normal 98 5 2 2 5" xfId="24479" xr:uid="{00000000-0005-0000-0000-0000DD880000}"/>
    <cellStyle name="Normal 98 5 2 3" xfId="6534" xr:uid="{00000000-0005-0000-0000-0000DE880000}"/>
    <cellStyle name="Normal 98 5 2 3 2" xfId="10339" xr:uid="{00000000-0005-0000-0000-0000DF880000}"/>
    <cellStyle name="Normal 98 5 2 3 2 2" xfId="19695" xr:uid="{00000000-0005-0000-0000-0000E0880000}"/>
    <cellStyle name="Normal 98 5 2 3 2 2 2" xfId="36269" xr:uid="{00000000-0005-0000-0000-0000E1880000}"/>
    <cellStyle name="Normal 98 5 2 3 2 3" xfId="28222" xr:uid="{00000000-0005-0000-0000-0000E2880000}"/>
    <cellStyle name="Normal 98 5 2 3 3" xfId="15968" xr:uid="{00000000-0005-0000-0000-0000E3880000}"/>
    <cellStyle name="Normal 98 5 2 3 3 2" xfId="32524" xr:uid="{00000000-0005-0000-0000-0000E4880000}"/>
    <cellStyle name="Normal 98 5 2 3 4" xfId="24481" xr:uid="{00000000-0005-0000-0000-0000E5880000}"/>
    <cellStyle name="Normal 98 5 2 4" xfId="10340" xr:uid="{00000000-0005-0000-0000-0000E6880000}"/>
    <cellStyle name="Normal 98 5 2 4 2" xfId="19696" xr:uid="{00000000-0005-0000-0000-0000E7880000}"/>
    <cellStyle name="Normal 98 5 2 4 2 2" xfId="36270" xr:uid="{00000000-0005-0000-0000-0000E8880000}"/>
    <cellStyle name="Normal 98 5 2 4 3" xfId="28223" xr:uid="{00000000-0005-0000-0000-0000E9880000}"/>
    <cellStyle name="Normal 98 5 2 5" xfId="15965" xr:uid="{00000000-0005-0000-0000-0000EA880000}"/>
    <cellStyle name="Normal 98 5 2 5 2" xfId="32521" xr:uid="{00000000-0005-0000-0000-0000EB880000}"/>
    <cellStyle name="Normal 98 5 2 6" xfId="24478" xr:uid="{00000000-0005-0000-0000-0000EC880000}"/>
    <cellStyle name="Normal 98 5 3" xfId="6535" xr:uid="{00000000-0005-0000-0000-0000ED880000}"/>
    <cellStyle name="Normal 98 5 3 2" xfId="6536" xr:uid="{00000000-0005-0000-0000-0000EE880000}"/>
    <cellStyle name="Normal 98 5 3 2 2" xfId="10341" xr:uid="{00000000-0005-0000-0000-0000EF880000}"/>
    <cellStyle name="Normal 98 5 3 2 2 2" xfId="19697" xr:uid="{00000000-0005-0000-0000-0000F0880000}"/>
    <cellStyle name="Normal 98 5 3 2 2 2 2" xfId="36271" xr:uid="{00000000-0005-0000-0000-0000F1880000}"/>
    <cellStyle name="Normal 98 5 3 2 2 3" xfId="28224" xr:uid="{00000000-0005-0000-0000-0000F2880000}"/>
    <cellStyle name="Normal 98 5 3 2 3" xfId="15970" xr:uid="{00000000-0005-0000-0000-0000F3880000}"/>
    <cellStyle name="Normal 98 5 3 2 3 2" xfId="32526" xr:uid="{00000000-0005-0000-0000-0000F4880000}"/>
    <cellStyle name="Normal 98 5 3 2 4" xfId="24483" xr:uid="{00000000-0005-0000-0000-0000F5880000}"/>
    <cellStyle name="Normal 98 5 3 3" xfId="10342" xr:uid="{00000000-0005-0000-0000-0000F6880000}"/>
    <cellStyle name="Normal 98 5 3 3 2" xfId="19698" xr:uid="{00000000-0005-0000-0000-0000F7880000}"/>
    <cellStyle name="Normal 98 5 3 3 2 2" xfId="36272" xr:uid="{00000000-0005-0000-0000-0000F8880000}"/>
    <cellStyle name="Normal 98 5 3 3 3" xfId="28225" xr:uid="{00000000-0005-0000-0000-0000F9880000}"/>
    <cellStyle name="Normal 98 5 3 4" xfId="15969" xr:uid="{00000000-0005-0000-0000-0000FA880000}"/>
    <cellStyle name="Normal 98 5 3 4 2" xfId="32525" xr:uid="{00000000-0005-0000-0000-0000FB880000}"/>
    <cellStyle name="Normal 98 5 3 5" xfId="24482" xr:uid="{00000000-0005-0000-0000-0000FC880000}"/>
    <cellStyle name="Normal 98 5 4" xfId="6537" xr:uid="{00000000-0005-0000-0000-0000FD880000}"/>
    <cellStyle name="Normal 98 5 4 2" xfId="10343" xr:uid="{00000000-0005-0000-0000-0000FE880000}"/>
    <cellStyle name="Normal 98 5 4 2 2" xfId="19699" xr:uid="{00000000-0005-0000-0000-0000FF880000}"/>
    <cellStyle name="Normal 98 5 4 2 2 2" xfId="36273" xr:uid="{00000000-0005-0000-0000-000000890000}"/>
    <cellStyle name="Normal 98 5 4 2 3" xfId="28226" xr:uid="{00000000-0005-0000-0000-000001890000}"/>
    <cellStyle name="Normal 98 5 4 3" xfId="15971" xr:uid="{00000000-0005-0000-0000-000002890000}"/>
    <cellStyle name="Normal 98 5 4 3 2" xfId="32527" xr:uid="{00000000-0005-0000-0000-000003890000}"/>
    <cellStyle name="Normal 98 5 4 4" xfId="24484" xr:uid="{00000000-0005-0000-0000-000004890000}"/>
    <cellStyle name="Normal 98 5 5" xfId="10344" xr:uid="{00000000-0005-0000-0000-000005890000}"/>
    <cellStyle name="Normal 98 5 5 2" xfId="19700" xr:uid="{00000000-0005-0000-0000-000006890000}"/>
    <cellStyle name="Normal 98 5 5 2 2" xfId="36274" xr:uid="{00000000-0005-0000-0000-000007890000}"/>
    <cellStyle name="Normal 98 5 5 3" xfId="28227" xr:uid="{00000000-0005-0000-0000-000008890000}"/>
    <cellStyle name="Normal 98 5 6" xfId="15964" xr:uid="{00000000-0005-0000-0000-000009890000}"/>
    <cellStyle name="Normal 98 5 6 2" xfId="32520" xr:uid="{00000000-0005-0000-0000-00000A890000}"/>
    <cellStyle name="Normal 98 5 7" xfId="24477" xr:uid="{00000000-0005-0000-0000-00000B890000}"/>
    <cellStyle name="Normal 98 6" xfId="6538" xr:uid="{00000000-0005-0000-0000-00000C890000}"/>
    <cellStyle name="Normal 98 6 2" xfId="6539" xr:uid="{00000000-0005-0000-0000-00000D890000}"/>
    <cellStyle name="Normal 98 6 2 2" xfId="6540" xr:uid="{00000000-0005-0000-0000-00000E890000}"/>
    <cellStyle name="Normal 98 6 2 2 2" xfId="10345" xr:uid="{00000000-0005-0000-0000-00000F890000}"/>
    <cellStyle name="Normal 98 6 2 2 2 2" xfId="19701" xr:uid="{00000000-0005-0000-0000-000010890000}"/>
    <cellStyle name="Normal 98 6 2 2 2 2 2" xfId="36275" xr:uid="{00000000-0005-0000-0000-000011890000}"/>
    <cellStyle name="Normal 98 6 2 2 2 3" xfId="28228" xr:uid="{00000000-0005-0000-0000-000012890000}"/>
    <cellStyle name="Normal 98 6 2 2 3" xfId="15974" xr:uid="{00000000-0005-0000-0000-000013890000}"/>
    <cellStyle name="Normal 98 6 2 2 3 2" xfId="32530" xr:uid="{00000000-0005-0000-0000-000014890000}"/>
    <cellStyle name="Normal 98 6 2 2 4" xfId="24487" xr:uid="{00000000-0005-0000-0000-000015890000}"/>
    <cellStyle name="Normal 98 6 2 3" xfId="10346" xr:uid="{00000000-0005-0000-0000-000016890000}"/>
    <cellStyle name="Normal 98 6 2 3 2" xfId="19702" xr:uid="{00000000-0005-0000-0000-000017890000}"/>
    <cellStyle name="Normal 98 6 2 3 2 2" xfId="36276" xr:uid="{00000000-0005-0000-0000-000018890000}"/>
    <cellStyle name="Normal 98 6 2 3 3" xfId="28229" xr:uid="{00000000-0005-0000-0000-000019890000}"/>
    <cellStyle name="Normal 98 6 2 4" xfId="15973" xr:uid="{00000000-0005-0000-0000-00001A890000}"/>
    <cellStyle name="Normal 98 6 2 4 2" xfId="32529" xr:uid="{00000000-0005-0000-0000-00001B890000}"/>
    <cellStyle name="Normal 98 6 2 5" xfId="24486" xr:uid="{00000000-0005-0000-0000-00001C890000}"/>
    <cellStyle name="Normal 98 6 3" xfId="6541" xr:uid="{00000000-0005-0000-0000-00001D890000}"/>
    <cellStyle name="Normal 98 6 3 2" xfId="10347" xr:uid="{00000000-0005-0000-0000-00001E890000}"/>
    <cellStyle name="Normal 98 6 3 2 2" xfId="19703" xr:uid="{00000000-0005-0000-0000-00001F890000}"/>
    <cellStyle name="Normal 98 6 3 2 2 2" xfId="36277" xr:uid="{00000000-0005-0000-0000-000020890000}"/>
    <cellStyle name="Normal 98 6 3 2 3" xfId="28230" xr:uid="{00000000-0005-0000-0000-000021890000}"/>
    <cellStyle name="Normal 98 6 3 3" xfId="15975" xr:uid="{00000000-0005-0000-0000-000022890000}"/>
    <cellStyle name="Normal 98 6 3 3 2" xfId="32531" xr:uid="{00000000-0005-0000-0000-000023890000}"/>
    <cellStyle name="Normal 98 6 3 4" xfId="24488" xr:uid="{00000000-0005-0000-0000-000024890000}"/>
    <cellStyle name="Normal 98 6 4" xfId="10348" xr:uid="{00000000-0005-0000-0000-000025890000}"/>
    <cellStyle name="Normal 98 6 4 2" xfId="19704" xr:uid="{00000000-0005-0000-0000-000026890000}"/>
    <cellStyle name="Normal 98 6 4 2 2" xfId="36278" xr:uid="{00000000-0005-0000-0000-000027890000}"/>
    <cellStyle name="Normal 98 6 4 3" xfId="28231" xr:uid="{00000000-0005-0000-0000-000028890000}"/>
    <cellStyle name="Normal 98 6 5" xfId="15972" xr:uid="{00000000-0005-0000-0000-000029890000}"/>
    <cellStyle name="Normal 98 6 5 2" xfId="32528" xr:uid="{00000000-0005-0000-0000-00002A890000}"/>
    <cellStyle name="Normal 98 6 6" xfId="24485" xr:uid="{00000000-0005-0000-0000-00002B890000}"/>
    <cellStyle name="Normal 98 7" xfId="6542" xr:uid="{00000000-0005-0000-0000-00002C890000}"/>
    <cellStyle name="Normal 98 7 2" xfId="6543" xr:uid="{00000000-0005-0000-0000-00002D890000}"/>
    <cellStyle name="Normal 98 7 2 2" xfId="10349" xr:uid="{00000000-0005-0000-0000-00002E890000}"/>
    <cellStyle name="Normal 98 7 2 2 2" xfId="19705" xr:uid="{00000000-0005-0000-0000-00002F890000}"/>
    <cellStyle name="Normal 98 7 2 2 2 2" xfId="36279" xr:uid="{00000000-0005-0000-0000-000030890000}"/>
    <cellStyle name="Normal 98 7 2 2 3" xfId="28232" xr:uid="{00000000-0005-0000-0000-000031890000}"/>
    <cellStyle name="Normal 98 7 2 3" xfId="15977" xr:uid="{00000000-0005-0000-0000-000032890000}"/>
    <cellStyle name="Normal 98 7 2 3 2" xfId="32533" xr:uid="{00000000-0005-0000-0000-000033890000}"/>
    <cellStyle name="Normal 98 7 2 4" xfId="24490" xr:uid="{00000000-0005-0000-0000-000034890000}"/>
    <cellStyle name="Normal 98 7 3" xfId="10350" xr:uid="{00000000-0005-0000-0000-000035890000}"/>
    <cellStyle name="Normal 98 7 3 2" xfId="19706" xr:uid="{00000000-0005-0000-0000-000036890000}"/>
    <cellStyle name="Normal 98 7 3 2 2" xfId="36280" xr:uid="{00000000-0005-0000-0000-000037890000}"/>
    <cellStyle name="Normal 98 7 3 3" xfId="28233" xr:uid="{00000000-0005-0000-0000-000038890000}"/>
    <cellStyle name="Normal 98 7 4" xfId="15976" xr:uid="{00000000-0005-0000-0000-000039890000}"/>
    <cellStyle name="Normal 98 7 4 2" xfId="32532" xr:uid="{00000000-0005-0000-0000-00003A890000}"/>
    <cellStyle name="Normal 98 7 5" xfId="24489" xr:uid="{00000000-0005-0000-0000-00003B890000}"/>
    <cellStyle name="Normal 98 8" xfId="6544" xr:uid="{00000000-0005-0000-0000-00003C890000}"/>
    <cellStyle name="Normal 98 8 2" xfId="10351" xr:uid="{00000000-0005-0000-0000-00003D890000}"/>
    <cellStyle name="Normal 98 8 2 2" xfId="19707" xr:uid="{00000000-0005-0000-0000-00003E890000}"/>
    <cellStyle name="Normal 98 8 2 2 2" xfId="36281" xr:uid="{00000000-0005-0000-0000-00003F890000}"/>
    <cellStyle name="Normal 98 8 2 3" xfId="28234" xr:uid="{00000000-0005-0000-0000-000040890000}"/>
    <cellStyle name="Normal 98 8 3" xfId="15978" xr:uid="{00000000-0005-0000-0000-000041890000}"/>
    <cellStyle name="Normal 98 8 3 2" xfId="32534" xr:uid="{00000000-0005-0000-0000-000042890000}"/>
    <cellStyle name="Normal 98 8 4" xfId="24491" xr:uid="{00000000-0005-0000-0000-000043890000}"/>
    <cellStyle name="Normal 98 9" xfId="10352" xr:uid="{00000000-0005-0000-0000-000044890000}"/>
    <cellStyle name="Normal 98 9 2" xfId="19708" xr:uid="{00000000-0005-0000-0000-000045890000}"/>
    <cellStyle name="Normal 98 9 2 2" xfId="36282" xr:uid="{00000000-0005-0000-0000-000046890000}"/>
    <cellStyle name="Normal 98 9 3" xfId="28235" xr:uid="{00000000-0005-0000-0000-000047890000}"/>
    <cellStyle name="Normal 99" xfId="6545" xr:uid="{00000000-0005-0000-0000-000048890000}"/>
    <cellStyle name="Normal 99 2" xfId="10353" xr:uid="{00000000-0005-0000-0000-000049890000}"/>
    <cellStyle name="Normal_Cognex 4.17.07" xfId="36951" xr:uid="{94C79E28-C9A1-4AAA-A4A4-AB3D361C4683}"/>
    <cellStyle name="Normal_EMC072000" xfId="36952" xr:uid="{B15F9418-CFB9-46C7-9863-1DD6ABFA5F1B}"/>
    <cellStyle name="Normal_GIGM test" xfId="386" xr:uid="{00000000-0005-0000-0000-00004A890000}"/>
    <cellStyle name="Normal_INFA Model DRAFT v1 2.28.11" xfId="11077" xr:uid="{00000000-0005-0000-0000-00004B890000}"/>
    <cellStyle name="NormalItalic" xfId="1934" xr:uid="{00000000-0005-0000-0000-00004C890000}"/>
    <cellStyle name="Nota" xfId="1935" xr:uid="{00000000-0005-0000-0000-00004D890000}"/>
    <cellStyle name="Nota 2" xfId="11090" xr:uid="{00000000-0005-0000-0000-00004E890000}"/>
    <cellStyle name="Notas" xfId="1936" xr:uid="{00000000-0005-0000-0000-00004F890000}"/>
    <cellStyle name="Notas 2" xfId="11091" xr:uid="{00000000-0005-0000-0000-000050890000}"/>
    <cellStyle name="Note" xfId="1752" builtinId="10" customBuiltin="1"/>
    <cellStyle name="Note 10" xfId="11320" xr:uid="{00000000-0005-0000-0000-000052890000}"/>
    <cellStyle name="Note 11" xfId="11336" xr:uid="{00000000-0005-0000-0000-000053890000}"/>
    <cellStyle name="Note 12" xfId="11352" xr:uid="{00000000-0005-0000-0000-000054890000}"/>
    <cellStyle name="Note 13" xfId="11381" xr:uid="{00000000-0005-0000-0000-000055890000}"/>
    <cellStyle name="Note 14" xfId="11400" xr:uid="{00000000-0005-0000-0000-000056890000}"/>
    <cellStyle name="Note 15" xfId="11416" xr:uid="{00000000-0005-0000-0000-000057890000}"/>
    <cellStyle name="Note 16" xfId="11391" xr:uid="{00000000-0005-0000-0000-000058890000}"/>
    <cellStyle name="Note 17" xfId="11438" xr:uid="{00000000-0005-0000-0000-000059890000}"/>
    <cellStyle name="Note 18" xfId="11465" xr:uid="{00000000-0005-0000-0000-00005A890000}"/>
    <cellStyle name="Note 19" xfId="11497" xr:uid="{00000000-0005-0000-0000-00005B890000}"/>
    <cellStyle name="Note 2" xfId="66" xr:uid="{00000000-0005-0000-0000-00005C890000}"/>
    <cellStyle name="Note 2 10" xfId="36387" xr:uid="{00000000-0005-0000-0000-00005D890000}"/>
    <cellStyle name="Note 2 11" xfId="36408" xr:uid="{00000000-0005-0000-0000-00005E890000}"/>
    <cellStyle name="Note 2 12" xfId="36495" xr:uid="{00000000-0005-0000-0000-00005F890000}"/>
    <cellStyle name="Note 2 13" xfId="36415" xr:uid="{00000000-0005-0000-0000-000060890000}"/>
    <cellStyle name="Note 2 14" xfId="36440" xr:uid="{00000000-0005-0000-0000-000061890000}"/>
    <cellStyle name="Note 2 15" xfId="36486" xr:uid="{00000000-0005-0000-0000-000062890000}"/>
    <cellStyle name="Note 2 16" xfId="36433" xr:uid="{00000000-0005-0000-0000-000063890000}"/>
    <cellStyle name="Note 2 17" xfId="36434" xr:uid="{00000000-0005-0000-0000-000064890000}"/>
    <cellStyle name="Note 2 18" xfId="36500" xr:uid="{00000000-0005-0000-0000-000065890000}"/>
    <cellStyle name="Note 2 19" xfId="36510" xr:uid="{00000000-0005-0000-0000-000066890000}"/>
    <cellStyle name="Note 2 2" xfId="296" xr:uid="{00000000-0005-0000-0000-000067890000}"/>
    <cellStyle name="Note 2 2 10" xfId="36492" xr:uid="{00000000-0005-0000-0000-000068890000}"/>
    <cellStyle name="Note 2 2 11" xfId="36445" xr:uid="{00000000-0005-0000-0000-000069890000}"/>
    <cellStyle name="Note 2 2 12" xfId="36435" xr:uid="{00000000-0005-0000-0000-00006A890000}"/>
    <cellStyle name="Note 2 2 13" xfId="36485" xr:uid="{00000000-0005-0000-0000-00006B890000}"/>
    <cellStyle name="Note 2 2 14" xfId="36459" xr:uid="{00000000-0005-0000-0000-00006C890000}"/>
    <cellStyle name="Note 2 2 15" xfId="36522" xr:uid="{00000000-0005-0000-0000-00006D890000}"/>
    <cellStyle name="Note 2 2 16" xfId="36542" xr:uid="{00000000-0005-0000-0000-00006E890000}"/>
    <cellStyle name="Note 2 2 17" xfId="36455" xr:uid="{00000000-0005-0000-0000-00006F890000}"/>
    <cellStyle name="Note 2 2 18" xfId="36427" xr:uid="{00000000-0005-0000-0000-000070890000}"/>
    <cellStyle name="Note 2 2 19" xfId="36527" xr:uid="{00000000-0005-0000-0000-000071890000}"/>
    <cellStyle name="Note 2 2 2" xfId="1592" xr:uid="{00000000-0005-0000-0000-000072890000}"/>
    <cellStyle name="Note 2 2 2 2" xfId="1635" xr:uid="{00000000-0005-0000-0000-000073890000}"/>
    <cellStyle name="Note 2 2 2 2 2" xfId="10354" xr:uid="{00000000-0005-0000-0000-000074890000}"/>
    <cellStyle name="Note 2 2 2 2 2 2" xfId="19709" xr:uid="{00000000-0005-0000-0000-000075890000}"/>
    <cellStyle name="Note 2 2 2 2 2 2 2" xfId="36283" xr:uid="{00000000-0005-0000-0000-000076890000}"/>
    <cellStyle name="Note 2 2 2 2 2 3" xfId="28236" xr:uid="{00000000-0005-0000-0000-000077890000}"/>
    <cellStyle name="Note 2 2 2 2 3" xfId="6549" xr:uid="{00000000-0005-0000-0000-000078890000}"/>
    <cellStyle name="Note 2 2 2 2 3 2" xfId="32538" xr:uid="{00000000-0005-0000-0000-000079890000}"/>
    <cellStyle name="Note 2 2 2 2 4" xfId="24494" xr:uid="{00000000-0005-0000-0000-00007A890000}"/>
    <cellStyle name="Note 2 2 2 2 5" xfId="11192" xr:uid="{00000000-0005-0000-0000-00007B890000}"/>
    <cellStyle name="Note 2 2 2 2 6" xfId="36783" xr:uid="{00000000-0005-0000-0000-00007C890000}"/>
    <cellStyle name="Note 2 2 2 2 7" xfId="36687" xr:uid="{00000000-0005-0000-0000-00007D890000}"/>
    <cellStyle name="Note 2 2 2 2 8" xfId="36935" xr:uid="{00000000-0005-0000-0000-00007E890000}"/>
    <cellStyle name="Note 2 2 2 3" xfId="1654" xr:uid="{00000000-0005-0000-0000-00007F890000}"/>
    <cellStyle name="Note 2 2 2 3 2" xfId="10355" xr:uid="{00000000-0005-0000-0000-000080890000}"/>
    <cellStyle name="Note 2 2 2 3 2 2" xfId="36284" xr:uid="{00000000-0005-0000-0000-000081890000}"/>
    <cellStyle name="Note 2 2 2 3 3" xfId="28237" xr:uid="{00000000-0005-0000-0000-000082890000}"/>
    <cellStyle name="Note 2 2 2 3 4" xfId="11211" xr:uid="{00000000-0005-0000-0000-000083890000}"/>
    <cellStyle name="Note 2 2 2 3 5" xfId="36802" xr:uid="{00000000-0005-0000-0000-000084890000}"/>
    <cellStyle name="Note 2 2 2 3 6" xfId="36724" xr:uid="{00000000-0005-0000-0000-000085890000}"/>
    <cellStyle name="Note 2 2 2 3 7" xfId="36628" xr:uid="{00000000-0005-0000-0000-000086890000}"/>
    <cellStyle name="Note 2 2 2 4" xfId="6548" xr:uid="{00000000-0005-0000-0000-000087890000}"/>
    <cellStyle name="Note 2 2 2 4 2" xfId="32537" xr:uid="{00000000-0005-0000-0000-000088890000}"/>
    <cellStyle name="Note 2 2 2 5" xfId="24493" xr:uid="{00000000-0005-0000-0000-000089890000}"/>
    <cellStyle name="Note 2 2 2 6" xfId="11153" xr:uid="{00000000-0005-0000-0000-00008A890000}"/>
    <cellStyle name="Note 2 2 2 7" xfId="36744" xr:uid="{00000000-0005-0000-0000-00008B890000}"/>
    <cellStyle name="Note 2 2 2 8" xfId="36924" xr:uid="{00000000-0005-0000-0000-00008C890000}"/>
    <cellStyle name="Note 2 2 2 9" xfId="36819" xr:uid="{00000000-0005-0000-0000-00008D890000}"/>
    <cellStyle name="Note 2 2 20" xfId="36575" xr:uid="{00000000-0005-0000-0000-00008E890000}"/>
    <cellStyle name="Note 2 2 21" xfId="36436" xr:uid="{00000000-0005-0000-0000-00008F890000}"/>
    <cellStyle name="Note 2 2 22" xfId="36555" xr:uid="{00000000-0005-0000-0000-000090890000}"/>
    <cellStyle name="Note 2 2 23" xfId="36572" xr:uid="{00000000-0005-0000-0000-000091890000}"/>
    <cellStyle name="Note 2 2 24" xfId="36420" xr:uid="{00000000-0005-0000-0000-000092890000}"/>
    <cellStyle name="Note 2 2 25" xfId="36560" xr:uid="{00000000-0005-0000-0000-000093890000}"/>
    <cellStyle name="Note 2 2 26" xfId="36509" xr:uid="{00000000-0005-0000-0000-000094890000}"/>
    <cellStyle name="Note 2 2 27" xfId="36619" xr:uid="{00000000-0005-0000-0000-000095890000}"/>
    <cellStyle name="Note 2 2 3" xfId="1615" xr:uid="{00000000-0005-0000-0000-000096890000}"/>
    <cellStyle name="Note 2 2 3 2" xfId="10356" xr:uid="{00000000-0005-0000-0000-000097890000}"/>
    <cellStyle name="Note 2 2 3 2 2" xfId="19710" xr:uid="{00000000-0005-0000-0000-000098890000}"/>
    <cellStyle name="Note 2 2 3 2 2 2" xfId="36285" xr:uid="{00000000-0005-0000-0000-000099890000}"/>
    <cellStyle name="Note 2 2 3 2 3" xfId="28238" xr:uid="{00000000-0005-0000-0000-00009A890000}"/>
    <cellStyle name="Note 2 2 3 3" xfId="6550" xr:uid="{00000000-0005-0000-0000-00009B890000}"/>
    <cellStyle name="Note 2 2 3 3 2" xfId="32539" xr:uid="{00000000-0005-0000-0000-00009C890000}"/>
    <cellStyle name="Note 2 2 3 4" xfId="24495" xr:uid="{00000000-0005-0000-0000-00009D890000}"/>
    <cellStyle name="Note 2 2 3 5" xfId="11172" xr:uid="{00000000-0005-0000-0000-00009E890000}"/>
    <cellStyle name="Note 2 2 3 6" xfId="36763" xr:uid="{00000000-0005-0000-0000-00009F890000}"/>
    <cellStyle name="Note 2 2 3 7" xfId="36604" xr:uid="{00000000-0005-0000-0000-0000A0890000}"/>
    <cellStyle name="Note 2 2 3 8" xfId="36722" xr:uid="{00000000-0005-0000-0000-0000A1890000}"/>
    <cellStyle name="Note 2 2 4" xfId="10357" xr:uid="{00000000-0005-0000-0000-0000A2890000}"/>
    <cellStyle name="Note 2 2 4 2" xfId="19711" xr:uid="{00000000-0005-0000-0000-0000A3890000}"/>
    <cellStyle name="Note 2 2 4 2 2" xfId="36286" xr:uid="{00000000-0005-0000-0000-0000A4890000}"/>
    <cellStyle name="Note 2 2 4 3" xfId="28239" xr:uid="{00000000-0005-0000-0000-0000A5890000}"/>
    <cellStyle name="Note 2 2 5" xfId="6547" xr:uid="{00000000-0005-0000-0000-0000A6890000}"/>
    <cellStyle name="Note 2 2 5 2" xfId="32536" xr:uid="{00000000-0005-0000-0000-0000A7890000}"/>
    <cellStyle name="Note 2 2 6" xfId="24492" xr:uid="{00000000-0005-0000-0000-0000A8890000}"/>
    <cellStyle name="Note 2 2 7" xfId="36381" xr:uid="{00000000-0005-0000-0000-0000A9890000}"/>
    <cellStyle name="Note 2 2 8" xfId="11116" xr:uid="{00000000-0005-0000-0000-0000AA890000}"/>
    <cellStyle name="Note 2 2 9" xfId="36393" xr:uid="{00000000-0005-0000-0000-0000AB890000}"/>
    <cellStyle name="Note 2 20" xfId="36482" xr:uid="{00000000-0005-0000-0000-0000AC890000}"/>
    <cellStyle name="Note 2 21" xfId="36497" xr:uid="{00000000-0005-0000-0000-0000AD890000}"/>
    <cellStyle name="Note 2 22" xfId="36565" xr:uid="{00000000-0005-0000-0000-0000AE890000}"/>
    <cellStyle name="Note 2 23" xfId="36515" xr:uid="{00000000-0005-0000-0000-0000AF890000}"/>
    <cellStyle name="Note 2 24" xfId="36483" xr:uid="{00000000-0005-0000-0000-0000B0890000}"/>
    <cellStyle name="Note 2 25" xfId="36404" xr:uid="{00000000-0005-0000-0000-0000B1890000}"/>
    <cellStyle name="Note 2 26" xfId="36401" xr:uid="{00000000-0005-0000-0000-0000B2890000}"/>
    <cellStyle name="Note 2 27" xfId="36477" xr:uid="{00000000-0005-0000-0000-0000B3890000}"/>
    <cellStyle name="Note 2 28" xfId="36597" xr:uid="{00000000-0005-0000-0000-0000B4890000}"/>
    <cellStyle name="Note 2 3" xfId="1586" xr:uid="{00000000-0005-0000-0000-0000B5890000}"/>
    <cellStyle name="Note 2 3 2" xfId="1629" xr:uid="{00000000-0005-0000-0000-0000B6890000}"/>
    <cellStyle name="Note 2 3 2 2" xfId="10358" xr:uid="{00000000-0005-0000-0000-0000B7890000}"/>
    <cellStyle name="Note 2 3 2 2 2" xfId="19712" xr:uid="{00000000-0005-0000-0000-0000B8890000}"/>
    <cellStyle name="Note 2 3 2 2 2 2" xfId="36287" xr:uid="{00000000-0005-0000-0000-0000B9890000}"/>
    <cellStyle name="Note 2 3 2 2 3" xfId="28240" xr:uid="{00000000-0005-0000-0000-0000BA890000}"/>
    <cellStyle name="Note 2 3 2 3" xfId="6552" xr:uid="{00000000-0005-0000-0000-0000BB890000}"/>
    <cellStyle name="Note 2 3 2 3 2" xfId="32541" xr:uid="{00000000-0005-0000-0000-0000BC890000}"/>
    <cellStyle name="Note 2 3 2 4" xfId="24497" xr:uid="{00000000-0005-0000-0000-0000BD890000}"/>
    <cellStyle name="Note 2 3 2 5" xfId="11186" xr:uid="{00000000-0005-0000-0000-0000BE890000}"/>
    <cellStyle name="Note 2 3 2 6" xfId="36777" xr:uid="{00000000-0005-0000-0000-0000BF890000}"/>
    <cellStyle name="Note 2 3 2 7" xfId="36682" xr:uid="{00000000-0005-0000-0000-0000C0890000}"/>
    <cellStyle name="Note 2 3 2 8" xfId="36934" xr:uid="{00000000-0005-0000-0000-0000C1890000}"/>
    <cellStyle name="Note 2 3 3" xfId="1648" xr:uid="{00000000-0005-0000-0000-0000C2890000}"/>
    <cellStyle name="Note 2 3 3 2" xfId="10359" xr:uid="{00000000-0005-0000-0000-0000C3890000}"/>
    <cellStyle name="Note 2 3 3 2 2" xfId="36288" xr:uid="{00000000-0005-0000-0000-0000C4890000}"/>
    <cellStyle name="Note 2 3 3 3" xfId="28241" xr:uid="{00000000-0005-0000-0000-0000C5890000}"/>
    <cellStyle name="Note 2 3 3 4" xfId="11205" xr:uid="{00000000-0005-0000-0000-0000C6890000}"/>
    <cellStyle name="Note 2 3 3 5" xfId="36796" xr:uid="{00000000-0005-0000-0000-0000C7890000}"/>
    <cellStyle name="Note 2 3 3 6" xfId="36645" xr:uid="{00000000-0005-0000-0000-0000C8890000}"/>
    <cellStyle name="Note 2 3 3 7" xfId="36631" xr:uid="{00000000-0005-0000-0000-0000C9890000}"/>
    <cellStyle name="Note 2 3 4" xfId="6551" xr:uid="{00000000-0005-0000-0000-0000CA890000}"/>
    <cellStyle name="Note 2 3 4 2" xfId="32540" xr:uid="{00000000-0005-0000-0000-0000CB890000}"/>
    <cellStyle name="Note 2 3 5" xfId="24496" xr:uid="{00000000-0005-0000-0000-0000CC890000}"/>
    <cellStyle name="Note 2 3 6" xfId="11147" xr:uid="{00000000-0005-0000-0000-0000CD890000}"/>
    <cellStyle name="Note 2 3 7" xfId="36738" xr:uid="{00000000-0005-0000-0000-0000CE890000}"/>
    <cellStyle name="Note 2 3 8" xfId="36930" xr:uid="{00000000-0005-0000-0000-0000CF890000}"/>
    <cellStyle name="Note 2 3 9" xfId="36926" xr:uid="{00000000-0005-0000-0000-0000D0890000}"/>
    <cellStyle name="Note 2 4" xfId="1609" xr:uid="{00000000-0005-0000-0000-0000D1890000}"/>
    <cellStyle name="Note 2 4 2" xfId="10360" xr:uid="{00000000-0005-0000-0000-0000D2890000}"/>
    <cellStyle name="Note 2 4 2 2" xfId="19713" xr:uid="{00000000-0005-0000-0000-0000D3890000}"/>
    <cellStyle name="Note 2 4 2 2 2" xfId="36289" xr:uid="{00000000-0005-0000-0000-0000D4890000}"/>
    <cellStyle name="Note 2 4 2 3" xfId="28242" xr:uid="{00000000-0005-0000-0000-0000D5890000}"/>
    <cellStyle name="Note 2 4 3" xfId="6553" xr:uid="{00000000-0005-0000-0000-0000D6890000}"/>
    <cellStyle name="Note 2 4 3 2" xfId="32542" xr:uid="{00000000-0005-0000-0000-0000D7890000}"/>
    <cellStyle name="Note 2 4 4" xfId="24498" xr:uid="{00000000-0005-0000-0000-0000D8890000}"/>
    <cellStyle name="Note 2 4 5" xfId="11166" xr:uid="{00000000-0005-0000-0000-0000D9890000}"/>
    <cellStyle name="Note 2 4 6" xfId="36757" xr:uid="{00000000-0005-0000-0000-0000DA890000}"/>
    <cellStyle name="Note 2 4 7" xfId="36707" xr:uid="{00000000-0005-0000-0000-0000DB890000}"/>
    <cellStyle name="Note 2 4 8" xfId="36817" xr:uid="{00000000-0005-0000-0000-0000DC890000}"/>
    <cellStyle name="Note 2 5" xfId="10361" xr:uid="{00000000-0005-0000-0000-0000DD890000}"/>
    <cellStyle name="Note 2 5 2" xfId="19714" xr:uid="{00000000-0005-0000-0000-0000DE890000}"/>
    <cellStyle name="Note 2 5 2 2" xfId="36290" xr:uid="{00000000-0005-0000-0000-0000DF890000}"/>
    <cellStyle name="Note 2 5 3" xfId="28243" xr:uid="{00000000-0005-0000-0000-0000E0890000}"/>
    <cellStyle name="Note 2 6" xfId="10903" xr:uid="{00000000-0005-0000-0000-0000E1890000}"/>
    <cellStyle name="Note 2 6 2" xfId="32535" xr:uid="{00000000-0005-0000-0000-0000E2890000}"/>
    <cellStyle name="Note 2 7" xfId="6546" xr:uid="{00000000-0005-0000-0000-0000E3890000}"/>
    <cellStyle name="Note 2 8" xfId="36380" xr:uid="{00000000-0005-0000-0000-0000E4890000}"/>
    <cellStyle name="Note 2 9" xfId="11115" xr:uid="{00000000-0005-0000-0000-0000E5890000}"/>
    <cellStyle name="Note 20" xfId="11621" xr:uid="{00000000-0005-0000-0000-0000E6890000}"/>
    <cellStyle name="Note 21" xfId="11636" xr:uid="{00000000-0005-0000-0000-0000E7890000}"/>
    <cellStyle name="Note 22" xfId="11662" xr:uid="{00000000-0005-0000-0000-0000E8890000}"/>
    <cellStyle name="Note 23" xfId="11520" xr:uid="{00000000-0005-0000-0000-0000E9890000}"/>
    <cellStyle name="Note 24" xfId="11656" xr:uid="{00000000-0005-0000-0000-0000EA890000}"/>
    <cellStyle name="Note 25" xfId="11528" xr:uid="{00000000-0005-0000-0000-0000EB890000}"/>
    <cellStyle name="Note 26" xfId="11650" xr:uid="{00000000-0005-0000-0000-0000EC890000}"/>
    <cellStyle name="Note 27" xfId="11534" xr:uid="{00000000-0005-0000-0000-0000ED890000}"/>
    <cellStyle name="Note 28" xfId="11645" xr:uid="{00000000-0005-0000-0000-0000EE890000}"/>
    <cellStyle name="Note 29" xfId="11539" xr:uid="{00000000-0005-0000-0000-0000EF890000}"/>
    <cellStyle name="Note 3" xfId="297" xr:uid="{00000000-0005-0000-0000-0000F0890000}"/>
    <cellStyle name="Note 3 2" xfId="298" xr:uid="{00000000-0005-0000-0000-0000F1890000}"/>
    <cellStyle name="Note 3 2 2" xfId="299" xr:uid="{00000000-0005-0000-0000-0000F2890000}"/>
    <cellStyle name="Note 3 2 2 2" xfId="6554" xr:uid="{00000000-0005-0000-0000-0000F3890000}"/>
    <cellStyle name="Note 3 2 2 2 2" xfId="15982" xr:uid="{00000000-0005-0000-0000-0000F4890000}"/>
    <cellStyle name="Note 3 2 2 2 2 2" xfId="32546" xr:uid="{00000000-0005-0000-0000-0000F5890000}"/>
    <cellStyle name="Note 3 2 2 2 3" xfId="24502" xr:uid="{00000000-0005-0000-0000-0000F6890000}"/>
    <cellStyle name="Note 3 2 2 2 4" xfId="36901" xr:uid="{00000000-0005-0000-0000-0000F7890000}"/>
    <cellStyle name="Note 3 2 2 3" xfId="15981" xr:uid="{00000000-0005-0000-0000-0000F8890000}"/>
    <cellStyle name="Note 3 2 2 3 2" xfId="32545" xr:uid="{00000000-0005-0000-0000-0000F9890000}"/>
    <cellStyle name="Note 3 2 2 4" xfId="24501" xr:uid="{00000000-0005-0000-0000-0000FA890000}"/>
    <cellStyle name="Note 3 2 3" xfId="6555" xr:uid="{00000000-0005-0000-0000-0000FB890000}"/>
    <cellStyle name="Note 3 2 3 2" xfId="15983" xr:uid="{00000000-0005-0000-0000-0000FC890000}"/>
    <cellStyle name="Note 3 2 3 2 2" xfId="32547" xr:uid="{00000000-0005-0000-0000-0000FD890000}"/>
    <cellStyle name="Note 3 2 3 3" xfId="24503" xr:uid="{00000000-0005-0000-0000-0000FE890000}"/>
    <cellStyle name="Note 3 2 3 4" xfId="36900" xr:uid="{00000000-0005-0000-0000-0000FF890000}"/>
    <cellStyle name="Note 3 2 4" xfId="15980" xr:uid="{00000000-0005-0000-0000-0000008A0000}"/>
    <cellStyle name="Note 3 2 4 2" xfId="32544" xr:uid="{00000000-0005-0000-0000-0000018A0000}"/>
    <cellStyle name="Note 3 2 5" xfId="24500" xr:uid="{00000000-0005-0000-0000-0000028A0000}"/>
    <cellStyle name="Note 3 3" xfId="300" xr:uid="{00000000-0005-0000-0000-0000038A0000}"/>
    <cellStyle name="Note 3 3 2" xfId="6556" xr:uid="{00000000-0005-0000-0000-0000048A0000}"/>
    <cellStyle name="Note 3 3 2 2" xfId="15985" xr:uid="{00000000-0005-0000-0000-0000058A0000}"/>
    <cellStyle name="Note 3 3 2 2 2" xfId="32549" xr:uid="{00000000-0005-0000-0000-0000068A0000}"/>
    <cellStyle name="Note 3 3 2 3" xfId="24505" xr:uid="{00000000-0005-0000-0000-0000078A0000}"/>
    <cellStyle name="Note 3 3 2 4" xfId="36902" xr:uid="{00000000-0005-0000-0000-0000088A0000}"/>
    <cellStyle name="Note 3 3 3" xfId="15984" xr:uid="{00000000-0005-0000-0000-0000098A0000}"/>
    <cellStyle name="Note 3 3 3 2" xfId="32548" xr:uid="{00000000-0005-0000-0000-00000A8A0000}"/>
    <cellStyle name="Note 3 3 4" xfId="24504" xr:uid="{00000000-0005-0000-0000-00000B8A0000}"/>
    <cellStyle name="Note 3 4" xfId="6557" xr:uid="{00000000-0005-0000-0000-00000C8A0000}"/>
    <cellStyle name="Note 3 4 2" xfId="15986" xr:uid="{00000000-0005-0000-0000-00000D8A0000}"/>
    <cellStyle name="Note 3 4 2 2" xfId="32550" xr:uid="{00000000-0005-0000-0000-00000E8A0000}"/>
    <cellStyle name="Note 3 4 3" xfId="24506" xr:uid="{00000000-0005-0000-0000-00000F8A0000}"/>
    <cellStyle name="Note 3 4 4" xfId="36899" xr:uid="{00000000-0005-0000-0000-0000108A0000}"/>
    <cellStyle name="Note 3 5" xfId="15979" xr:uid="{00000000-0005-0000-0000-0000118A0000}"/>
    <cellStyle name="Note 3 5 2" xfId="32543" xr:uid="{00000000-0005-0000-0000-0000128A0000}"/>
    <cellStyle name="Note 3 6" xfId="24499" xr:uid="{00000000-0005-0000-0000-0000138A0000}"/>
    <cellStyle name="Note 30" xfId="11615" xr:uid="{00000000-0005-0000-0000-0000148A0000}"/>
    <cellStyle name="Note 31" xfId="11542" xr:uid="{00000000-0005-0000-0000-0000158A0000}"/>
    <cellStyle name="Note 32" xfId="11612" xr:uid="{00000000-0005-0000-0000-0000168A0000}"/>
    <cellStyle name="Note 33" xfId="11544" xr:uid="{00000000-0005-0000-0000-0000178A0000}"/>
    <cellStyle name="Note 34" xfId="11610" xr:uid="{00000000-0005-0000-0000-0000188A0000}"/>
    <cellStyle name="Note 35" xfId="11546" xr:uid="{00000000-0005-0000-0000-0000198A0000}"/>
    <cellStyle name="Note 36" xfId="11609" xr:uid="{00000000-0005-0000-0000-00001A8A0000}"/>
    <cellStyle name="Note 37" xfId="11548" xr:uid="{00000000-0005-0000-0000-00001B8A0000}"/>
    <cellStyle name="Note 38" xfId="11608" xr:uid="{00000000-0005-0000-0000-00001C8A0000}"/>
    <cellStyle name="Note 39" xfId="11550" xr:uid="{00000000-0005-0000-0000-00001D8A0000}"/>
    <cellStyle name="Note 4" xfId="1159" xr:uid="{00000000-0005-0000-0000-00001E8A0000}"/>
    <cellStyle name="Note 4 10" xfId="36699" xr:uid="{00000000-0005-0000-0000-00001F8A0000}"/>
    <cellStyle name="Note 4 2" xfId="1599" xr:uid="{00000000-0005-0000-0000-0000208A0000}"/>
    <cellStyle name="Note 4 2 2" xfId="1641" xr:uid="{00000000-0005-0000-0000-0000218A0000}"/>
    <cellStyle name="Note 4 2 2 2" xfId="6560" xr:uid="{00000000-0005-0000-0000-0000228A0000}"/>
    <cellStyle name="Note 4 2 2 2 2" xfId="32553" xr:uid="{00000000-0005-0000-0000-0000238A0000}"/>
    <cellStyle name="Note 4 2 2 3" xfId="24507" xr:uid="{00000000-0005-0000-0000-0000248A0000}"/>
    <cellStyle name="Note 4 2 2 4" xfId="11198" xr:uid="{00000000-0005-0000-0000-0000258A0000}"/>
    <cellStyle name="Note 4 2 2 5" xfId="36789" xr:uid="{00000000-0005-0000-0000-0000268A0000}"/>
    <cellStyle name="Note 4 2 2 6" xfId="36643" xr:uid="{00000000-0005-0000-0000-0000278A0000}"/>
    <cellStyle name="Note 4 2 2 7" xfId="36616" xr:uid="{00000000-0005-0000-0000-0000288A0000}"/>
    <cellStyle name="Note 4 2 3" xfId="1660" xr:uid="{00000000-0005-0000-0000-0000298A0000}"/>
    <cellStyle name="Note 4 2 3 2" xfId="32552" xr:uid="{00000000-0005-0000-0000-00002A8A0000}"/>
    <cellStyle name="Note 4 2 3 3" xfId="15988" xr:uid="{00000000-0005-0000-0000-00002B8A0000}"/>
    <cellStyle name="Note 4 2 3 4" xfId="11217" xr:uid="{00000000-0005-0000-0000-00002C8A0000}"/>
    <cellStyle name="Note 4 2 3 5" xfId="36808" xr:uid="{00000000-0005-0000-0000-00002D8A0000}"/>
    <cellStyle name="Note 4 2 3 6" xfId="36714" xr:uid="{00000000-0005-0000-0000-00002E8A0000}"/>
    <cellStyle name="Note 4 2 3 7" xfId="36938" xr:uid="{00000000-0005-0000-0000-00002F8A0000}"/>
    <cellStyle name="Note 4 2 4" xfId="6559" xr:uid="{00000000-0005-0000-0000-0000308A0000}"/>
    <cellStyle name="Note 4 2 5" xfId="11159" xr:uid="{00000000-0005-0000-0000-0000318A0000}"/>
    <cellStyle name="Note 4 2 6" xfId="36750" xr:uid="{00000000-0005-0000-0000-0000328A0000}"/>
    <cellStyle name="Note 4 2 7" xfId="36704" xr:uid="{00000000-0005-0000-0000-0000338A0000}"/>
    <cellStyle name="Note 4 2 8" xfId="36613" xr:uid="{00000000-0005-0000-0000-0000348A0000}"/>
    <cellStyle name="Note 4 3" xfId="1624" xr:uid="{00000000-0005-0000-0000-0000358A0000}"/>
    <cellStyle name="Note 4 3 2" xfId="6561" xr:uid="{00000000-0005-0000-0000-0000368A0000}"/>
    <cellStyle name="Note 4 3 2 2" xfId="32554" xr:uid="{00000000-0005-0000-0000-0000378A0000}"/>
    <cellStyle name="Note 4 3 3" xfId="24508" xr:uid="{00000000-0005-0000-0000-0000388A0000}"/>
    <cellStyle name="Note 4 3 4" xfId="11181" xr:uid="{00000000-0005-0000-0000-0000398A0000}"/>
    <cellStyle name="Note 4 3 5" xfId="36772" xr:uid="{00000000-0005-0000-0000-00003A8A0000}"/>
    <cellStyle name="Note 4 3 6" xfId="36607" xr:uid="{00000000-0005-0000-0000-00003B8A0000}"/>
    <cellStyle name="Note 4 3 7" xfId="36633" xr:uid="{00000000-0005-0000-0000-00003C8A0000}"/>
    <cellStyle name="Note 4 4" xfId="1621" xr:uid="{00000000-0005-0000-0000-00003D8A0000}"/>
    <cellStyle name="Note 4 4 2" xfId="32551" xr:uid="{00000000-0005-0000-0000-00003E8A0000}"/>
    <cellStyle name="Note 4 4 3" xfId="15987" xr:uid="{00000000-0005-0000-0000-00003F8A0000}"/>
    <cellStyle name="Note 4 4 4" xfId="11178" xr:uid="{00000000-0005-0000-0000-0000408A0000}"/>
    <cellStyle name="Note 4 4 5" xfId="36769" xr:uid="{00000000-0005-0000-0000-0000418A0000}"/>
    <cellStyle name="Note 4 4 6" xfId="36602" xr:uid="{00000000-0005-0000-0000-0000428A0000}"/>
    <cellStyle name="Note 4 4 7" xfId="36693" xr:uid="{00000000-0005-0000-0000-0000438A0000}"/>
    <cellStyle name="Note 4 5" xfId="6558" xr:uid="{00000000-0005-0000-0000-0000448A0000}"/>
    <cellStyle name="Note 4 6" xfId="36382" xr:uid="{00000000-0005-0000-0000-0000458A0000}"/>
    <cellStyle name="Note 4 7" xfId="11132" xr:uid="{00000000-0005-0000-0000-0000468A0000}"/>
    <cellStyle name="Note 4 8" xfId="36679" xr:uid="{00000000-0005-0000-0000-0000478A0000}"/>
    <cellStyle name="Note 4 9" xfId="36639" xr:uid="{00000000-0005-0000-0000-0000488A0000}"/>
    <cellStyle name="Note 40" xfId="11606" xr:uid="{00000000-0005-0000-0000-0000498A0000}"/>
    <cellStyle name="Note 41" xfId="11555" xr:uid="{00000000-0005-0000-0000-00004A8A0000}"/>
    <cellStyle name="Note 41 2" xfId="28349" xr:uid="{00000000-0005-0000-0000-00004B8A0000}"/>
    <cellStyle name="Note 42" xfId="19831" xr:uid="{00000000-0005-0000-0000-00004C8A0000}"/>
    <cellStyle name="Note 43" xfId="19848" xr:uid="{00000000-0005-0000-0000-00004D8A0000}"/>
    <cellStyle name="Note 44" xfId="19853" xr:uid="{00000000-0005-0000-0000-00004E8A0000}"/>
    <cellStyle name="Note 45" xfId="19881" xr:uid="{00000000-0005-0000-0000-00004F8A0000}"/>
    <cellStyle name="Note 46" xfId="19895" xr:uid="{00000000-0005-0000-0000-0000508A0000}"/>
    <cellStyle name="Note 47" xfId="19911" xr:uid="{00000000-0005-0000-0000-0000518A0000}"/>
    <cellStyle name="Note 48" xfId="19887" xr:uid="{00000000-0005-0000-0000-0000528A0000}"/>
    <cellStyle name="Note 49" xfId="19933" xr:uid="{00000000-0005-0000-0000-0000538A0000}"/>
    <cellStyle name="Note 5" xfId="6562" xr:uid="{00000000-0005-0000-0000-0000548A0000}"/>
    <cellStyle name="Note 5 2" xfId="6563" xr:uid="{00000000-0005-0000-0000-0000558A0000}"/>
    <cellStyle name="Note 5 2 2" xfId="15990" xr:uid="{00000000-0005-0000-0000-0000568A0000}"/>
    <cellStyle name="Note 5 2 2 2" xfId="32556" xr:uid="{00000000-0005-0000-0000-0000578A0000}"/>
    <cellStyle name="Note 5 2 3" xfId="24510" xr:uid="{00000000-0005-0000-0000-0000588A0000}"/>
    <cellStyle name="Note 5 3" xfId="15989" xr:uid="{00000000-0005-0000-0000-0000598A0000}"/>
    <cellStyle name="Note 5 3 2" xfId="32555" xr:uid="{00000000-0005-0000-0000-00005A8A0000}"/>
    <cellStyle name="Note 5 4" xfId="24509" xr:uid="{00000000-0005-0000-0000-00005B8A0000}"/>
    <cellStyle name="Note 50" xfId="19960" xr:uid="{00000000-0005-0000-0000-00005C8A0000}"/>
    <cellStyle name="Note 51" xfId="19979" xr:uid="{00000000-0005-0000-0000-00005D8A0000}"/>
    <cellStyle name="Note 52" xfId="20094" xr:uid="{00000000-0005-0000-0000-00005E8A0000}"/>
    <cellStyle name="Note 53" xfId="20108" xr:uid="{00000000-0005-0000-0000-00005F8A0000}"/>
    <cellStyle name="Note 54" xfId="20132" xr:uid="{00000000-0005-0000-0000-0000608A0000}"/>
    <cellStyle name="Note 55" xfId="19997" xr:uid="{00000000-0005-0000-0000-0000618A0000}"/>
    <cellStyle name="Note 56" xfId="20127" xr:uid="{00000000-0005-0000-0000-0000628A0000}"/>
    <cellStyle name="Note 57" xfId="20004" xr:uid="{00000000-0005-0000-0000-0000638A0000}"/>
    <cellStyle name="Note 58" xfId="20121" xr:uid="{00000000-0005-0000-0000-0000648A0000}"/>
    <cellStyle name="Note 59" xfId="20010" xr:uid="{00000000-0005-0000-0000-0000658A0000}"/>
    <cellStyle name="Note 6" xfId="6564" xr:uid="{00000000-0005-0000-0000-0000668A0000}"/>
    <cellStyle name="Note 6 2" xfId="6565" xr:uid="{00000000-0005-0000-0000-0000678A0000}"/>
    <cellStyle name="Note 6 2 2" xfId="15992" xr:uid="{00000000-0005-0000-0000-0000688A0000}"/>
    <cellStyle name="Note 6 2 2 2" xfId="32558" xr:uid="{00000000-0005-0000-0000-0000698A0000}"/>
    <cellStyle name="Note 6 2 3" xfId="24512" xr:uid="{00000000-0005-0000-0000-00006A8A0000}"/>
    <cellStyle name="Note 6 3" xfId="15991" xr:uid="{00000000-0005-0000-0000-00006B8A0000}"/>
    <cellStyle name="Note 6 3 2" xfId="32557" xr:uid="{00000000-0005-0000-0000-00006C8A0000}"/>
    <cellStyle name="Note 6 4" xfId="24511" xr:uid="{00000000-0005-0000-0000-00006D8A0000}"/>
    <cellStyle name="Note 60" xfId="20116" xr:uid="{00000000-0005-0000-0000-00006E8A0000}"/>
    <cellStyle name="Note 61" xfId="20015" xr:uid="{00000000-0005-0000-0000-00006F8A0000}"/>
    <cellStyle name="Note 62" xfId="20088" xr:uid="{00000000-0005-0000-0000-0000708A0000}"/>
    <cellStyle name="Note 63" xfId="20018" xr:uid="{00000000-0005-0000-0000-0000718A0000}"/>
    <cellStyle name="Note 64" xfId="20086" xr:uid="{00000000-0005-0000-0000-0000728A0000}"/>
    <cellStyle name="Note 65" xfId="20020" xr:uid="{00000000-0005-0000-0000-0000738A0000}"/>
    <cellStyle name="Note 66" xfId="20084" xr:uid="{00000000-0005-0000-0000-0000748A0000}"/>
    <cellStyle name="Note 67" xfId="20022" xr:uid="{00000000-0005-0000-0000-0000758A0000}"/>
    <cellStyle name="Note 68" xfId="20083" xr:uid="{00000000-0005-0000-0000-0000768A0000}"/>
    <cellStyle name="Note 69" xfId="20024" xr:uid="{00000000-0005-0000-0000-0000778A0000}"/>
    <cellStyle name="Note 7" xfId="6566" xr:uid="{00000000-0005-0000-0000-0000788A0000}"/>
    <cellStyle name="Note 7 2" xfId="15993" xr:uid="{00000000-0005-0000-0000-0000798A0000}"/>
    <cellStyle name="Note 7 2 2" xfId="32559" xr:uid="{00000000-0005-0000-0000-00007A8A0000}"/>
    <cellStyle name="Note 7 3" xfId="24513" xr:uid="{00000000-0005-0000-0000-00007B8A0000}"/>
    <cellStyle name="Note 70" xfId="20082" xr:uid="{00000000-0005-0000-0000-00007C8A0000}"/>
    <cellStyle name="Note 71" xfId="20026" xr:uid="{00000000-0005-0000-0000-00007D8A0000}"/>
    <cellStyle name="Note 72" xfId="20080" xr:uid="{00000000-0005-0000-0000-00007E8A0000}"/>
    <cellStyle name="Note 73" xfId="19801" xr:uid="{00000000-0005-0000-0000-00007F8A0000}"/>
    <cellStyle name="Note 8" xfId="6567" xr:uid="{00000000-0005-0000-0000-0000808A0000}"/>
    <cellStyle name="Note 8 2" xfId="15994" xr:uid="{00000000-0005-0000-0000-0000818A0000}"/>
    <cellStyle name="Note 8 2 2" xfId="32560" xr:uid="{00000000-0005-0000-0000-0000828A0000}"/>
    <cellStyle name="Note 8 3" xfId="24514" xr:uid="{00000000-0005-0000-0000-0000838A0000}"/>
    <cellStyle name="Note 9" xfId="6568" xr:uid="{00000000-0005-0000-0000-0000848A0000}"/>
    <cellStyle name="Note 9 2" xfId="15995" xr:uid="{00000000-0005-0000-0000-0000858A0000}"/>
    <cellStyle name="Note 9 2 2" xfId="32561" xr:uid="{00000000-0005-0000-0000-0000868A0000}"/>
    <cellStyle name="Note 9 3" xfId="24515" xr:uid="{00000000-0005-0000-0000-0000878A0000}"/>
    <cellStyle name="Nulos" xfId="1937" xr:uid="{00000000-0005-0000-0000-0000888A0000}"/>
    <cellStyle name="Number" xfId="16" xr:uid="{00000000-0005-0000-0000-0000898A0000}"/>
    <cellStyle name="Œ…‹æØ‚è [0.00]_GE 3 MINIMUM" xfId="1938" xr:uid="{00000000-0005-0000-0000-00008A8A0000}"/>
    <cellStyle name="Œ…‹æØ‚è_GE 3 MINIMUM" xfId="1939" xr:uid="{00000000-0005-0000-0000-00008B8A0000}"/>
    <cellStyle name="Oficio" xfId="1940" xr:uid="{00000000-0005-0000-0000-00008C8A0000}"/>
    <cellStyle name="Osborne" xfId="301" xr:uid="{00000000-0005-0000-0000-00008D8A0000}"/>
    <cellStyle name="Osborne 2" xfId="10411" xr:uid="{00000000-0005-0000-0000-00008E8A0000}"/>
    <cellStyle name="Osborne 3" xfId="11107" xr:uid="{00000000-0005-0000-0000-00008F8A0000}"/>
    <cellStyle name="Osborne 3 2" xfId="11306" xr:uid="{00000000-0005-0000-0000-0000908A0000}"/>
    <cellStyle name="OSW_RowLabels" xfId="1160" xr:uid="{00000000-0005-0000-0000-0000918A0000}"/>
    <cellStyle name="Output" xfId="1747" builtinId="21" customBuiltin="1"/>
    <cellStyle name="Output 10" xfId="11443" xr:uid="{00000000-0005-0000-0000-0000938A0000}"/>
    <cellStyle name="Output 11" xfId="11460" xr:uid="{00000000-0005-0000-0000-0000948A0000}"/>
    <cellStyle name="Output 12" xfId="11492" xr:uid="{00000000-0005-0000-0000-0000958A0000}"/>
    <cellStyle name="Output 13" xfId="11626" xr:uid="{00000000-0005-0000-0000-0000968A0000}"/>
    <cellStyle name="Output 14" xfId="11511" xr:uid="{00000000-0005-0000-0000-0000978A0000}"/>
    <cellStyle name="Output 15" xfId="11667" xr:uid="{00000000-0005-0000-0000-0000988A0000}"/>
    <cellStyle name="Output 16" xfId="11684" xr:uid="{00000000-0005-0000-0000-0000998A0000}"/>
    <cellStyle name="Output 17" xfId="11699" xr:uid="{00000000-0005-0000-0000-00009A8A0000}"/>
    <cellStyle name="Output 18" xfId="11716" xr:uid="{00000000-0005-0000-0000-00009B8A0000}"/>
    <cellStyle name="Output 19" xfId="11732" xr:uid="{00000000-0005-0000-0000-00009C8A0000}"/>
    <cellStyle name="Output 2" xfId="67" xr:uid="{00000000-0005-0000-0000-00009D8A0000}"/>
    <cellStyle name="Output 2 10" xfId="36413" xr:uid="{00000000-0005-0000-0000-00009E8A0000}"/>
    <cellStyle name="Output 2 11" xfId="36523" xr:uid="{00000000-0005-0000-0000-00009F8A0000}"/>
    <cellStyle name="Output 2 12" xfId="36539" xr:uid="{00000000-0005-0000-0000-0000A08A0000}"/>
    <cellStyle name="Output 2 13" xfId="36513" xr:uid="{00000000-0005-0000-0000-0000A18A0000}"/>
    <cellStyle name="Output 2 14" xfId="36405" xr:uid="{00000000-0005-0000-0000-0000A28A0000}"/>
    <cellStyle name="Output 2 15" xfId="36474" xr:uid="{00000000-0005-0000-0000-0000A38A0000}"/>
    <cellStyle name="Output 2 16" xfId="36467" xr:uid="{00000000-0005-0000-0000-0000A48A0000}"/>
    <cellStyle name="Output 2 17" xfId="36472" xr:uid="{00000000-0005-0000-0000-0000A58A0000}"/>
    <cellStyle name="Output 2 18" xfId="36557" xr:uid="{00000000-0005-0000-0000-0000A68A0000}"/>
    <cellStyle name="Output 2 19" xfId="36531" xr:uid="{00000000-0005-0000-0000-0000A78A0000}"/>
    <cellStyle name="Output 2 2" xfId="302" xr:uid="{00000000-0005-0000-0000-0000A88A0000}"/>
    <cellStyle name="Output 2 2 10" xfId="36503" xr:uid="{00000000-0005-0000-0000-0000A98A0000}"/>
    <cellStyle name="Output 2 2 11" xfId="36562" xr:uid="{00000000-0005-0000-0000-0000AA8A0000}"/>
    <cellStyle name="Output 2 2 12" xfId="36468" xr:uid="{00000000-0005-0000-0000-0000AB8A0000}"/>
    <cellStyle name="Output 2 2 13" xfId="36563" xr:uid="{00000000-0005-0000-0000-0000AC8A0000}"/>
    <cellStyle name="Output 2 2 14" xfId="36428" xr:uid="{00000000-0005-0000-0000-0000AD8A0000}"/>
    <cellStyle name="Output 2 2 15" xfId="36417" xr:uid="{00000000-0005-0000-0000-0000AE8A0000}"/>
    <cellStyle name="Output 2 2 16" xfId="36438" xr:uid="{00000000-0005-0000-0000-0000AF8A0000}"/>
    <cellStyle name="Output 2 2 17" xfId="36573" xr:uid="{00000000-0005-0000-0000-0000B08A0000}"/>
    <cellStyle name="Output 2 2 18" xfId="36571" xr:uid="{00000000-0005-0000-0000-0000B18A0000}"/>
    <cellStyle name="Output 2 2 19" xfId="36488" xr:uid="{00000000-0005-0000-0000-0000B28A0000}"/>
    <cellStyle name="Output 2 2 2" xfId="1593" xr:uid="{00000000-0005-0000-0000-0000B38A0000}"/>
    <cellStyle name="Output 2 2 2 2" xfId="1636" xr:uid="{00000000-0005-0000-0000-0000B48A0000}"/>
    <cellStyle name="Output 2 2 2 2 2" xfId="11193" xr:uid="{00000000-0005-0000-0000-0000B58A0000}"/>
    <cellStyle name="Output 2 2 2 2 3" xfId="36784" xr:uid="{00000000-0005-0000-0000-0000B68A0000}"/>
    <cellStyle name="Output 2 2 2 2 4" xfId="36688" xr:uid="{00000000-0005-0000-0000-0000B78A0000}"/>
    <cellStyle name="Output 2 2 2 2 5" xfId="36626" xr:uid="{00000000-0005-0000-0000-0000B88A0000}"/>
    <cellStyle name="Output 2 2 2 3" xfId="1655" xr:uid="{00000000-0005-0000-0000-0000B98A0000}"/>
    <cellStyle name="Output 2 2 2 3 2" xfId="11212" xr:uid="{00000000-0005-0000-0000-0000BA8A0000}"/>
    <cellStyle name="Output 2 2 2 3 3" xfId="36803" xr:uid="{00000000-0005-0000-0000-0000BB8A0000}"/>
    <cellStyle name="Output 2 2 2 3 4" xfId="36648" xr:uid="{00000000-0005-0000-0000-0000BC8A0000}"/>
    <cellStyle name="Output 2 2 2 3 5" xfId="36658" xr:uid="{00000000-0005-0000-0000-0000BD8A0000}"/>
    <cellStyle name="Output 2 2 2 4" xfId="11154" xr:uid="{00000000-0005-0000-0000-0000BE8A0000}"/>
    <cellStyle name="Output 2 2 2 5" xfId="36745" xr:uid="{00000000-0005-0000-0000-0000BF8A0000}"/>
    <cellStyle name="Output 2 2 2 6" xfId="36700" xr:uid="{00000000-0005-0000-0000-0000C08A0000}"/>
    <cellStyle name="Output 2 2 2 7" xfId="36695" xr:uid="{00000000-0005-0000-0000-0000C18A0000}"/>
    <cellStyle name="Output 2 2 20" xfId="36561" xr:uid="{00000000-0005-0000-0000-0000C28A0000}"/>
    <cellStyle name="Output 2 2 21" xfId="36550" xr:uid="{00000000-0005-0000-0000-0000C38A0000}"/>
    <cellStyle name="Output 2 2 22" xfId="36624" xr:uid="{00000000-0005-0000-0000-0000C48A0000}"/>
    <cellStyle name="Output 2 2 3" xfId="11109" xr:uid="{00000000-0005-0000-0000-0000C58A0000}"/>
    <cellStyle name="Output 2 2 4" xfId="36394" xr:uid="{00000000-0005-0000-0000-0000C68A0000}"/>
    <cellStyle name="Output 2 2 5" xfId="36528" xr:uid="{00000000-0005-0000-0000-0000C78A0000}"/>
    <cellStyle name="Output 2 2 6" xfId="36423" xr:uid="{00000000-0005-0000-0000-0000C88A0000}"/>
    <cellStyle name="Output 2 2 7" xfId="36400" xr:uid="{00000000-0005-0000-0000-0000C98A0000}"/>
    <cellStyle name="Output 2 2 8" xfId="36463" xr:uid="{00000000-0005-0000-0000-0000CA8A0000}"/>
    <cellStyle name="Output 2 2 9" xfId="36552" xr:uid="{00000000-0005-0000-0000-0000CB8A0000}"/>
    <cellStyle name="Output 2 20" xfId="36469" xr:uid="{00000000-0005-0000-0000-0000CC8A0000}"/>
    <cellStyle name="Output 2 21" xfId="36543" xr:uid="{00000000-0005-0000-0000-0000CD8A0000}"/>
    <cellStyle name="Output 2 22" xfId="36457" xr:uid="{00000000-0005-0000-0000-0000CE8A0000}"/>
    <cellStyle name="Output 2 23" xfId="36429" xr:uid="{00000000-0005-0000-0000-0000CF8A0000}"/>
    <cellStyle name="Output 2 24" xfId="36598" xr:uid="{00000000-0005-0000-0000-0000D08A0000}"/>
    <cellStyle name="Output 2 3" xfId="1587" xr:uid="{00000000-0005-0000-0000-0000D18A0000}"/>
    <cellStyle name="Output 2 3 2" xfId="1630" xr:uid="{00000000-0005-0000-0000-0000D28A0000}"/>
    <cellStyle name="Output 2 3 2 2" xfId="11187" xr:uid="{00000000-0005-0000-0000-0000D38A0000}"/>
    <cellStyle name="Output 2 3 2 3" xfId="36778" xr:uid="{00000000-0005-0000-0000-0000D48A0000}"/>
    <cellStyle name="Output 2 3 2 4" xfId="36683" xr:uid="{00000000-0005-0000-0000-0000D58A0000}"/>
    <cellStyle name="Output 2 3 2 5" xfId="36587" xr:uid="{00000000-0005-0000-0000-0000D68A0000}"/>
    <cellStyle name="Output 2 3 3" xfId="1649" xr:uid="{00000000-0005-0000-0000-0000D78A0000}"/>
    <cellStyle name="Output 2 3 3 2" xfId="11206" xr:uid="{00000000-0005-0000-0000-0000D88A0000}"/>
    <cellStyle name="Output 2 3 3 3" xfId="36797" xr:uid="{00000000-0005-0000-0000-0000D98A0000}"/>
    <cellStyle name="Output 2 3 3 4" xfId="36814" xr:uid="{00000000-0005-0000-0000-0000DA8A0000}"/>
    <cellStyle name="Output 2 3 3 5" xfId="36691" xr:uid="{00000000-0005-0000-0000-0000DB8A0000}"/>
    <cellStyle name="Output 2 3 4" xfId="11148" xr:uid="{00000000-0005-0000-0000-0000DC8A0000}"/>
    <cellStyle name="Output 2 3 5" xfId="36739" xr:uid="{00000000-0005-0000-0000-0000DD8A0000}"/>
    <cellStyle name="Output 2 3 6" xfId="36923" xr:uid="{00000000-0005-0000-0000-0000DE8A0000}"/>
    <cellStyle name="Output 2 3 7" xfId="36813" xr:uid="{00000000-0005-0000-0000-0000DF8A0000}"/>
    <cellStyle name="Output 2 4" xfId="1610" xr:uid="{00000000-0005-0000-0000-0000E08A0000}"/>
    <cellStyle name="Output 2 4 2" xfId="11167" xr:uid="{00000000-0005-0000-0000-0000E18A0000}"/>
    <cellStyle name="Output 2 4 3" xfId="36758" xr:uid="{00000000-0005-0000-0000-0000E28A0000}"/>
    <cellStyle name="Output 2 4 4" xfId="36622" xr:uid="{00000000-0005-0000-0000-0000E38A0000}"/>
    <cellStyle name="Output 2 4 5" xfId="36611" xr:uid="{00000000-0005-0000-0000-0000E48A0000}"/>
    <cellStyle name="Output 2 5" xfId="11108" xr:uid="{00000000-0005-0000-0000-0000E58A0000}"/>
    <cellStyle name="Output 2 6" xfId="36388" xr:uid="{00000000-0005-0000-0000-0000E68A0000}"/>
    <cellStyle name="Output 2 7" xfId="36448" xr:uid="{00000000-0005-0000-0000-0000E78A0000}"/>
    <cellStyle name="Output 2 8" xfId="36412" xr:uid="{00000000-0005-0000-0000-0000E88A0000}"/>
    <cellStyle name="Output 2 9" xfId="36520" xr:uid="{00000000-0005-0000-0000-0000E98A0000}"/>
    <cellStyle name="Output 20" xfId="11748" xr:uid="{00000000-0005-0000-0000-0000EA8A0000}"/>
    <cellStyle name="Output 21" xfId="11764" xr:uid="{00000000-0005-0000-0000-0000EB8A0000}"/>
    <cellStyle name="Output 22" xfId="11780" xr:uid="{00000000-0005-0000-0000-0000EC8A0000}"/>
    <cellStyle name="Output 23" xfId="11795" xr:uid="{00000000-0005-0000-0000-0000ED8A0000}"/>
    <cellStyle name="Output 24" xfId="11812" xr:uid="{00000000-0005-0000-0000-0000EE8A0000}"/>
    <cellStyle name="Output 25" xfId="11827" xr:uid="{00000000-0005-0000-0000-0000EF8A0000}"/>
    <cellStyle name="Output 26" xfId="11843" xr:uid="{00000000-0005-0000-0000-0000F08A0000}"/>
    <cellStyle name="Output 27" xfId="11857" xr:uid="{00000000-0005-0000-0000-0000F18A0000}"/>
    <cellStyle name="Output 28" xfId="11872" xr:uid="{00000000-0005-0000-0000-0000F28A0000}"/>
    <cellStyle name="Output 29" xfId="11887" xr:uid="{00000000-0005-0000-0000-0000F38A0000}"/>
    <cellStyle name="Output 3" xfId="1161" xr:uid="{00000000-0005-0000-0000-0000F48A0000}"/>
    <cellStyle name="Output 3 10" xfId="36673" xr:uid="{00000000-0005-0000-0000-0000F58A0000}"/>
    <cellStyle name="Output 3 2" xfId="1600" xr:uid="{00000000-0005-0000-0000-0000F68A0000}"/>
    <cellStyle name="Output 3 2 2" xfId="1642" xr:uid="{00000000-0005-0000-0000-0000F78A0000}"/>
    <cellStyle name="Output 3 2 2 2" xfId="11199" xr:uid="{00000000-0005-0000-0000-0000F88A0000}"/>
    <cellStyle name="Output 3 2 2 3" xfId="36790" xr:uid="{00000000-0005-0000-0000-0000F98A0000}"/>
    <cellStyle name="Output 3 2 2 4" xfId="36590" xr:uid="{00000000-0005-0000-0000-0000FA8A0000}"/>
    <cellStyle name="Output 3 2 2 5" xfId="36936" xr:uid="{00000000-0005-0000-0000-0000FB8A0000}"/>
    <cellStyle name="Output 3 2 3" xfId="1661" xr:uid="{00000000-0005-0000-0000-0000FC8A0000}"/>
    <cellStyle name="Output 3 2 3 2" xfId="11218" xr:uid="{00000000-0005-0000-0000-0000FD8A0000}"/>
    <cellStyle name="Output 3 2 3 3" xfId="36809" xr:uid="{00000000-0005-0000-0000-0000FE8A0000}"/>
    <cellStyle name="Output 3 2 3 4" xfId="36725" xr:uid="{00000000-0005-0000-0000-0000FF8A0000}"/>
    <cellStyle name="Output 3 2 3 5" xfId="36662" xr:uid="{00000000-0005-0000-0000-0000008B0000}"/>
    <cellStyle name="Output 3 2 4" xfId="11160" xr:uid="{00000000-0005-0000-0000-0000018B0000}"/>
    <cellStyle name="Output 3 2 5" xfId="36751" xr:uid="{00000000-0005-0000-0000-0000028B0000}"/>
    <cellStyle name="Output 3 2 6" xfId="36640" xr:uid="{00000000-0005-0000-0000-0000038B0000}"/>
    <cellStyle name="Output 3 2 7" xfId="36697" xr:uid="{00000000-0005-0000-0000-0000048B0000}"/>
    <cellStyle name="Output 3 3" xfId="1625" xr:uid="{00000000-0005-0000-0000-0000058B0000}"/>
    <cellStyle name="Output 3 3 2" xfId="11182" xr:uid="{00000000-0005-0000-0000-0000068B0000}"/>
    <cellStyle name="Output 3 3 3" xfId="36773" xr:uid="{00000000-0005-0000-0000-0000078B0000}"/>
    <cellStyle name="Output 3 3 4" xfId="36711" xr:uid="{00000000-0005-0000-0000-0000088B0000}"/>
    <cellStyle name="Output 3 3 5" xfId="36669" xr:uid="{00000000-0005-0000-0000-0000098B0000}"/>
    <cellStyle name="Output 3 4" xfId="1620" xr:uid="{00000000-0005-0000-0000-00000A8B0000}"/>
    <cellStyle name="Output 3 4 2" xfId="11177" xr:uid="{00000000-0005-0000-0000-00000B8B0000}"/>
    <cellStyle name="Output 3 4 3" xfId="36768" xr:uid="{00000000-0005-0000-0000-00000C8B0000}"/>
    <cellStyle name="Output 3 4 4" xfId="36608" xr:uid="{00000000-0005-0000-0000-00000D8B0000}"/>
    <cellStyle name="Output 3 4 5" xfId="36635" xr:uid="{00000000-0005-0000-0000-00000E8B0000}"/>
    <cellStyle name="Output 3 5" xfId="11315" xr:uid="{00000000-0005-0000-0000-00000F8B0000}"/>
    <cellStyle name="Output 3 6" xfId="36383" xr:uid="{00000000-0005-0000-0000-0000108B0000}"/>
    <cellStyle name="Output 3 7" xfId="11133" xr:uid="{00000000-0005-0000-0000-0000118B0000}"/>
    <cellStyle name="Output 3 8" xfId="36681" xr:uid="{00000000-0005-0000-0000-0000128B0000}"/>
    <cellStyle name="Output 3 9" xfId="36677" xr:uid="{00000000-0005-0000-0000-0000138B0000}"/>
    <cellStyle name="Output 30" xfId="11902" xr:uid="{00000000-0005-0000-0000-0000148B0000}"/>
    <cellStyle name="Output 31" xfId="11917" xr:uid="{00000000-0005-0000-0000-0000158B0000}"/>
    <cellStyle name="Output 32" xfId="11932" xr:uid="{00000000-0005-0000-0000-0000168B0000}"/>
    <cellStyle name="Output 33" xfId="11949" xr:uid="{00000000-0005-0000-0000-0000178B0000}"/>
    <cellStyle name="Output 34" xfId="19826" xr:uid="{00000000-0005-0000-0000-0000188B0000}"/>
    <cellStyle name="Output 35" xfId="19843" xr:uid="{00000000-0005-0000-0000-0000198B0000}"/>
    <cellStyle name="Output 36" xfId="19858" xr:uid="{00000000-0005-0000-0000-00001A8B0000}"/>
    <cellStyle name="Output 37" xfId="19876" xr:uid="{00000000-0005-0000-0000-00001B8B0000}"/>
    <cellStyle name="Output 38" xfId="19900" xr:uid="{00000000-0005-0000-0000-00001C8B0000}"/>
    <cellStyle name="Output 39" xfId="19916" xr:uid="{00000000-0005-0000-0000-00001D8B0000}"/>
    <cellStyle name="Output 4" xfId="11331" xr:uid="{00000000-0005-0000-0000-00001E8B0000}"/>
    <cellStyle name="Output 40" xfId="19884" xr:uid="{00000000-0005-0000-0000-00001F8B0000}"/>
    <cellStyle name="Output 41" xfId="19938" xr:uid="{00000000-0005-0000-0000-0000208B0000}"/>
    <cellStyle name="Output 42" xfId="19955" xr:uid="{00000000-0005-0000-0000-0000218B0000}"/>
    <cellStyle name="Output 43" xfId="19974" xr:uid="{00000000-0005-0000-0000-0000228B0000}"/>
    <cellStyle name="Output 44" xfId="20099" xr:uid="{00000000-0005-0000-0000-0000238B0000}"/>
    <cellStyle name="Output 45" xfId="19989" xr:uid="{00000000-0005-0000-0000-0000248B0000}"/>
    <cellStyle name="Output 46" xfId="20137" xr:uid="{00000000-0005-0000-0000-0000258B0000}"/>
    <cellStyle name="Output 47" xfId="20153" xr:uid="{00000000-0005-0000-0000-0000268B0000}"/>
    <cellStyle name="Output 48" xfId="20168" xr:uid="{00000000-0005-0000-0000-0000278B0000}"/>
    <cellStyle name="Output 49" xfId="20184" xr:uid="{00000000-0005-0000-0000-0000288B0000}"/>
    <cellStyle name="Output 5" xfId="11357" xr:uid="{00000000-0005-0000-0000-0000298B0000}"/>
    <cellStyle name="Output 50" xfId="20199" xr:uid="{00000000-0005-0000-0000-00002A8B0000}"/>
    <cellStyle name="Output 51" xfId="20215" xr:uid="{00000000-0005-0000-0000-00002B8B0000}"/>
    <cellStyle name="Output 52" xfId="20230" xr:uid="{00000000-0005-0000-0000-00002C8B0000}"/>
    <cellStyle name="Output 53" xfId="20245" xr:uid="{00000000-0005-0000-0000-00002D8B0000}"/>
    <cellStyle name="Output 54" xfId="20259" xr:uid="{00000000-0005-0000-0000-00002E8B0000}"/>
    <cellStyle name="Output 55" xfId="20275" xr:uid="{00000000-0005-0000-0000-00002F8B0000}"/>
    <cellStyle name="Output 56" xfId="20289" xr:uid="{00000000-0005-0000-0000-0000308B0000}"/>
    <cellStyle name="Output 57" xfId="20304" xr:uid="{00000000-0005-0000-0000-0000318B0000}"/>
    <cellStyle name="Output 58" xfId="20317" xr:uid="{00000000-0005-0000-0000-0000328B0000}"/>
    <cellStyle name="Output 59" xfId="20331" xr:uid="{00000000-0005-0000-0000-0000338B0000}"/>
    <cellStyle name="Output 6" xfId="11376" xr:uid="{00000000-0005-0000-0000-0000348B0000}"/>
    <cellStyle name="Output 60" xfId="20346" xr:uid="{00000000-0005-0000-0000-0000358B0000}"/>
    <cellStyle name="Output 61" xfId="20361" xr:uid="{00000000-0005-0000-0000-0000368B0000}"/>
    <cellStyle name="Output 62" xfId="20377" xr:uid="{00000000-0005-0000-0000-0000378B0000}"/>
    <cellStyle name="Output 63" xfId="20392" xr:uid="{00000000-0005-0000-0000-0000388B0000}"/>
    <cellStyle name="Output 64" xfId="20409" xr:uid="{00000000-0005-0000-0000-0000398B0000}"/>
    <cellStyle name="Output 7" xfId="11405" xr:uid="{00000000-0005-0000-0000-00003A8B0000}"/>
    <cellStyle name="Output 8" xfId="11421" xr:uid="{00000000-0005-0000-0000-00003B8B0000}"/>
    <cellStyle name="Output 9" xfId="11384" xr:uid="{00000000-0005-0000-0000-00003C8B0000}"/>
    <cellStyle name="Page" xfId="1162" xr:uid="{00000000-0005-0000-0000-00003D8B0000}"/>
    <cellStyle name="Palatino" xfId="1163" xr:uid="{00000000-0005-0000-0000-00003E8B0000}"/>
    <cellStyle name="pe" xfId="1164" xr:uid="{00000000-0005-0000-0000-00003F8B0000}"/>
    <cellStyle name="PEG" xfId="1165" xr:uid="{00000000-0005-0000-0000-0000408B0000}"/>
    <cellStyle name="Percent" xfId="3" builtinId="5"/>
    <cellStyle name="Percent % Long Underline" xfId="6629" xr:uid="{00000000-0005-0000-0000-0000428B0000}"/>
    <cellStyle name="Percent [0]" xfId="1166" xr:uid="{00000000-0005-0000-0000-0000438B0000}"/>
    <cellStyle name="Percent [1]" xfId="1167" xr:uid="{00000000-0005-0000-0000-0000448B0000}"/>
    <cellStyle name="Percent [1][]" xfId="1168" xr:uid="{00000000-0005-0000-0000-0000458B0000}"/>
    <cellStyle name="Percent [1]_LANCE_Model_v0.6.DCF.MASTER.Name" xfId="1169" xr:uid="{00000000-0005-0000-0000-0000468B0000}"/>
    <cellStyle name="Percent [2]" xfId="1170" xr:uid="{00000000-0005-0000-0000-0000478B0000}"/>
    <cellStyle name="Percent [2] 2" xfId="1941" xr:uid="{00000000-0005-0000-0000-0000488B0000}"/>
    <cellStyle name="Percent 0.00% Long Underline" xfId="6630" xr:uid="{00000000-0005-0000-0000-0000498B0000}"/>
    <cellStyle name="Percent 1" xfId="387" xr:uid="{00000000-0005-0000-0000-00004A8B0000}"/>
    <cellStyle name="Percent 1 2" xfId="388" xr:uid="{00000000-0005-0000-0000-00004B8B0000}"/>
    <cellStyle name="Percent 10" xfId="389" xr:uid="{00000000-0005-0000-0000-00004C8B0000}"/>
    <cellStyle name="Percent 10 2" xfId="390" xr:uid="{00000000-0005-0000-0000-00004D8B0000}"/>
    <cellStyle name="Percent 10 2 2" xfId="10362" xr:uid="{00000000-0005-0000-0000-00004E8B0000}"/>
    <cellStyle name="Percent 10 2 2 2" xfId="36291" xr:uid="{00000000-0005-0000-0000-00004F8B0000}"/>
    <cellStyle name="Percent 10 2 3" xfId="28244" xr:uid="{00000000-0005-0000-0000-0000508B0000}"/>
    <cellStyle name="Percent 10 2 4" xfId="11126" xr:uid="{00000000-0005-0000-0000-0000518B0000}"/>
    <cellStyle name="Percent 10 3" xfId="391" xr:uid="{00000000-0005-0000-0000-0000528B0000}"/>
    <cellStyle name="Percent 10 3 2" xfId="32562" xr:uid="{00000000-0005-0000-0000-0000538B0000}"/>
    <cellStyle name="Percent 10 3 3" xfId="15996" xr:uid="{00000000-0005-0000-0000-0000548B0000}"/>
    <cellStyle name="Percent 10 4" xfId="1685" xr:uid="{00000000-0005-0000-0000-0000558B0000}"/>
    <cellStyle name="Percent 10 4 2" xfId="36906" xr:uid="{00000000-0005-0000-0000-0000568B0000}"/>
    <cellStyle name="Percent 10 5" xfId="11125" xr:uid="{00000000-0005-0000-0000-0000578B0000}"/>
    <cellStyle name="Percent 10 5 2" xfId="36907" xr:uid="{00000000-0005-0000-0000-0000588B0000}"/>
    <cellStyle name="Percent 10 6" xfId="36905" xr:uid="{00000000-0005-0000-0000-0000598B0000}"/>
    <cellStyle name="Percent 100" xfId="10663" xr:uid="{00000000-0005-0000-0000-00005A8B0000}"/>
    <cellStyle name="Percent 101" xfId="10666" xr:uid="{00000000-0005-0000-0000-00005B8B0000}"/>
    <cellStyle name="Percent 102" xfId="10669" xr:uid="{00000000-0005-0000-0000-00005C8B0000}"/>
    <cellStyle name="Percent 103" xfId="10672" xr:uid="{00000000-0005-0000-0000-00005D8B0000}"/>
    <cellStyle name="Percent 104" xfId="10675" xr:uid="{00000000-0005-0000-0000-00005E8B0000}"/>
    <cellStyle name="Percent 105" xfId="10678" xr:uid="{00000000-0005-0000-0000-00005F8B0000}"/>
    <cellStyle name="Percent 106" xfId="10681" xr:uid="{00000000-0005-0000-0000-0000608B0000}"/>
    <cellStyle name="Percent 107" xfId="10684" xr:uid="{00000000-0005-0000-0000-0000618B0000}"/>
    <cellStyle name="Percent 108" xfId="10687" xr:uid="{00000000-0005-0000-0000-0000628B0000}"/>
    <cellStyle name="Percent 109" xfId="10690" xr:uid="{00000000-0005-0000-0000-0000638B0000}"/>
    <cellStyle name="Percent 11" xfId="392" xr:uid="{00000000-0005-0000-0000-0000648B0000}"/>
    <cellStyle name="Percent 11 2" xfId="393" xr:uid="{00000000-0005-0000-0000-0000658B0000}"/>
    <cellStyle name="Percent 11 3" xfId="394" xr:uid="{00000000-0005-0000-0000-0000668B0000}"/>
    <cellStyle name="Percent 11 4" xfId="1726" xr:uid="{00000000-0005-0000-0000-0000678B0000}"/>
    <cellStyle name="Percent 11 5" xfId="36950" xr:uid="{00000000-0005-0000-0000-0000688B0000}"/>
    <cellStyle name="Percent 110" xfId="10693" xr:uid="{00000000-0005-0000-0000-0000698B0000}"/>
    <cellStyle name="Percent 111" xfId="10696" xr:uid="{00000000-0005-0000-0000-00006A8B0000}"/>
    <cellStyle name="Percent 112" xfId="10699" xr:uid="{00000000-0005-0000-0000-00006B8B0000}"/>
    <cellStyle name="Percent 113" xfId="10702" xr:uid="{00000000-0005-0000-0000-00006C8B0000}"/>
    <cellStyle name="Percent 114" xfId="10705" xr:uid="{00000000-0005-0000-0000-00006D8B0000}"/>
    <cellStyle name="Percent 115" xfId="10708" xr:uid="{00000000-0005-0000-0000-00006E8B0000}"/>
    <cellStyle name="Percent 116" xfId="10711" xr:uid="{00000000-0005-0000-0000-00006F8B0000}"/>
    <cellStyle name="Percent 117" xfId="10714" xr:uid="{00000000-0005-0000-0000-0000708B0000}"/>
    <cellStyle name="Percent 118" xfId="10717" xr:uid="{00000000-0005-0000-0000-0000718B0000}"/>
    <cellStyle name="Percent 119" xfId="10720" xr:uid="{00000000-0005-0000-0000-0000728B0000}"/>
    <cellStyle name="Percent 12" xfId="1578" xr:uid="{00000000-0005-0000-0000-0000738B0000}"/>
    <cellStyle name="Percent 12 2" xfId="6569" xr:uid="{00000000-0005-0000-0000-0000748B0000}"/>
    <cellStyle name="Percent 12 3" xfId="10363" xr:uid="{00000000-0005-0000-0000-0000758B0000}"/>
    <cellStyle name="Percent 12 3 2" xfId="19715" xr:uid="{00000000-0005-0000-0000-0000768B0000}"/>
    <cellStyle name="Percent 12 3 2 2" xfId="36292" xr:uid="{00000000-0005-0000-0000-0000778B0000}"/>
    <cellStyle name="Percent 12 3 3" xfId="28245" xr:uid="{00000000-0005-0000-0000-0000788B0000}"/>
    <cellStyle name="Percent 120" xfId="10723" xr:uid="{00000000-0005-0000-0000-0000798B0000}"/>
    <cellStyle name="Percent 121" xfId="10726" xr:uid="{00000000-0005-0000-0000-00007A8B0000}"/>
    <cellStyle name="Percent 122" xfId="10729" xr:uid="{00000000-0005-0000-0000-00007B8B0000}"/>
    <cellStyle name="Percent 123" xfId="10732" xr:uid="{00000000-0005-0000-0000-00007C8B0000}"/>
    <cellStyle name="Percent 124" xfId="10735" xr:uid="{00000000-0005-0000-0000-00007D8B0000}"/>
    <cellStyle name="Percent 125" xfId="10738" xr:uid="{00000000-0005-0000-0000-00007E8B0000}"/>
    <cellStyle name="Percent 126" xfId="10741" xr:uid="{00000000-0005-0000-0000-00007F8B0000}"/>
    <cellStyle name="Percent 127" xfId="10744" xr:uid="{00000000-0005-0000-0000-0000808B0000}"/>
    <cellStyle name="Percent 128" xfId="10747" xr:uid="{00000000-0005-0000-0000-0000818B0000}"/>
    <cellStyle name="Percent 129" xfId="10750" xr:uid="{00000000-0005-0000-0000-0000828B0000}"/>
    <cellStyle name="Percent 13" xfId="1580" xr:uid="{00000000-0005-0000-0000-0000838B0000}"/>
    <cellStyle name="Percent 130" xfId="10753" xr:uid="{00000000-0005-0000-0000-0000848B0000}"/>
    <cellStyle name="Percent 131" xfId="10756" xr:uid="{00000000-0005-0000-0000-0000858B0000}"/>
    <cellStyle name="Percent 132" xfId="10759" xr:uid="{00000000-0005-0000-0000-0000868B0000}"/>
    <cellStyle name="Percent 133" xfId="10762" xr:uid="{00000000-0005-0000-0000-0000878B0000}"/>
    <cellStyle name="Percent 134" xfId="10765" xr:uid="{00000000-0005-0000-0000-0000888B0000}"/>
    <cellStyle name="Percent 135" xfId="10768" xr:uid="{00000000-0005-0000-0000-0000898B0000}"/>
    <cellStyle name="Percent 136" xfId="10771" xr:uid="{00000000-0005-0000-0000-00008A8B0000}"/>
    <cellStyle name="Percent 137" xfId="10774" xr:uid="{00000000-0005-0000-0000-00008B8B0000}"/>
    <cellStyle name="Percent 138" xfId="10777" xr:uid="{00000000-0005-0000-0000-00008C8B0000}"/>
    <cellStyle name="Percent 139" xfId="10780" xr:uid="{00000000-0005-0000-0000-00008D8B0000}"/>
    <cellStyle name="Percent 14" xfId="1582" xr:uid="{00000000-0005-0000-0000-00008E8B0000}"/>
    <cellStyle name="Percent 140" xfId="10783" xr:uid="{00000000-0005-0000-0000-00008F8B0000}"/>
    <cellStyle name="Percent 141" xfId="10786" xr:uid="{00000000-0005-0000-0000-0000908B0000}"/>
    <cellStyle name="Percent 142" xfId="10789" xr:uid="{00000000-0005-0000-0000-0000918B0000}"/>
    <cellStyle name="Percent 143" xfId="10792" xr:uid="{00000000-0005-0000-0000-0000928B0000}"/>
    <cellStyle name="Percent 144" xfId="10795" xr:uid="{00000000-0005-0000-0000-0000938B0000}"/>
    <cellStyle name="Percent 145" xfId="10798" xr:uid="{00000000-0005-0000-0000-0000948B0000}"/>
    <cellStyle name="Percent 146" xfId="10801" xr:uid="{00000000-0005-0000-0000-0000958B0000}"/>
    <cellStyle name="Percent 147" xfId="10804" xr:uid="{00000000-0005-0000-0000-0000968B0000}"/>
    <cellStyle name="Percent 148" xfId="10807" xr:uid="{00000000-0005-0000-0000-0000978B0000}"/>
    <cellStyle name="Percent 149" xfId="10810" xr:uid="{00000000-0005-0000-0000-0000988B0000}"/>
    <cellStyle name="Percent 15" xfId="1725" xr:uid="{00000000-0005-0000-0000-0000998B0000}"/>
    <cellStyle name="Percent 15 2" xfId="6619" xr:uid="{00000000-0005-0000-0000-00009A8B0000}"/>
    <cellStyle name="Percent 150" xfId="10813" xr:uid="{00000000-0005-0000-0000-00009B8B0000}"/>
    <cellStyle name="Percent 151" xfId="10816" xr:uid="{00000000-0005-0000-0000-00009C8B0000}"/>
    <cellStyle name="Percent 152" xfId="10819" xr:uid="{00000000-0005-0000-0000-00009D8B0000}"/>
    <cellStyle name="Percent 153" xfId="10822" xr:uid="{00000000-0005-0000-0000-00009E8B0000}"/>
    <cellStyle name="Percent 154" xfId="10825" xr:uid="{00000000-0005-0000-0000-00009F8B0000}"/>
    <cellStyle name="Percent 155" xfId="10828" xr:uid="{00000000-0005-0000-0000-0000A08B0000}"/>
    <cellStyle name="Percent 156" xfId="10831" xr:uid="{00000000-0005-0000-0000-0000A18B0000}"/>
    <cellStyle name="Percent 157" xfId="10834" xr:uid="{00000000-0005-0000-0000-0000A28B0000}"/>
    <cellStyle name="Percent 158" xfId="10837" xr:uid="{00000000-0005-0000-0000-0000A38B0000}"/>
    <cellStyle name="Percent 159" xfId="10840" xr:uid="{00000000-0005-0000-0000-0000A48B0000}"/>
    <cellStyle name="Percent 16" xfId="1733" xr:uid="{00000000-0005-0000-0000-0000A58B0000}"/>
    <cellStyle name="Percent 16 2" xfId="2129" xr:uid="{00000000-0005-0000-0000-0000A68B0000}"/>
    <cellStyle name="Percent 16 2 2" xfId="28441" xr:uid="{00000000-0005-0000-0000-0000A78B0000}"/>
    <cellStyle name="Percent 16 2 3" xfId="36909" xr:uid="{00000000-0005-0000-0000-0000A88B0000}"/>
    <cellStyle name="Percent 16 3" xfId="20357" xr:uid="{00000000-0005-0000-0000-0000A98B0000}"/>
    <cellStyle name="Percent 160" xfId="10843" xr:uid="{00000000-0005-0000-0000-0000AA8B0000}"/>
    <cellStyle name="Percent 161" xfId="10846" xr:uid="{00000000-0005-0000-0000-0000AB8B0000}"/>
    <cellStyle name="Percent 162" xfId="10849" xr:uid="{00000000-0005-0000-0000-0000AC8B0000}"/>
    <cellStyle name="Percent 163" xfId="10852" xr:uid="{00000000-0005-0000-0000-0000AD8B0000}"/>
    <cellStyle name="Percent 164" xfId="10855" xr:uid="{00000000-0005-0000-0000-0000AE8B0000}"/>
    <cellStyle name="Percent 165" xfId="10858" xr:uid="{00000000-0005-0000-0000-0000AF8B0000}"/>
    <cellStyle name="Percent 166" xfId="10861" xr:uid="{00000000-0005-0000-0000-0000B08B0000}"/>
    <cellStyle name="Percent 167" xfId="10864" xr:uid="{00000000-0005-0000-0000-0000B18B0000}"/>
    <cellStyle name="Percent 168" xfId="10867" xr:uid="{00000000-0005-0000-0000-0000B28B0000}"/>
    <cellStyle name="Percent 169" xfId="10870" xr:uid="{00000000-0005-0000-0000-0000B38B0000}"/>
    <cellStyle name="Percent 17" xfId="1681" xr:uid="{00000000-0005-0000-0000-0000B48B0000}"/>
    <cellStyle name="Percent 17 2" xfId="10414" xr:uid="{00000000-0005-0000-0000-0000B58B0000}"/>
    <cellStyle name="Percent 17 3" xfId="19816" xr:uid="{00000000-0005-0000-0000-0000B68B0000}"/>
    <cellStyle name="Percent 170" xfId="10873" xr:uid="{00000000-0005-0000-0000-0000B78B0000}"/>
    <cellStyle name="Percent 171" xfId="10876" xr:uid="{00000000-0005-0000-0000-0000B88B0000}"/>
    <cellStyle name="Percent 172" xfId="10945" xr:uid="{00000000-0005-0000-0000-0000B98B0000}"/>
    <cellStyle name="Percent 173" xfId="10948" xr:uid="{00000000-0005-0000-0000-0000BA8B0000}"/>
    <cellStyle name="Percent 174" xfId="10951" xr:uid="{00000000-0005-0000-0000-0000BB8B0000}"/>
    <cellStyle name="Percent 175" xfId="10954" xr:uid="{00000000-0005-0000-0000-0000BC8B0000}"/>
    <cellStyle name="Percent 176" xfId="10957" xr:uid="{00000000-0005-0000-0000-0000BD8B0000}"/>
    <cellStyle name="Percent 177" xfId="10960" xr:uid="{00000000-0005-0000-0000-0000BE8B0000}"/>
    <cellStyle name="Percent 178" xfId="10963" xr:uid="{00000000-0005-0000-0000-0000BF8B0000}"/>
    <cellStyle name="Percent 179" xfId="10966" xr:uid="{00000000-0005-0000-0000-0000C08B0000}"/>
    <cellStyle name="Percent 18" xfId="1690" xr:uid="{00000000-0005-0000-0000-0000C18B0000}"/>
    <cellStyle name="Percent 18 2" xfId="10417" xr:uid="{00000000-0005-0000-0000-0000C28B0000}"/>
    <cellStyle name="Percent 180" xfId="10969" xr:uid="{00000000-0005-0000-0000-0000C38B0000}"/>
    <cellStyle name="Percent 181" xfId="10972" xr:uid="{00000000-0005-0000-0000-0000C48B0000}"/>
    <cellStyle name="Percent 182" xfId="10975" xr:uid="{00000000-0005-0000-0000-0000C58B0000}"/>
    <cellStyle name="Percent 183" xfId="10978" xr:uid="{00000000-0005-0000-0000-0000C68B0000}"/>
    <cellStyle name="Percent 184" xfId="10981" xr:uid="{00000000-0005-0000-0000-0000C78B0000}"/>
    <cellStyle name="Percent 185" xfId="10984" xr:uid="{00000000-0005-0000-0000-0000C88B0000}"/>
    <cellStyle name="Percent 186" xfId="10987" xr:uid="{00000000-0005-0000-0000-0000C98B0000}"/>
    <cellStyle name="Percent 187" xfId="10990" xr:uid="{00000000-0005-0000-0000-0000CA8B0000}"/>
    <cellStyle name="Percent 188" xfId="10993" xr:uid="{00000000-0005-0000-0000-0000CB8B0000}"/>
    <cellStyle name="Percent 189" xfId="10996" xr:uid="{00000000-0005-0000-0000-0000CC8B0000}"/>
    <cellStyle name="Percent 19" xfId="1737" xr:uid="{00000000-0005-0000-0000-0000CD8B0000}"/>
    <cellStyle name="Percent 19 2" xfId="10420" xr:uid="{00000000-0005-0000-0000-0000CE8B0000}"/>
    <cellStyle name="Percent 190" xfId="10999" xr:uid="{00000000-0005-0000-0000-0000CF8B0000}"/>
    <cellStyle name="Percent 191" xfId="11002" xr:uid="{00000000-0005-0000-0000-0000D08B0000}"/>
    <cellStyle name="Percent 192" xfId="11005" xr:uid="{00000000-0005-0000-0000-0000D18B0000}"/>
    <cellStyle name="Percent 193" xfId="11008" xr:uid="{00000000-0005-0000-0000-0000D28B0000}"/>
    <cellStyle name="Percent 194" xfId="11011" xr:uid="{00000000-0005-0000-0000-0000D38B0000}"/>
    <cellStyle name="Percent 195" xfId="11014" xr:uid="{00000000-0005-0000-0000-0000D48B0000}"/>
    <cellStyle name="Percent 196" xfId="11017" xr:uid="{00000000-0005-0000-0000-0000D58B0000}"/>
    <cellStyle name="Percent 197" xfId="11020" xr:uid="{00000000-0005-0000-0000-0000D68B0000}"/>
    <cellStyle name="Percent 198" xfId="11023" xr:uid="{00000000-0005-0000-0000-0000D78B0000}"/>
    <cellStyle name="Percent 199" xfId="11026" xr:uid="{00000000-0005-0000-0000-0000D88B0000}"/>
    <cellStyle name="Percent 2" xfId="21" xr:uid="{00000000-0005-0000-0000-0000D98B0000}"/>
    <cellStyle name="Percent 2 2" xfId="27" xr:uid="{00000000-0005-0000-0000-0000DA8B0000}"/>
    <cellStyle name="Percent 2 2 2" xfId="73" xr:uid="{00000000-0005-0000-0000-0000DB8B0000}"/>
    <cellStyle name="Percent 2 2 2 2" xfId="303" xr:uid="{00000000-0005-0000-0000-0000DC8B0000}"/>
    <cellStyle name="Percent 2 2 2 2 2" xfId="10364" xr:uid="{00000000-0005-0000-0000-0000DD8B0000}"/>
    <cellStyle name="Percent 2 2 3" xfId="304" xr:uid="{00000000-0005-0000-0000-0000DE8B0000}"/>
    <cellStyle name="Percent 2 2 3 2" xfId="6571" xr:uid="{00000000-0005-0000-0000-0000DF8B0000}"/>
    <cellStyle name="Percent 2 3" xfId="79" xr:uid="{00000000-0005-0000-0000-0000E08B0000}"/>
    <cellStyle name="Percent 2 3 2" xfId="305" xr:uid="{00000000-0005-0000-0000-0000E18B0000}"/>
    <cellStyle name="Percent 2 3 2 2" xfId="6572" xr:uid="{00000000-0005-0000-0000-0000E28B0000}"/>
    <cellStyle name="Percent 2 3 2 2 2" xfId="32563" xr:uid="{00000000-0005-0000-0000-0000E38B0000}"/>
    <cellStyle name="Percent 2 3 2 3" xfId="24516" xr:uid="{00000000-0005-0000-0000-0000E48B0000}"/>
    <cellStyle name="Percent 2 3 3" xfId="1686" xr:uid="{00000000-0005-0000-0000-0000E58B0000}"/>
    <cellStyle name="Percent 2 3 4" xfId="36910" xr:uid="{00000000-0005-0000-0000-0000E68B0000}"/>
    <cellStyle name="Percent 2 4" xfId="306" xr:uid="{00000000-0005-0000-0000-0000E78B0000}"/>
    <cellStyle name="Percent 2 4 2" xfId="6573" xr:uid="{00000000-0005-0000-0000-0000E88B0000}"/>
    <cellStyle name="Percent 2 5" xfId="1682" xr:uid="{00000000-0005-0000-0000-0000E98B0000}"/>
    <cellStyle name="Percent 2 6" xfId="6570" xr:uid="{00000000-0005-0000-0000-0000EA8B0000}"/>
    <cellStyle name="Percent 2 7" xfId="2136" xr:uid="{00000000-0005-0000-0000-0000EB8B0000}"/>
    <cellStyle name="Percent 2 7 2" xfId="11927" xr:uid="{00000000-0005-0000-0000-0000EC8B0000}"/>
    <cellStyle name="Percent 2 7 2 2" xfId="28447" xr:uid="{00000000-0005-0000-0000-0000ED8B0000}"/>
    <cellStyle name="Percent 2 7 3" xfId="20387" xr:uid="{00000000-0005-0000-0000-0000EE8B0000}"/>
    <cellStyle name="Percent 2 8" xfId="10904" xr:uid="{00000000-0005-0000-0000-0000EF8B0000}"/>
    <cellStyle name="Percent 2 9" xfId="1783" xr:uid="{00000000-0005-0000-0000-0000F08B0000}"/>
    <cellStyle name="Percent 20" xfId="10423" xr:uid="{00000000-0005-0000-0000-0000F18B0000}"/>
    <cellStyle name="Percent 20 2" xfId="36904" xr:uid="{00000000-0005-0000-0000-0000F28B0000}"/>
    <cellStyle name="Percent 200" xfId="11029" xr:uid="{00000000-0005-0000-0000-0000F38B0000}"/>
    <cellStyle name="Percent 201" xfId="11032" xr:uid="{00000000-0005-0000-0000-0000F48B0000}"/>
    <cellStyle name="Percent 202" xfId="11035" xr:uid="{00000000-0005-0000-0000-0000F58B0000}"/>
    <cellStyle name="Percent 203" xfId="11038" xr:uid="{00000000-0005-0000-0000-0000F68B0000}"/>
    <cellStyle name="Percent 204" xfId="11041" xr:uid="{00000000-0005-0000-0000-0000F78B0000}"/>
    <cellStyle name="Percent 205" xfId="11044" xr:uid="{00000000-0005-0000-0000-0000F88B0000}"/>
    <cellStyle name="Percent 206" xfId="11047" xr:uid="{00000000-0005-0000-0000-0000F98B0000}"/>
    <cellStyle name="Percent 207" xfId="1781" xr:uid="{00000000-0005-0000-0000-0000FA8B0000}"/>
    <cellStyle name="Percent 208" xfId="10939" xr:uid="{00000000-0005-0000-0000-0000FB8B0000}"/>
    <cellStyle name="Percent 209" xfId="11080" xr:uid="{00000000-0005-0000-0000-0000FC8B0000}"/>
    <cellStyle name="Percent 21" xfId="10426" xr:uid="{00000000-0005-0000-0000-0000FD8B0000}"/>
    <cellStyle name="Percent 21 2" xfId="36885" xr:uid="{00000000-0005-0000-0000-0000FE8B0000}"/>
    <cellStyle name="Percent 210" xfId="11296" xr:uid="{00000000-0005-0000-0000-0000FF8B0000}"/>
    <cellStyle name="Percent 211" xfId="36376" xr:uid="{00000000-0005-0000-0000-0000008C0000}"/>
    <cellStyle name="Percent 22" xfId="10429" xr:uid="{00000000-0005-0000-0000-0000018C0000}"/>
    <cellStyle name="Percent 22 2" xfId="36903" xr:uid="{00000000-0005-0000-0000-0000028C0000}"/>
    <cellStyle name="Percent 23" xfId="10432" xr:uid="{00000000-0005-0000-0000-0000038C0000}"/>
    <cellStyle name="Percent 24" xfId="10435" xr:uid="{00000000-0005-0000-0000-0000048C0000}"/>
    <cellStyle name="Percent 25" xfId="10438" xr:uid="{00000000-0005-0000-0000-0000058C0000}"/>
    <cellStyle name="Percent 26" xfId="10441" xr:uid="{00000000-0005-0000-0000-0000068C0000}"/>
    <cellStyle name="Percent 27" xfId="10444" xr:uid="{00000000-0005-0000-0000-0000078C0000}"/>
    <cellStyle name="Percent 28" xfId="10447" xr:uid="{00000000-0005-0000-0000-0000088C0000}"/>
    <cellStyle name="Percent 29" xfId="10450" xr:uid="{00000000-0005-0000-0000-0000098C0000}"/>
    <cellStyle name="Percent 3" xfId="10" xr:uid="{00000000-0005-0000-0000-00000A8C0000}"/>
    <cellStyle name="Percent 3 2" xfId="72" xr:uid="{00000000-0005-0000-0000-00000B8C0000}"/>
    <cellStyle name="Percent 3 2 2" xfId="307" xr:uid="{00000000-0005-0000-0000-00000C8C0000}"/>
    <cellStyle name="Percent 3 2 3" xfId="6575" xr:uid="{00000000-0005-0000-0000-00000D8C0000}"/>
    <cellStyle name="Percent 3 3" xfId="308" xr:uid="{00000000-0005-0000-0000-00000E8C0000}"/>
    <cellStyle name="Percent 3 3 2" xfId="6574" xr:uid="{00000000-0005-0000-0000-00000F8C0000}"/>
    <cellStyle name="Percent 3 4" xfId="10365" xr:uid="{00000000-0005-0000-0000-0000108C0000}"/>
    <cellStyle name="Percent 3 5" xfId="10905" xr:uid="{00000000-0005-0000-0000-0000118C0000}"/>
    <cellStyle name="Percent 3 6" xfId="2155" xr:uid="{00000000-0005-0000-0000-0000128C0000}"/>
    <cellStyle name="Percent 30" xfId="10453" xr:uid="{00000000-0005-0000-0000-0000138C0000}"/>
    <cellStyle name="Percent 31" xfId="10456" xr:uid="{00000000-0005-0000-0000-0000148C0000}"/>
    <cellStyle name="Percent 32" xfId="10459" xr:uid="{00000000-0005-0000-0000-0000158C0000}"/>
    <cellStyle name="Percent 33" xfId="10462" xr:uid="{00000000-0005-0000-0000-0000168C0000}"/>
    <cellStyle name="Percent 34" xfId="10465" xr:uid="{00000000-0005-0000-0000-0000178C0000}"/>
    <cellStyle name="Percent 35" xfId="10468" xr:uid="{00000000-0005-0000-0000-0000188C0000}"/>
    <cellStyle name="Percent 36" xfId="10471" xr:uid="{00000000-0005-0000-0000-0000198C0000}"/>
    <cellStyle name="Percent 37" xfId="10474" xr:uid="{00000000-0005-0000-0000-00001A8C0000}"/>
    <cellStyle name="Percent 38" xfId="10477" xr:uid="{00000000-0005-0000-0000-00001B8C0000}"/>
    <cellStyle name="Percent 39" xfId="10480" xr:uid="{00000000-0005-0000-0000-00001C8C0000}"/>
    <cellStyle name="Percent 4" xfId="309" xr:uid="{00000000-0005-0000-0000-00001D8C0000}"/>
    <cellStyle name="Percent 4 2" xfId="310" xr:uid="{00000000-0005-0000-0000-00001E8C0000}"/>
    <cellStyle name="Percent 4 2 2" xfId="6577" xr:uid="{00000000-0005-0000-0000-00001F8C0000}"/>
    <cellStyle name="Percent 4 2 2 2" xfId="6578" xr:uid="{00000000-0005-0000-0000-0000208C0000}"/>
    <cellStyle name="Percent 4 2 2 2 2" xfId="10366" xr:uid="{00000000-0005-0000-0000-0000218C0000}"/>
    <cellStyle name="Percent 4 2 2 2 2 2" xfId="19716" xr:uid="{00000000-0005-0000-0000-0000228C0000}"/>
    <cellStyle name="Percent 4 2 2 2 2 2 2" xfId="36293" xr:uid="{00000000-0005-0000-0000-0000238C0000}"/>
    <cellStyle name="Percent 4 2 2 2 2 3" xfId="28246" xr:uid="{00000000-0005-0000-0000-0000248C0000}"/>
    <cellStyle name="Percent 4 2 2 2 3" xfId="15998" xr:uid="{00000000-0005-0000-0000-0000258C0000}"/>
    <cellStyle name="Percent 4 2 2 2 3 2" xfId="32566" xr:uid="{00000000-0005-0000-0000-0000268C0000}"/>
    <cellStyle name="Percent 4 2 2 2 4" xfId="24519" xr:uid="{00000000-0005-0000-0000-0000278C0000}"/>
    <cellStyle name="Percent 4 2 2 3" xfId="10367" xr:uid="{00000000-0005-0000-0000-0000288C0000}"/>
    <cellStyle name="Percent 4 2 2 3 2" xfId="19717" xr:uid="{00000000-0005-0000-0000-0000298C0000}"/>
    <cellStyle name="Percent 4 2 2 3 2 2" xfId="36294" xr:uid="{00000000-0005-0000-0000-00002A8C0000}"/>
    <cellStyle name="Percent 4 2 2 3 3" xfId="28247" xr:uid="{00000000-0005-0000-0000-00002B8C0000}"/>
    <cellStyle name="Percent 4 2 2 4" xfId="15997" xr:uid="{00000000-0005-0000-0000-00002C8C0000}"/>
    <cellStyle name="Percent 4 2 2 4 2" xfId="32565" xr:uid="{00000000-0005-0000-0000-00002D8C0000}"/>
    <cellStyle name="Percent 4 2 2 5" xfId="24518" xr:uid="{00000000-0005-0000-0000-00002E8C0000}"/>
    <cellStyle name="Percent 4 2 3" xfId="6579" xr:uid="{00000000-0005-0000-0000-00002F8C0000}"/>
    <cellStyle name="Percent 4 2 3 2" xfId="10368" xr:uid="{00000000-0005-0000-0000-0000308C0000}"/>
    <cellStyle name="Percent 4 2 3 2 2" xfId="19718" xr:uid="{00000000-0005-0000-0000-0000318C0000}"/>
    <cellStyle name="Percent 4 2 3 2 2 2" xfId="36295" xr:uid="{00000000-0005-0000-0000-0000328C0000}"/>
    <cellStyle name="Percent 4 2 3 2 3" xfId="28248" xr:uid="{00000000-0005-0000-0000-0000338C0000}"/>
    <cellStyle name="Percent 4 2 3 3" xfId="15999" xr:uid="{00000000-0005-0000-0000-0000348C0000}"/>
    <cellStyle name="Percent 4 2 3 3 2" xfId="32567" xr:uid="{00000000-0005-0000-0000-0000358C0000}"/>
    <cellStyle name="Percent 4 2 3 4" xfId="24520" xr:uid="{00000000-0005-0000-0000-0000368C0000}"/>
    <cellStyle name="Percent 4 2 4" xfId="10369" xr:uid="{00000000-0005-0000-0000-0000378C0000}"/>
    <cellStyle name="Percent 4 2 4 2" xfId="19719" xr:uid="{00000000-0005-0000-0000-0000388C0000}"/>
    <cellStyle name="Percent 4 2 4 2 2" xfId="36296" xr:uid="{00000000-0005-0000-0000-0000398C0000}"/>
    <cellStyle name="Percent 4 2 4 3" xfId="28249" xr:uid="{00000000-0005-0000-0000-00003A8C0000}"/>
    <cellStyle name="Percent 4 2 5" xfId="6576" xr:uid="{00000000-0005-0000-0000-00003B8C0000}"/>
    <cellStyle name="Percent 4 2 5 2" xfId="32564" xr:uid="{00000000-0005-0000-0000-00003C8C0000}"/>
    <cellStyle name="Percent 4 2 6" xfId="24517" xr:uid="{00000000-0005-0000-0000-00003D8C0000}"/>
    <cellStyle name="Percent 4 3" xfId="6580" xr:uid="{00000000-0005-0000-0000-00003E8C0000}"/>
    <cellStyle name="Percent 4 3 2" xfId="6581" xr:uid="{00000000-0005-0000-0000-00003F8C0000}"/>
    <cellStyle name="Percent 4 3 2 2" xfId="10370" xr:uid="{00000000-0005-0000-0000-0000408C0000}"/>
    <cellStyle name="Percent 4 3 2 2 2" xfId="19720" xr:uid="{00000000-0005-0000-0000-0000418C0000}"/>
    <cellStyle name="Percent 4 3 2 2 2 2" xfId="36297" xr:uid="{00000000-0005-0000-0000-0000428C0000}"/>
    <cellStyle name="Percent 4 3 2 2 3" xfId="28250" xr:uid="{00000000-0005-0000-0000-0000438C0000}"/>
    <cellStyle name="Percent 4 3 2 3" xfId="16001" xr:uid="{00000000-0005-0000-0000-0000448C0000}"/>
    <cellStyle name="Percent 4 3 2 3 2" xfId="32569" xr:uid="{00000000-0005-0000-0000-0000458C0000}"/>
    <cellStyle name="Percent 4 3 2 4" xfId="24522" xr:uid="{00000000-0005-0000-0000-0000468C0000}"/>
    <cellStyle name="Percent 4 3 3" xfId="10371" xr:uid="{00000000-0005-0000-0000-0000478C0000}"/>
    <cellStyle name="Percent 4 3 3 2" xfId="19721" xr:uid="{00000000-0005-0000-0000-0000488C0000}"/>
    <cellStyle name="Percent 4 3 3 2 2" xfId="36298" xr:uid="{00000000-0005-0000-0000-0000498C0000}"/>
    <cellStyle name="Percent 4 3 3 3" xfId="28251" xr:uid="{00000000-0005-0000-0000-00004A8C0000}"/>
    <cellStyle name="Percent 4 3 4" xfId="16000" xr:uid="{00000000-0005-0000-0000-00004B8C0000}"/>
    <cellStyle name="Percent 4 3 4 2" xfId="32568" xr:uid="{00000000-0005-0000-0000-00004C8C0000}"/>
    <cellStyle name="Percent 4 3 5" xfId="24521" xr:uid="{00000000-0005-0000-0000-00004D8C0000}"/>
    <cellStyle name="Percent 4 4" xfId="6582" xr:uid="{00000000-0005-0000-0000-00004E8C0000}"/>
    <cellStyle name="Percent 4 4 2" xfId="10372" xr:uid="{00000000-0005-0000-0000-00004F8C0000}"/>
    <cellStyle name="Percent 4 4 2 2" xfId="19722" xr:uid="{00000000-0005-0000-0000-0000508C0000}"/>
    <cellStyle name="Percent 4 4 2 2 2" xfId="36299" xr:uid="{00000000-0005-0000-0000-0000518C0000}"/>
    <cellStyle name="Percent 4 4 2 3" xfId="28252" xr:uid="{00000000-0005-0000-0000-0000528C0000}"/>
    <cellStyle name="Percent 4 4 3" xfId="16002" xr:uid="{00000000-0005-0000-0000-0000538C0000}"/>
    <cellStyle name="Percent 4 4 3 2" xfId="32570" xr:uid="{00000000-0005-0000-0000-0000548C0000}"/>
    <cellStyle name="Percent 4 4 4" xfId="24523" xr:uid="{00000000-0005-0000-0000-0000558C0000}"/>
    <cellStyle name="Percent 4 5" xfId="6583" xr:uid="{00000000-0005-0000-0000-0000568C0000}"/>
    <cellStyle name="Percent 4 5 2" xfId="16003" xr:uid="{00000000-0005-0000-0000-0000578C0000}"/>
    <cellStyle name="Percent 4 5 2 2" xfId="32571" xr:uid="{00000000-0005-0000-0000-0000588C0000}"/>
    <cellStyle name="Percent 4 5 3" xfId="24524" xr:uid="{00000000-0005-0000-0000-0000598C0000}"/>
    <cellStyle name="Percent 4 6" xfId="10373" xr:uid="{00000000-0005-0000-0000-00005A8C0000}"/>
    <cellStyle name="Percent 4 6 2" xfId="19723" xr:uid="{00000000-0005-0000-0000-00005B8C0000}"/>
    <cellStyle name="Percent 4 6 2 2" xfId="36300" xr:uid="{00000000-0005-0000-0000-00005C8C0000}"/>
    <cellStyle name="Percent 4 6 3" xfId="28253" xr:uid="{00000000-0005-0000-0000-00005D8C0000}"/>
    <cellStyle name="Percent 4 7" xfId="10906" xr:uid="{00000000-0005-0000-0000-00005E8C0000}"/>
    <cellStyle name="Percent 40" xfId="10483" xr:uid="{00000000-0005-0000-0000-00005F8C0000}"/>
    <cellStyle name="Percent 41" xfId="10486" xr:uid="{00000000-0005-0000-0000-0000608C0000}"/>
    <cellStyle name="Percent 42" xfId="10489" xr:uid="{00000000-0005-0000-0000-0000618C0000}"/>
    <cellStyle name="Percent 43" xfId="10492" xr:uid="{00000000-0005-0000-0000-0000628C0000}"/>
    <cellStyle name="Percent 44" xfId="10495" xr:uid="{00000000-0005-0000-0000-0000638C0000}"/>
    <cellStyle name="Percent 45" xfId="10498" xr:uid="{00000000-0005-0000-0000-0000648C0000}"/>
    <cellStyle name="Percent 46" xfId="10501" xr:uid="{00000000-0005-0000-0000-0000658C0000}"/>
    <cellStyle name="Percent 47" xfId="10504" xr:uid="{00000000-0005-0000-0000-0000668C0000}"/>
    <cellStyle name="Percent 48" xfId="10507" xr:uid="{00000000-0005-0000-0000-0000678C0000}"/>
    <cellStyle name="Percent 49" xfId="10510" xr:uid="{00000000-0005-0000-0000-0000688C0000}"/>
    <cellStyle name="Percent 5" xfId="311" xr:uid="{00000000-0005-0000-0000-0000698C0000}"/>
    <cellStyle name="Percent 5 2" xfId="1727" xr:uid="{00000000-0005-0000-0000-00006A8C0000}"/>
    <cellStyle name="Percent 5 2 2" xfId="6584" xr:uid="{00000000-0005-0000-0000-00006B8C0000}"/>
    <cellStyle name="Percent 5 2 2 2" xfId="6585" xr:uid="{00000000-0005-0000-0000-00006C8C0000}"/>
    <cellStyle name="Percent 5 2 2 2 2" xfId="10374" xr:uid="{00000000-0005-0000-0000-00006D8C0000}"/>
    <cellStyle name="Percent 5 2 2 2 2 2" xfId="19724" xr:uid="{00000000-0005-0000-0000-00006E8C0000}"/>
    <cellStyle name="Percent 5 2 2 2 2 2 2" xfId="36301" xr:uid="{00000000-0005-0000-0000-00006F8C0000}"/>
    <cellStyle name="Percent 5 2 2 2 2 3" xfId="28254" xr:uid="{00000000-0005-0000-0000-0000708C0000}"/>
    <cellStyle name="Percent 5 2 2 2 3" xfId="16005" xr:uid="{00000000-0005-0000-0000-0000718C0000}"/>
    <cellStyle name="Percent 5 2 2 2 3 2" xfId="32573" xr:uid="{00000000-0005-0000-0000-0000728C0000}"/>
    <cellStyle name="Percent 5 2 2 2 4" xfId="24526" xr:uid="{00000000-0005-0000-0000-0000738C0000}"/>
    <cellStyle name="Percent 5 2 2 3" xfId="10375" xr:uid="{00000000-0005-0000-0000-0000748C0000}"/>
    <cellStyle name="Percent 5 2 2 3 2" xfId="19725" xr:uid="{00000000-0005-0000-0000-0000758C0000}"/>
    <cellStyle name="Percent 5 2 2 3 2 2" xfId="36302" xr:uid="{00000000-0005-0000-0000-0000768C0000}"/>
    <cellStyle name="Percent 5 2 2 3 3" xfId="28255" xr:uid="{00000000-0005-0000-0000-0000778C0000}"/>
    <cellStyle name="Percent 5 2 2 4" xfId="16004" xr:uid="{00000000-0005-0000-0000-0000788C0000}"/>
    <cellStyle name="Percent 5 2 2 4 2" xfId="32572" xr:uid="{00000000-0005-0000-0000-0000798C0000}"/>
    <cellStyle name="Percent 5 2 2 5" xfId="24525" xr:uid="{00000000-0005-0000-0000-00007A8C0000}"/>
    <cellStyle name="Percent 5 2 3" xfId="6586" xr:uid="{00000000-0005-0000-0000-00007B8C0000}"/>
    <cellStyle name="Percent 5 2 3 2" xfId="10376" xr:uid="{00000000-0005-0000-0000-00007C8C0000}"/>
    <cellStyle name="Percent 5 2 3 2 2" xfId="19726" xr:uid="{00000000-0005-0000-0000-00007D8C0000}"/>
    <cellStyle name="Percent 5 2 3 2 2 2" xfId="36303" xr:uid="{00000000-0005-0000-0000-00007E8C0000}"/>
    <cellStyle name="Percent 5 2 3 2 3" xfId="28256" xr:uid="{00000000-0005-0000-0000-00007F8C0000}"/>
    <cellStyle name="Percent 5 2 3 3" xfId="16006" xr:uid="{00000000-0005-0000-0000-0000808C0000}"/>
    <cellStyle name="Percent 5 2 3 3 2" xfId="32574" xr:uid="{00000000-0005-0000-0000-0000818C0000}"/>
    <cellStyle name="Percent 5 2 3 4" xfId="24527" xr:uid="{00000000-0005-0000-0000-0000828C0000}"/>
    <cellStyle name="Percent 5 2 4" xfId="6587" xr:uid="{00000000-0005-0000-0000-0000838C0000}"/>
    <cellStyle name="Percent 5 2 4 2" xfId="16007" xr:uid="{00000000-0005-0000-0000-0000848C0000}"/>
    <cellStyle name="Percent 5 2 4 2 2" xfId="32575" xr:uid="{00000000-0005-0000-0000-0000858C0000}"/>
    <cellStyle name="Percent 5 2 4 3" xfId="24528" xr:uid="{00000000-0005-0000-0000-0000868C0000}"/>
    <cellStyle name="Percent 5 3" xfId="6588" xr:uid="{00000000-0005-0000-0000-0000878C0000}"/>
    <cellStyle name="Percent 5 3 2" xfId="6589" xr:uid="{00000000-0005-0000-0000-0000888C0000}"/>
    <cellStyle name="Percent 5 3 2 2" xfId="10377" xr:uid="{00000000-0005-0000-0000-0000898C0000}"/>
    <cellStyle name="Percent 5 3 2 2 2" xfId="19727" xr:uid="{00000000-0005-0000-0000-00008A8C0000}"/>
    <cellStyle name="Percent 5 3 2 2 2 2" xfId="36304" xr:uid="{00000000-0005-0000-0000-00008B8C0000}"/>
    <cellStyle name="Percent 5 3 2 2 3" xfId="28257" xr:uid="{00000000-0005-0000-0000-00008C8C0000}"/>
    <cellStyle name="Percent 5 3 2 3" xfId="16009" xr:uid="{00000000-0005-0000-0000-00008D8C0000}"/>
    <cellStyle name="Percent 5 3 2 3 2" xfId="32577" xr:uid="{00000000-0005-0000-0000-00008E8C0000}"/>
    <cellStyle name="Percent 5 3 2 4" xfId="24530" xr:uid="{00000000-0005-0000-0000-00008F8C0000}"/>
    <cellStyle name="Percent 5 3 3" xfId="10378" xr:uid="{00000000-0005-0000-0000-0000908C0000}"/>
    <cellStyle name="Percent 5 3 3 2" xfId="19728" xr:uid="{00000000-0005-0000-0000-0000918C0000}"/>
    <cellStyle name="Percent 5 3 3 2 2" xfId="36305" xr:uid="{00000000-0005-0000-0000-0000928C0000}"/>
    <cellStyle name="Percent 5 3 3 3" xfId="28258" xr:uid="{00000000-0005-0000-0000-0000938C0000}"/>
    <cellStyle name="Percent 5 3 4" xfId="16008" xr:uid="{00000000-0005-0000-0000-0000948C0000}"/>
    <cellStyle name="Percent 5 3 4 2" xfId="32576" xr:uid="{00000000-0005-0000-0000-0000958C0000}"/>
    <cellStyle name="Percent 5 3 5" xfId="24529" xr:uid="{00000000-0005-0000-0000-0000968C0000}"/>
    <cellStyle name="Percent 5 4" xfId="6590" xr:uid="{00000000-0005-0000-0000-0000978C0000}"/>
    <cellStyle name="Percent 5 4 2" xfId="10379" xr:uid="{00000000-0005-0000-0000-0000988C0000}"/>
    <cellStyle name="Percent 5 4 2 2" xfId="19729" xr:uid="{00000000-0005-0000-0000-0000998C0000}"/>
    <cellStyle name="Percent 5 4 2 2 2" xfId="36306" xr:uid="{00000000-0005-0000-0000-00009A8C0000}"/>
    <cellStyle name="Percent 5 4 2 3" xfId="28259" xr:uid="{00000000-0005-0000-0000-00009B8C0000}"/>
    <cellStyle name="Percent 5 4 3" xfId="16010" xr:uid="{00000000-0005-0000-0000-00009C8C0000}"/>
    <cellStyle name="Percent 5 4 3 2" xfId="32578" xr:uid="{00000000-0005-0000-0000-00009D8C0000}"/>
    <cellStyle name="Percent 5 4 4" xfId="24531" xr:uid="{00000000-0005-0000-0000-00009E8C0000}"/>
    <cellStyle name="Percent 5 5" xfId="6591" xr:uid="{00000000-0005-0000-0000-00009F8C0000}"/>
    <cellStyle name="Percent 5 5 2" xfId="16011" xr:uid="{00000000-0005-0000-0000-0000A08C0000}"/>
    <cellStyle name="Percent 5 5 2 2" xfId="32579" xr:uid="{00000000-0005-0000-0000-0000A18C0000}"/>
    <cellStyle name="Percent 5 5 3" xfId="24532" xr:uid="{00000000-0005-0000-0000-0000A28C0000}"/>
    <cellStyle name="Percent 50" xfId="10513" xr:uid="{00000000-0005-0000-0000-0000A38C0000}"/>
    <cellStyle name="Percent 51" xfId="10516" xr:uid="{00000000-0005-0000-0000-0000A48C0000}"/>
    <cellStyle name="Percent 52" xfId="10519" xr:uid="{00000000-0005-0000-0000-0000A58C0000}"/>
    <cellStyle name="Percent 53" xfId="10522" xr:uid="{00000000-0005-0000-0000-0000A68C0000}"/>
    <cellStyle name="Percent 54" xfId="10525" xr:uid="{00000000-0005-0000-0000-0000A78C0000}"/>
    <cellStyle name="Percent 55" xfId="10528" xr:uid="{00000000-0005-0000-0000-0000A88C0000}"/>
    <cellStyle name="Percent 56" xfId="10531" xr:uid="{00000000-0005-0000-0000-0000A98C0000}"/>
    <cellStyle name="Percent 57" xfId="10534" xr:uid="{00000000-0005-0000-0000-0000AA8C0000}"/>
    <cellStyle name="Percent 58" xfId="10537" xr:uid="{00000000-0005-0000-0000-0000AB8C0000}"/>
    <cellStyle name="Percent 59" xfId="10540" xr:uid="{00000000-0005-0000-0000-0000AC8C0000}"/>
    <cellStyle name="Percent 6" xfId="20" xr:uid="{00000000-0005-0000-0000-0000AD8C0000}"/>
    <cellStyle name="Percent 6 2" xfId="1728" xr:uid="{00000000-0005-0000-0000-0000AE8C0000}"/>
    <cellStyle name="Percent 6 2 2" xfId="6594" xr:uid="{00000000-0005-0000-0000-0000AF8C0000}"/>
    <cellStyle name="Percent 6 2 2 2" xfId="6595" xr:uid="{00000000-0005-0000-0000-0000B08C0000}"/>
    <cellStyle name="Percent 6 2 2 2 2" xfId="10380" xr:uid="{00000000-0005-0000-0000-0000B18C0000}"/>
    <cellStyle name="Percent 6 2 2 2 2 2" xfId="19730" xr:uid="{00000000-0005-0000-0000-0000B28C0000}"/>
    <cellStyle name="Percent 6 2 2 2 2 2 2" xfId="36307" xr:uid="{00000000-0005-0000-0000-0000B38C0000}"/>
    <cellStyle name="Percent 6 2 2 2 2 3" xfId="28260" xr:uid="{00000000-0005-0000-0000-0000B48C0000}"/>
    <cellStyle name="Percent 6 2 2 2 3" xfId="16013" xr:uid="{00000000-0005-0000-0000-0000B58C0000}"/>
    <cellStyle name="Percent 6 2 2 2 3 2" xfId="32583" xr:uid="{00000000-0005-0000-0000-0000B68C0000}"/>
    <cellStyle name="Percent 6 2 2 2 4" xfId="24536" xr:uid="{00000000-0005-0000-0000-0000B78C0000}"/>
    <cellStyle name="Percent 6 2 2 3" xfId="10381" xr:uid="{00000000-0005-0000-0000-0000B88C0000}"/>
    <cellStyle name="Percent 6 2 2 3 2" xfId="19731" xr:uid="{00000000-0005-0000-0000-0000B98C0000}"/>
    <cellStyle name="Percent 6 2 2 3 2 2" xfId="36308" xr:uid="{00000000-0005-0000-0000-0000BA8C0000}"/>
    <cellStyle name="Percent 6 2 2 3 3" xfId="28261" xr:uid="{00000000-0005-0000-0000-0000BB8C0000}"/>
    <cellStyle name="Percent 6 2 2 4" xfId="16012" xr:uid="{00000000-0005-0000-0000-0000BC8C0000}"/>
    <cellStyle name="Percent 6 2 2 4 2" xfId="32582" xr:uid="{00000000-0005-0000-0000-0000BD8C0000}"/>
    <cellStyle name="Percent 6 2 2 5" xfId="24535" xr:uid="{00000000-0005-0000-0000-0000BE8C0000}"/>
    <cellStyle name="Percent 6 2 3" xfId="6596" xr:uid="{00000000-0005-0000-0000-0000BF8C0000}"/>
    <cellStyle name="Percent 6 2 3 2" xfId="10382" xr:uid="{00000000-0005-0000-0000-0000C08C0000}"/>
    <cellStyle name="Percent 6 2 3 2 2" xfId="19732" xr:uid="{00000000-0005-0000-0000-0000C18C0000}"/>
    <cellStyle name="Percent 6 2 3 2 2 2" xfId="36309" xr:uid="{00000000-0005-0000-0000-0000C28C0000}"/>
    <cellStyle name="Percent 6 2 3 2 3" xfId="28262" xr:uid="{00000000-0005-0000-0000-0000C38C0000}"/>
    <cellStyle name="Percent 6 2 3 3" xfId="16014" xr:uid="{00000000-0005-0000-0000-0000C48C0000}"/>
    <cellStyle name="Percent 6 2 3 3 2" xfId="32584" xr:uid="{00000000-0005-0000-0000-0000C58C0000}"/>
    <cellStyle name="Percent 6 2 3 4" xfId="24537" xr:uid="{00000000-0005-0000-0000-0000C68C0000}"/>
    <cellStyle name="Percent 6 2 4" xfId="10383" xr:uid="{00000000-0005-0000-0000-0000C78C0000}"/>
    <cellStyle name="Percent 6 2 4 2" xfId="19733" xr:uid="{00000000-0005-0000-0000-0000C88C0000}"/>
    <cellStyle name="Percent 6 2 4 2 2" xfId="36310" xr:uid="{00000000-0005-0000-0000-0000C98C0000}"/>
    <cellStyle name="Percent 6 2 4 3" xfId="28263" xr:uid="{00000000-0005-0000-0000-0000CA8C0000}"/>
    <cellStyle name="Percent 6 2 5" xfId="6593" xr:uid="{00000000-0005-0000-0000-0000CB8C0000}"/>
    <cellStyle name="Percent 6 2 5 2" xfId="32581" xr:uid="{00000000-0005-0000-0000-0000CC8C0000}"/>
    <cellStyle name="Percent 6 2 6" xfId="24534" xr:uid="{00000000-0005-0000-0000-0000CD8C0000}"/>
    <cellStyle name="Percent 6 3" xfId="6597" xr:uid="{00000000-0005-0000-0000-0000CE8C0000}"/>
    <cellStyle name="Percent 6 3 2" xfId="6598" xr:uid="{00000000-0005-0000-0000-0000CF8C0000}"/>
    <cellStyle name="Percent 6 3 2 2" xfId="10384" xr:uid="{00000000-0005-0000-0000-0000D08C0000}"/>
    <cellStyle name="Percent 6 3 2 2 2" xfId="19734" xr:uid="{00000000-0005-0000-0000-0000D18C0000}"/>
    <cellStyle name="Percent 6 3 2 2 2 2" xfId="36311" xr:uid="{00000000-0005-0000-0000-0000D28C0000}"/>
    <cellStyle name="Percent 6 3 2 2 3" xfId="28264" xr:uid="{00000000-0005-0000-0000-0000D38C0000}"/>
    <cellStyle name="Percent 6 3 2 3" xfId="16016" xr:uid="{00000000-0005-0000-0000-0000D48C0000}"/>
    <cellStyle name="Percent 6 3 2 3 2" xfId="32586" xr:uid="{00000000-0005-0000-0000-0000D58C0000}"/>
    <cellStyle name="Percent 6 3 2 4" xfId="24539" xr:uid="{00000000-0005-0000-0000-0000D68C0000}"/>
    <cellStyle name="Percent 6 3 3" xfId="10385" xr:uid="{00000000-0005-0000-0000-0000D78C0000}"/>
    <cellStyle name="Percent 6 3 3 2" xfId="19735" xr:uid="{00000000-0005-0000-0000-0000D88C0000}"/>
    <cellStyle name="Percent 6 3 3 2 2" xfId="36312" xr:uid="{00000000-0005-0000-0000-0000D98C0000}"/>
    <cellStyle name="Percent 6 3 3 3" xfId="28265" xr:uid="{00000000-0005-0000-0000-0000DA8C0000}"/>
    <cellStyle name="Percent 6 3 4" xfId="16015" xr:uid="{00000000-0005-0000-0000-0000DB8C0000}"/>
    <cellStyle name="Percent 6 3 4 2" xfId="32585" xr:uid="{00000000-0005-0000-0000-0000DC8C0000}"/>
    <cellStyle name="Percent 6 3 5" xfId="24538" xr:uid="{00000000-0005-0000-0000-0000DD8C0000}"/>
    <cellStyle name="Percent 6 4" xfId="6599" xr:uid="{00000000-0005-0000-0000-0000DE8C0000}"/>
    <cellStyle name="Percent 6 4 2" xfId="10386" xr:uid="{00000000-0005-0000-0000-0000DF8C0000}"/>
    <cellStyle name="Percent 6 4 2 2" xfId="19736" xr:uid="{00000000-0005-0000-0000-0000E08C0000}"/>
    <cellStyle name="Percent 6 4 2 2 2" xfId="36313" xr:uid="{00000000-0005-0000-0000-0000E18C0000}"/>
    <cellStyle name="Percent 6 4 2 3" xfId="28266" xr:uid="{00000000-0005-0000-0000-0000E28C0000}"/>
    <cellStyle name="Percent 6 4 3" xfId="16017" xr:uid="{00000000-0005-0000-0000-0000E38C0000}"/>
    <cellStyle name="Percent 6 4 3 2" xfId="32587" xr:uid="{00000000-0005-0000-0000-0000E48C0000}"/>
    <cellStyle name="Percent 6 4 4" xfId="24540" xr:uid="{00000000-0005-0000-0000-0000E58C0000}"/>
    <cellStyle name="Percent 6 5" xfId="10387" xr:uid="{00000000-0005-0000-0000-0000E68C0000}"/>
    <cellStyle name="Percent 6 5 2" xfId="19737" xr:uid="{00000000-0005-0000-0000-0000E78C0000}"/>
    <cellStyle name="Percent 6 5 2 2" xfId="36314" xr:uid="{00000000-0005-0000-0000-0000E88C0000}"/>
    <cellStyle name="Percent 6 5 3" xfId="28267" xr:uid="{00000000-0005-0000-0000-0000E98C0000}"/>
    <cellStyle name="Percent 6 6" xfId="6592" xr:uid="{00000000-0005-0000-0000-0000EA8C0000}"/>
    <cellStyle name="Percent 6 6 2" xfId="32580" xr:uid="{00000000-0005-0000-0000-0000EB8C0000}"/>
    <cellStyle name="Percent 6 7" xfId="24533" xr:uid="{00000000-0005-0000-0000-0000EC8C0000}"/>
    <cellStyle name="Percent 60" xfId="10543" xr:uid="{00000000-0005-0000-0000-0000ED8C0000}"/>
    <cellStyle name="Percent 61" xfId="10546" xr:uid="{00000000-0005-0000-0000-0000EE8C0000}"/>
    <cellStyle name="Percent 62" xfId="10549" xr:uid="{00000000-0005-0000-0000-0000EF8C0000}"/>
    <cellStyle name="Percent 63" xfId="10552" xr:uid="{00000000-0005-0000-0000-0000F08C0000}"/>
    <cellStyle name="Percent 64" xfId="10555" xr:uid="{00000000-0005-0000-0000-0000F18C0000}"/>
    <cellStyle name="Percent 65" xfId="10558" xr:uid="{00000000-0005-0000-0000-0000F28C0000}"/>
    <cellStyle name="Percent 66" xfId="10561" xr:uid="{00000000-0005-0000-0000-0000F38C0000}"/>
    <cellStyle name="Percent 67" xfId="10564" xr:uid="{00000000-0005-0000-0000-0000F48C0000}"/>
    <cellStyle name="Percent 68" xfId="10567" xr:uid="{00000000-0005-0000-0000-0000F58C0000}"/>
    <cellStyle name="Percent 69" xfId="10570" xr:uid="{00000000-0005-0000-0000-0000F68C0000}"/>
    <cellStyle name="Percent 7" xfId="395" xr:uid="{00000000-0005-0000-0000-0000F78C0000}"/>
    <cellStyle name="Percent 7 2" xfId="1729" xr:uid="{00000000-0005-0000-0000-0000F88C0000}"/>
    <cellStyle name="Percent 7 2 2" xfId="6602" xr:uid="{00000000-0005-0000-0000-0000F98C0000}"/>
    <cellStyle name="Percent 7 2 2 2" xfId="6603" xr:uid="{00000000-0005-0000-0000-0000FA8C0000}"/>
    <cellStyle name="Percent 7 2 2 2 2" xfId="10388" xr:uid="{00000000-0005-0000-0000-0000FB8C0000}"/>
    <cellStyle name="Percent 7 2 2 2 2 2" xfId="19738" xr:uid="{00000000-0005-0000-0000-0000FC8C0000}"/>
    <cellStyle name="Percent 7 2 2 2 2 2 2" xfId="36315" xr:uid="{00000000-0005-0000-0000-0000FD8C0000}"/>
    <cellStyle name="Percent 7 2 2 2 2 3" xfId="28268" xr:uid="{00000000-0005-0000-0000-0000FE8C0000}"/>
    <cellStyle name="Percent 7 2 2 2 3" xfId="16019" xr:uid="{00000000-0005-0000-0000-0000FF8C0000}"/>
    <cellStyle name="Percent 7 2 2 2 3 2" xfId="32591" xr:uid="{00000000-0005-0000-0000-0000008D0000}"/>
    <cellStyle name="Percent 7 2 2 2 4" xfId="24544" xr:uid="{00000000-0005-0000-0000-0000018D0000}"/>
    <cellStyle name="Percent 7 2 2 3" xfId="10389" xr:uid="{00000000-0005-0000-0000-0000028D0000}"/>
    <cellStyle name="Percent 7 2 2 3 2" xfId="19739" xr:uid="{00000000-0005-0000-0000-0000038D0000}"/>
    <cellStyle name="Percent 7 2 2 3 2 2" xfId="36316" xr:uid="{00000000-0005-0000-0000-0000048D0000}"/>
    <cellStyle name="Percent 7 2 2 3 3" xfId="28269" xr:uid="{00000000-0005-0000-0000-0000058D0000}"/>
    <cellStyle name="Percent 7 2 2 4" xfId="16018" xr:uid="{00000000-0005-0000-0000-0000068D0000}"/>
    <cellStyle name="Percent 7 2 2 4 2" xfId="32590" xr:uid="{00000000-0005-0000-0000-0000078D0000}"/>
    <cellStyle name="Percent 7 2 2 5" xfId="24543" xr:uid="{00000000-0005-0000-0000-0000088D0000}"/>
    <cellStyle name="Percent 7 2 3" xfId="6604" xr:uid="{00000000-0005-0000-0000-0000098D0000}"/>
    <cellStyle name="Percent 7 2 3 2" xfId="10390" xr:uid="{00000000-0005-0000-0000-00000A8D0000}"/>
    <cellStyle name="Percent 7 2 3 2 2" xfId="19740" xr:uid="{00000000-0005-0000-0000-00000B8D0000}"/>
    <cellStyle name="Percent 7 2 3 2 2 2" xfId="36317" xr:uid="{00000000-0005-0000-0000-00000C8D0000}"/>
    <cellStyle name="Percent 7 2 3 2 3" xfId="28270" xr:uid="{00000000-0005-0000-0000-00000D8D0000}"/>
    <cellStyle name="Percent 7 2 3 3" xfId="16020" xr:uid="{00000000-0005-0000-0000-00000E8D0000}"/>
    <cellStyle name="Percent 7 2 3 3 2" xfId="32592" xr:uid="{00000000-0005-0000-0000-00000F8D0000}"/>
    <cellStyle name="Percent 7 2 3 4" xfId="24545" xr:uid="{00000000-0005-0000-0000-0000108D0000}"/>
    <cellStyle name="Percent 7 2 4" xfId="10391" xr:uid="{00000000-0005-0000-0000-0000118D0000}"/>
    <cellStyle name="Percent 7 2 4 2" xfId="19741" xr:uid="{00000000-0005-0000-0000-0000128D0000}"/>
    <cellStyle name="Percent 7 2 4 2 2" xfId="36318" xr:uid="{00000000-0005-0000-0000-0000138D0000}"/>
    <cellStyle name="Percent 7 2 4 3" xfId="28271" xr:uid="{00000000-0005-0000-0000-0000148D0000}"/>
    <cellStyle name="Percent 7 2 5" xfId="6601" xr:uid="{00000000-0005-0000-0000-0000158D0000}"/>
    <cellStyle name="Percent 7 2 5 2" xfId="32589" xr:uid="{00000000-0005-0000-0000-0000168D0000}"/>
    <cellStyle name="Percent 7 2 6" xfId="24542" xr:uid="{00000000-0005-0000-0000-0000178D0000}"/>
    <cellStyle name="Percent 7 3" xfId="6605" xr:uid="{00000000-0005-0000-0000-0000188D0000}"/>
    <cellStyle name="Percent 7 3 2" xfId="6606" xr:uid="{00000000-0005-0000-0000-0000198D0000}"/>
    <cellStyle name="Percent 7 3 2 2" xfId="10392" xr:uid="{00000000-0005-0000-0000-00001A8D0000}"/>
    <cellStyle name="Percent 7 3 2 2 2" xfId="19742" xr:uid="{00000000-0005-0000-0000-00001B8D0000}"/>
    <cellStyle name="Percent 7 3 2 2 2 2" xfId="36319" xr:uid="{00000000-0005-0000-0000-00001C8D0000}"/>
    <cellStyle name="Percent 7 3 2 2 3" xfId="28272" xr:uid="{00000000-0005-0000-0000-00001D8D0000}"/>
    <cellStyle name="Percent 7 3 2 3" xfId="16022" xr:uid="{00000000-0005-0000-0000-00001E8D0000}"/>
    <cellStyle name="Percent 7 3 2 3 2" xfId="32594" xr:uid="{00000000-0005-0000-0000-00001F8D0000}"/>
    <cellStyle name="Percent 7 3 2 4" xfId="24547" xr:uid="{00000000-0005-0000-0000-0000208D0000}"/>
    <cellStyle name="Percent 7 3 3" xfId="10393" xr:uid="{00000000-0005-0000-0000-0000218D0000}"/>
    <cellStyle name="Percent 7 3 3 2" xfId="19743" xr:uid="{00000000-0005-0000-0000-0000228D0000}"/>
    <cellStyle name="Percent 7 3 3 2 2" xfId="36320" xr:uid="{00000000-0005-0000-0000-0000238D0000}"/>
    <cellStyle name="Percent 7 3 3 3" xfId="28273" xr:uid="{00000000-0005-0000-0000-0000248D0000}"/>
    <cellStyle name="Percent 7 3 4" xfId="16021" xr:uid="{00000000-0005-0000-0000-0000258D0000}"/>
    <cellStyle name="Percent 7 3 4 2" xfId="32593" xr:uid="{00000000-0005-0000-0000-0000268D0000}"/>
    <cellStyle name="Percent 7 3 5" xfId="24546" xr:uid="{00000000-0005-0000-0000-0000278D0000}"/>
    <cellStyle name="Percent 7 4" xfId="6607" xr:uid="{00000000-0005-0000-0000-0000288D0000}"/>
    <cellStyle name="Percent 7 4 2" xfId="10394" xr:uid="{00000000-0005-0000-0000-0000298D0000}"/>
    <cellStyle name="Percent 7 4 2 2" xfId="19744" xr:uid="{00000000-0005-0000-0000-00002A8D0000}"/>
    <cellStyle name="Percent 7 4 2 2 2" xfId="36321" xr:uid="{00000000-0005-0000-0000-00002B8D0000}"/>
    <cellStyle name="Percent 7 4 2 3" xfId="28274" xr:uid="{00000000-0005-0000-0000-00002C8D0000}"/>
    <cellStyle name="Percent 7 4 3" xfId="16023" xr:uid="{00000000-0005-0000-0000-00002D8D0000}"/>
    <cellStyle name="Percent 7 4 3 2" xfId="32595" xr:uid="{00000000-0005-0000-0000-00002E8D0000}"/>
    <cellStyle name="Percent 7 4 4" xfId="24548" xr:uid="{00000000-0005-0000-0000-00002F8D0000}"/>
    <cellStyle name="Percent 7 5" xfId="10395" xr:uid="{00000000-0005-0000-0000-0000308D0000}"/>
    <cellStyle name="Percent 7 5 2" xfId="19745" xr:uid="{00000000-0005-0000-0000-0000318D0000}"/>
    <cellStyle name="Percent 7 5 2 2" xfId="36322" xr:uid="{00000000-0005-0000-0000-0000328D0000}"/>
    <cellStyle name="Percent 7 5 3" xfId="28275" xr:uid="{00000000-0005-0000-0000-0000338D0000}"/>
    <cellStyle name="Percent 7 6" xfId="6600" xr:uid="{00000000-0005-0000-0000-0000348D0000}"/>
    <cellStyle name="Percent 7 6 2" xfId="32588" xr:uid="{00000000-0005-0000-0000-0000358D0000}"/>
    <cellStyle name="Percent 7 7" xfId="24541" xr:uid="{00000000-0005-0000-0000-0000368D0000}"/>
    <cellStyle name="Percent 70" xfId="10573" xr:uid="{00000000-0005-0000-0000-0000378D0000}"/>
    <cellStyle name="Percent 71" xfId="10576" xr:uid="{00000000-0005-0000-0000-0000388D0000}"/>
    <cellStyle name="Percent 72" xfId="10579" xr:uid="{00000000-0005-0000-0000-0000398D0000}"/>
    <cellStyle name="Percent 73" xfId="10582" xr:uid="{00000000-0005-0000-0000-00003A8D0000}"/>
    <cellStyle name="Percent 74" xfId="10585" xr:uid="{00000000-0005-0000-0000-00003B8D0000}"/>
    <cellStyle name="Percent 75" xfId="10588" xr:uid="{00000000-0005-0000-0000-00003C8D0000}"/>
    <cellStyle name="Percent 76" xfId="10591" xr:uid="{00000000-0005-0000-0000-00003D8D0000}"/>
    <cellStyle name="Percent 77" xfId="10594" xr:uid="{00000000-0005-0000-0000-00003E8D0000}"/>
    <cellStyle name="Percent 78" xfId="10597" xr:uid="{00000000-0005-0000-0000-00003F8D0000}"/>
    <cellStyle name="Percent 79" xfId="10600" xr:uid="{00000000-0005-0000-0000-0000408D0000}"/>
    <cellStyle name="Percent 8" xfId="396" xr:uid="{00000000-0005-0000-0000-0000418D0000}"/>
    <cellStyle name="Percent 8 2" xfId="1730" xr:uid="{00000000-0005-0000-0000-0000428D0000}"/>
    <cellStyle name="Percent 80" xfId="10603" xr:uid="{00000000-0005-0000-0000-0000438D0000}"/>
    <cellStyle name="Percent 81" xfId="10606" xr:uid="{00000000-0005-0000-0000-0000448D0000}"/>
    <cellStyle name="Percent 82" xfId="10609" xr:uid="{00000000-0005-0000-0000-0000458D0000}"/>
    <cellStyle name="Percent 83" xfId="10612" xr:uid="{00000000-0005-0000-0000-0000468D0000}"/>
    <cellStyle name="Percent 84" xfId="10615" xr:uid="{00000000-0005-0000-0000-0000478D0000}"/>
    <cellStyle name="Percent 85" xfId="10618" xr:uid="{00000000-0005-0000-0000-0000488D0000}"/>
    <cellStyle name="Percent 86" xfId="10621" xr:uid="{00000000-0005-0000-0000-0000498D0000}"/>
    <cellStyle name="Percent 87" xfId="10624" xr:uid="{00000000-0005-0000-0000-00004A8D0000}"/>
    <cellStyle name="Percent 88" xfId="10627" xr:uid="{00000000-0005-0000-0000-00004B8D0000}"/>
    <cellStyle name="Percent 89" xfId="10630" xr:uid="{00000000-0005-0000-0000-00004C8D0000}"/>
    <cellStyle name="Percent 9" xfId="397" xr:uid="{00000000-0005-0000-0000-00004D8D0000}"/>
    <cellStyle name="Percent 9 2" xfId="1731" xr:uid="{00000000-0005-0000-0000-00004E8D0000}"/>
    <cellStyle name="Percent 9 2 2" xfId="10396" xr:uid="{00000000-0005-0000-0000-00004F8D0000}"/>
    <cellStyle name="Percent 9 3" xfId="6608" xr:uid="{00000000-0005-0000-0000-0000508D0000}"/>
    <cellStyle name="Percent 90" xfId="10633" xr:uid="{00000000-0005-0000-0000-0000518D0000}"/>
    <cellStyle name="Percent 91" xfId="10636" xr:uid="{00000000-0005-0000-0000-0000528D0000}"/>
    <cellStyle name="Percent 92" xfId="10639" xr:uid="{00000000-0005-0000-0000-0000538D0000}"/>
    <cellStyle name="Percent 93" xfId="10642" xr:uid="{00000000-0005-0000-0000-0000548D0000}"/>
    <cellStyle name="Percent 94" xfId="10645" xr:uid="{00000000-0005-0000-0000-0000558D0000}"/>
    <cellStyle name="Percent 95" xfId="10648" xr:uid="{00000000-0005-0000-0000-0000568D0000}"/>
    <cellStyle name="Percent 96" xfId="10651" xr:uid="{00000000-0005-0000-0000-0000578D0000}"/>
    <cellStyle name="Percent 97" xfId="10654" xr:uid="{00000000-0005-0000-0000-0000588D0000}"/>
    <cellStyle name="Percent 98" xfId="10657" xr:uid="{00000000-0005-0000-0000-0000598D0000}"/>
    <cellStyle name="Percent 99" xfId="10660" xr:uid="{00000000-0005-0000-0000-00005A8D0000}"/>
    <cellStyle name="Percent Comma" xfId="1171" xr:uid="{00000000-0005-0000-0000-00005B8D0000}"/>
    <cellStyle name="Percent1" xfId="1942" xr:uid="{00000000-0005-0000-0000-00005C8D0000}"/>
    <cellStyle name="Percent2" xfId="1943" xr:uid="{00000000-0005-0000-0000-00005D8D0000}"/>
    <cellStyle name="percentage" xfId="1944" xr:uid="{00000000-0005-0000-0000-00005E8D0000}"/>
    <cellStyle name="PercentChange" xfId="1945" xr:uid="{00000000-0005-0000-0000-00005F8D0000}"/>
    <cellStyle name="PO BORDER" xfId="312" xr:uid="{00000000-0005-0000-0000-0000608D0000}"/>
    <cellStyle name="PO BORDER 10" xfId="36422" xr:uid="{00000000-0005-0000-0000-0000618D0000}"/>
    <cellStyle name="PO BORDER 11" xfId="36465" xr:uid="{00000000-0005-0000-0000-0000628D0000}"/>
    <cellStyle name="PO BORDER 12" xfId="36453" xr:uid="{00000000-0005-0000-0000-0000638D0000}"/>
    <cellStyle name="PO BORDER 13" xfId="36502" xr:uid="{00000000-0005-0000-0000-0000648D0000}"/>
    <cellStyle name="PO BORDER 14" xfId="36487" xr:uid="{00000000-0005-0000-0000-0000658D0000}"/>
    <cellStyle name="PO BORDER 15" xfId="36471" xr:uid="{00000000-0005-0000-0000-0000668D0000}"/>
    <cellStyle name="PO BORDER 16" xfId="36533" xr:uid="{00000000-0005-0000-0000-0000678D0000}"/>
    <cellStyle name="PO BORDER 17" xfId="36441" xr:uid="{00000000-0005-0000-0000-0000688D0000}"/>
    <cellStyle name="PO BORDER 18" xfId="36506" xr:uid="{00000000-0005-0000-0000-0000698D0000}"/>
    <cellStyle name="PO BORDER 19" xfId="36514" xr:uid="{00000000-0005-0000-0000-00006A8D0000}"/>
    <cellStyle name="PO BORDER 2" xfId="1594" xr:uid="{00000000-0005-0000-0000-00006B8D0000}"/>
    <cellStyle name="PO BORDER 2 2" xfId="1637" xr:uid="{00000000-0005-0000-0000-00006C8D0000}"/>
    <cellStyle name="PO BORDER 2 2 2" xfId="11194" xr:uid="{00000000-0005-0000-0000-00006D8D0000}"/>
    <cellStyle name="PO BORDER 2 2 3" xfId="36785" xr:uid="{00000000-0005-0000-0000-00006E8D0000}"/>
    <cellStyle name="PO BORDER 2 2 4" xfId="36689" xr:uid="{00000000-0005-0000-0000-00006F8D0000}"/>
    <cellStyle name="PO BORDER 2 2 5" xfId="36667" xr:uid="{00000000-0005-0000-0000-0000708D0000}"/>
    <cellStyle name="PO BORDER 2 3" xfId="1656" xr:uid="{00000000-0005-0000-0000-0000718D0000}"/>
    <cellStyle name="PO BORDER 2 3 2" xfId="11213" xr:uid="{00000000-0005-0000-0000-0000728D0000}"/>
    <cellStyle name="PO BORDER 2 3 3" xfId="36804" xr:uid="{00000000-0005-0000-0000-0000738D0000}"/>
    <cellStyle name="PO BORDER 2 3 4" xfId="36818" xr:uid="{00000000-0005-0000-0000-0000748D0000}"/>
    <cellStyle name="PO BORDER 2 3 5" xfId="36946" xr:uid="{00000000-0005-0000-0000-0000758D0000}"/>
    <cellStyle name="PO BORDER 2 4" xfId="11155" xr:uid="{00000000-0005-0000-0000-0000768D0000}"/>
    <cellStyle name="PO BORDER 2 4 2" xfId="36911" xr:uid="{00000000-0005-0000-0000-0000778D0000}"/>
    <cellStyle name="PO BORDER 2 4 3" xfId="36947" xr:uid="{00000000-0005-0000-0000-0000788D0000}"/>
    <cellStyle name="PO BORDER 2 5" xfId="11119" xr:uid="{00000000-0005-0000-0000-0000798D0000}"/>
    <cellStyle name="PO BORDER 2 6" xfId="36746" xr:uid="{00000000-0005-0000-0000-00007A8D0000}"/>
    <cellStyle name="PO BORDER 2 7" xfId="36701" xr:uid="{00000000-0005-0000-0000-00007B8D0000}"/>
    <cellStyle name="PO BORDER 2 8" xfId="36698" xr:uid="{00000000-0005-0000-0000-00007C8D0000}"/>
    <cellStyle name="PO BORDER 20" xfId="36578" xr:uid="{00000000-0005-0000-0000-00007D8D0000}"/>
    <cellStyle name="PO BORDER 21" xfId="36541" xr:uid="{00000000-0005-0000-0000-00007E8D0000}"/>
    <cellStyle name="PO BORDER 22" xfId="36556" xr:uid="{00000000-0005-0000-0000-00007F8D0000}"/>
    <cellStyle name="PO BORDER 23" xfId="36627" xr:uid="{00000000-0005-0000-0000-0000808D0000}"/>
    <cellStyle name="PO BORDER 3" xfId="1738" xr:uid="{00000000-0005-0000-0000-0000818D0000}"/>
    <cellStyle name="PO BORDER 3 2" xfId="11223" xr:uid="{00000000-0005-0000-0000-0000828D0000}"/>
    <cellStyle name="PO BORDER 3 3" xfId="36820" xr:uid="{00000000-0005-0000-0000-0000838D0000}"/>
    <cellStyle name="PO BORDER 3 4" xfId="36671" xr:uid="{00000000-0005-0000-0000-0000848D0000}"/>
    <cellStyle name="PO BORDER 4" xfId="11110" xr:uid="{00000000-0005-0000-0000-0000858D0000}"/>
    <cellStyle name="PO BORDER 4 2" xfId="36912" xr:uid="{00000000-0005-0000-0000-0000868D0000}"/>
    <cellStyle name="PO BORDER 4 3" xfId="36948" xr:uid="{00000000-0005-0000-0000-0000878D0000}"/>
    <cellStyle name="PO BORDER 5" xfId="36395" xr:uid="{00000000-0005-0000-0000-0000888D0000}"/>
    <cellStyle name="PO BORDER 6" xfId="36499" xr:uid="{00000000-0005-0000-0000-0000898D0000}"/>
    <cellStyle name="PO BORDER 7" xfId="36532" xr:uid="{00000000-0005-0000-0000-00008A8D0000}"/>
    <cellStyle name="PO BORDER 8" xfId="36516" xr:uid="{00000000-0005-0000-0000-00008B8D0000}"/>
    <cellStyle name="PO BORDER 9" xfId="36398" xr:uid="{00000000-0005-0000-0000-00008C8D0000}"/>
    <cellStyle name="Porcentagem_Cenário Básico" xfId="1946" xr:uid="{00000000-0005-0000-0000-00008D8D0000}"/>
    <cellStyle name="Porcentual_mov_dolar" xfId="1947" xr:uid="{00000000-0005-0000-0000-00008E8D0000}"/>
    <cellStyle name="price" xfId="1172" xr:uid="{00000000-0005-0000-0000-00008F8D0000}"/>
    <cellStyle name="PSChar" xfId="313" xr:uid="{00000000-0005-0000-0000-0000908D0000}"/>
    <cellStyle name="PSChar 2" xfId="314" xr:uid="{00000000-0005-0000-0000-0000918D0000}"/>
    <cellStyle name="PSDate" xfId="315" xr:uid="{00000000-0005-0000-0000-0000928D0000}"/>
    <cellStyle name="PSDate 2" xfId="316" xr:uid="{00000000-0005-0000-0000-0000938D0000}"/>
    <cellStyle name="PSDec" xfId="317" xr:uid="{00000000-0005-0000-0000-0000948D0000}"/>
    <cellStyle name="PSDec 2" xfId="318" xr:uid="{00000000-0005-0000-0000-0000958D0000}"/>
    <cellStyle name="PSHeading" xfId="319" xr:uid="{00000000-0005-0000-0000-0000968D0000}"/>
    <cellStyle name="PSHeading 2" xfId="329" xr:uid="{00000000-0005-0000-0000-0000978D0000}"/>
    <cellStyle name="PSHeading 2 2" xfId="398" xr:uid="{00000000-0005-0000-0000-0000988D0000}"/>
    <cellStyle name="PSHeading 2 2 2" xfId="1689" xr:uid="{00000000-0005-0000-0000-0000998D0000}"/>
    <cellStyle name="PSHeading 2 3" xfId="1688" xr:uid="{00000000-0005-0000-0000-00009A8D0000}"/>
    <cellStyle name="PSHeading 2 4" xfId="11121" xr:uid="{00000000-0005-0000-0000-00009B8D0000}"/>
    <cellStyle name="PSInt" xfId="320" xr:uid="{00000000-0005-0000-0000-00009C8D0000}"/>
    <cellStyle name="PSInt 2" xfId="321" xr:uid="{00000000-0005-0000-0000-00009D8D0000}"/>
    <cellStyle name="PSSpacer" xfId="322" xr:uid="{00000000-0005-0000-0000-00009E8D0000}"/>
    <cellStyle name="PSSpacer 2" xfId="323" xr:uid="{00000000-0005-0000-0000-00009F8D0000}"/>
    <cellStyle name="PutnamPh#" xfId="324" xr:uid="{00000000-0005-0000-0000-0000A08D0000}"/>
    <cellStyle name="q" xfId="1173" xr:uid="{00000000-0005-0000-0000-0000A18D0000}"/>
    <cellStyle name="q_1 FM_101_Examples_v7.31McIntire" xfId="1174" xr:uid="{00000000-0005-0000-0000-0000A28D0000}"/>
    <cellStyle name="q_1 FM_101_Examples_v7.31McIntire_1 FM_101_Examples_TWO-Day_v7.31" xfId="1175" xr:uid="{00000000-0005-0000-0000-0000A38D0000}"/>
    <cellStyle name="q_AVP" xfId="1176" xr:uid="{00000000-0005-0000-0000-0000A48D0000}"/>
    <cellStyle name="q_AVP_1 FM_101_Examples_v7.31McIntire" xfId="1177" xr:uid="{00000000-0005-0000-0000-0000A58D0000}"/>
    <cellStyle name="q_AVP_1 FM_101_Examples_v7.31McIntire_1 FM_101_Examples_TWO-Day_v7.31" xfId="1178" xr:uid="{00000000-0005-0000-0000-0000A68D0000}"/>
    <cellStyle name="q_AVP_Graphic Depiction - NO DEV" xfId="1179" xr:uid="{00000000-0005-0000-0000-0000A78D0000}"/>
    <cellStyle name="q_AVP_Graphic Depiction - NO DEV_1 FM_101_Examples_v7.31McIntire" xfId="1180" xr:uid="{00000000-0005-0000-0000-0000A88D0000}"/>
    <cellStyle name="q_AVP_Graphic Depiction - NO DEV_1 FM_101_Examples_v7.31McIntire_1 FM_101_Examples_TWO-Day_v7.31" xfId="1181" xr:uid="{00000000-0005-0000-0000-0000A98D0000}"/>
    <cellStyle name="q_AVP_Graphic Depiction - NO DEV_Val_1_Book_Lecture_Notes_v3.06" xfId="1182" xr:uid="{00000000-0005-0000-0000-0000AA8D0000}"/>
    <cellStyle name="q_AVP_THEsumPage (2)" xfId="1183" xr:uid="{00000000-0005-0000-0000-0000AB8D0000}"/>
    <cellStyle name="q_AVP_THEsumPage (2)_1 FM_101_Examples_v7.31McIntire" xfId="1184" xr:uid="{00000000-0005-0000-0000-0000AC8D0000}"/>
    <cellStyle name="q_AVP_THEsumPage (2)_1 FM_101_Examples_v7.31McIntire_1 FM_101_Examples_TWO-Day_v7.31" xfId="1185" xr:uid="{00000000-0005-0000-0000-0000AD8D0000}"/>
    <cellStyle name="q_AVP_THEsumPage (2)_Val_1_Book_Lecture_Notes_v3.06" xfId="1186" xr:uid="{00000000-0005-0000-0000-0000AE8D0000}"/>
    <cellStyle name="q_AVP_Val_1_Book_Lecture_Notes_v3.06" xfId="1187" xr:uid="{00000000-0005-0000-0000-0000AF8D0000}"/>
    <cellStyle name="q_AVP_Valuation Summary Graphics" xfId="1188" xr:uid="{00000000-0005-0000-0000-0000B08D0000}"/>
    <cellStyle name="q_AVP_Valuation Summary Graphics_1 FM_101_Examples_v7.31McIntire" xfId="1189" xr:uid="{00000000-0005-0000-0000-0000B18D0000}"/>
    <cellStyle name="q_AVP_Valuation Summary Graphics_1 FM_101_Examples_v7.31McIntire_1 FM_101_Examples_TWO-Day_v7.31" xfId="1190" xr:uid="{00000000-0005-0000-0000-0000B28D0000}"/>
    <cellStyle name="q_AVP_Valuation Summary Graphics_Val_1_Book_Lecture_Notes_v3.06" xfId="1191" xr:uid="{00000000-0005-0000-0000-0000B38D0000}"/>
    <cellStyle name="q_CompSheet" xfId="1192" xr:uid="{00000000-0005-0000-0000-0000B48D0000}"/>
    <cellStyle name="q_CompSheet_Val_1_Book_Lecture_Notes_v3.06" xfId="1193" xr:uid="{00000000-0005-0000-0000-0000B58D0000}"/>
    <cellStyle name="q_Disc Analysis" xfId="1194" xr:uid="{00000000-0005-0000-0000-0000B68D0000}"/>
    <cellStyle name="q_Disc Analysis_1 FM_101_Examples_v7.31McIntire" xfId="1195" xr:uid="{00000000-0005-0000-0000-0000B78D0000}"/>
    <cellStyle name="q_Disc Analysis_1 FM_101_Examples_v7.31McIntire_1 FM_101_Examples_TWO-Day_v7.31" xfId="1196" xr:uid="{00000000-0005-0000-0000-0000B88D0000}"/>
    <cellStyle name="q_Disc Analysis_CompSheet" xfId="1197" xr:uid="{00000000-0005-0000-0000-0000B98D0000}"/>
    <cellStyle name="q_Disc Analysis_CompSheet_1 FM_101_Examples_v7.31McIntire" xfId="1198" xr:uid="{00000000-0005-0000-0000-0000BA8D0000}"/>
    <cellStyle name="q_Disc Analysis_CompSheet_1 FM_101_Examples_v7.31McIntire_1 FM_101_Examples_TWO-Day_v7.31" xfId="1199" xr:uid="{00000000-0005-0000-0000-0000BB8D0000}"/>
    <cellStyle name="q_Disc Analysis_CompSheet_Val_1_Book_Lecture_Notes_v3.06" xfId="1200" xr:uid="{00000000-0005-0000-0000-0000BC8D0000}"/>
    <cellStyle name="q_Disc Analysis_Fairness Opinion Valuation 4-23a.xls Chart 1" xfId="1201" xr:uid="{00000000-0005-0000-0000-0000BD8D0000}"/>
    <cellStyle name="q_Disc Analysis_Fairness Opinion Valuation 4-23a.xls Chart 1_1 FM_101_Examples_v7.31McIntire" xfId="1202" xr:uid="{00000000-0005-0000-0000-0000BE8D0000}"/>
    <cellStyle name="q_Disc Analysis_Fairness Opinion Valuation 4-23a.xls Chart 1_1 FM_101_Examples_v7.31McIntire_1 FM_101_Examples_TWO-Day_v7.31" xfId="1203" xr:uid="{00000000-0005-0000-0000-0000BF8D0000}"/>
    <cellStyle name="q_Disc Analysis_Fairness Opinion Valuation 4-23a.xls Chart 1_Val_1_Book_Lecture_Notes_v3.06" xfId="1204" xr:uid="{00000000-0005-0000-0000-0000C08D0000}"/>
    <cellStyle name="q_Disc Analysis_PowerValuation.xls Chart 21" xfId="1205" xr:uid="{00000000-0005-0000-0000-0000C18D0000}"/>
    <cellStyle name="q_Disc Analysis_PowerValuation.xls Chart 21_1 FM_101_Examples_v7.31McIntire" xfId="1206" xr:uid="{00000000-0005-0000-0000-0000C28D0000}"/>
    <cellStyle name="q_Disc Analysis_PowerValuation.xls Chart 21_1 FM_101_Examples_v7.31McIntire_1 FM_101_Examples_TWO-Day_v7.31" xfId="1207" xr:uid="{00000000-0005-0000-0000-0000C38D0000}"/>
    <cellStyle name="q_Disc Analysis_PowerValuation.xls Chart 21_Val_1_Book_Lecture_Notes_v3.06" xfId="1208" xr:uid="{00000000-0005-0000-0000-0000C48D0000}"/>
    <cellStyle name="q_Disc Analysis_PowerValuation.xls Chart 28" xfId="1209" xr:uid="{00000000-0005-0000-0000-0000C58D0000}"/>
    <cellStyle name="q_Disc Analysis_PowerValuation.xls Chart 28_1 FM_101_Examples_v7.31McIntire" xfId="1210" xr:uid="{00000000-0005-0000-0000-0000C68D0000}"/>
    <cellStyle name="q_Disc Analysis_PowerValuation.xls Chart 28_1 FM_101_Examples_v7.31McIntire_1 FM_101_Examples_TWO-Day_v7.31" xfId="1211" xr:uid="{00000000-0005-0000-0000-0000C78D0000}"/>
    <cellStyle name="q_Disc Analysis_PowerValuation.xls Chart 28_Val_1_Book_Lecture_Notes_v3.06" xfId="1212" xr:uid="{00000000-0005-0000-0000-0000C88D0000}"/>
    <cellStyle name="q_Disc Analysis_THEsumPage (2)" xfId="1213" xr:uid="{00000000-0005-0000-0000-0000C98D0000}"/>
    <cellStyle name="q_Disc Analysis_THEsumPage (2)_1 FM_101_Examples_v7.31McIntire" xfId="1214" xr:uid="{00000000-0005-0000-0000-0000CA8D0000}"/>
    <cellStyle name="q_Disc Analysis_THEsumPage (2)_1 FM_101_Examples_v7.31McIntire_1 FM_101_Examples_TWO-Day_v7.31" xfId="1215" xr:uid="{00000000-0005-0000-0000-0000CB8D0000}"/>
    <cellStyle name="q_Disc Analysis_THEsumPage (2)_Val_1_Book_Lecture_Notes_v3.06" xfId="1216" xr:uid="{00000000-0005-0000-0000-0000CC8D0000}"/>
    <cellStyle name="q_Disc Analysis_Val_1_Book_Lecture_Notes_v3.06" xfId="1217" xr:uid="{00000000-0005-0000-0000-0000CD8D0000}"/>
    <cellStyle name="q_Disc Analysis_Valuation summaries" xfId="1218" xr:uid="{00000000-0005-0000-0000-0000CE8D0000}"/>
    <cellStyle name="q_Disc Analysis_Valuation summaries_1 FM_101_Examples_v7.31McIntire" xfId="1219" xr:uid="{00000000-0005-0000-0000-0000CF8D0000}"/>
    <cellStyle name="q_Disc Analysis_Valuation summaries_1 FM_101_Examples_v7.31McIntire_1 FM_101_Examples_TWO-Day_v7.31" xfId="1220" xr:uid="{00000000-0005-0000-0000-0000D08D0000}"/>
    <cellStyle name="q_Disc Analysis_Valuation summaries_Val_1_Book_Lecture_Notes_v3.06" xfId="1221" xr:uid="{00000000-0005-0000-0000-0000D18D0000}"/>
    <cellStyle name="q_Fairness Opinion Valuation 4-23a.xls Chart 1" xfId="1222" xr:uid="{00000000-0005-0000-0000-0000D28D0000}"/>
    <cellStyle name="q_Fairness Opinion Valuation 4-23a.xls Chart 1_Val_1_Book_Lecture_Notes_v3.06" xfId="1223" xr:uid="{00000000-0005-0000-0000-0000D38D0000}"/>
    <cellStyle name="q_Merg Cons" xfId="1224" xr:uid="{00000000-0005-0000-0000-0000D48D0000}"/>
    <cellStyle name="q_Merg Cons_1 FM_101_Examples_v7.31McIntire" xfId="1225" xr:uid="{00000000-0005-0000-0000-0000D58D0000}"/>
    <cellStyle name="q_Merg Cons_1 FM_101_Examples_v7.31McIntire_1 FM_101_Examples_TWO-Day_v7.31" xfId="1226" xr:uid="{00000000-0005-0000-0000-0000D68D0000}"/>
    <cellStyle name="q_Merg Cons_CompSheet" xfId="1227" xr:uid="{00000000-0005-0000-0000-0000D78D0000}"/>
    <cellStyle name="q_Merg Cons_CompSheet_1 FM_101_Examples_v7.31McIntire" xfId="1228" xr:uid="{00000000-0005-0000-0000-0000D88D0000}"/>
    <cellStyle name="q_Merg Cons_CompSheet_1 FM_101_Examples_v7.31McIntire_1 FM_101_Examples_TWO-Day_v7.31" xfId="1229" xr:uid="{00000000-0005-0000-0000-0000D98D0000}"/>
    <cellStyle name="q_Merg Cons_CompSheet_Val_1_Book_Lecture_Notes_v3.06" xfId="1230" xr:uid="{00000000-0005-0000-0000-0000DA8D0000}"/>
    <cellStyle name="q_Merg Cons_Fairness Opinion Valuation 4-23a.xls Chart 1" xfId="1231" xr:uid="{00000000-0005-0000-0000-0000DB8D0000}"/>
    <cellStyle name="q_Merg Cons_Fairness Opinion Valuation 4-23a.xls Chart 1_1 FM_101_Examples_v7.31McIntire" xfId="1232" xr:uid="{00000000-0005-0000-0000-0000DC8D0000}"/>
    <cellStyle name="q_Merg Cons_Fairness Opinion Valuation 4-23a.xls Chart 1_1 FM_101_Examples_v7.31McIntire_1 FM_101_Examples_TWO-Day_v7.31" xfId="1233" xr:uid="{00000000-0005-0000-0000-0000DD8D0000}"/>
    <cellStyle name="q_Merg Cons_Fairness Opinion Valuation 4-23a.xls Chart 1_Val_1_Book_Lecture_Notes_v3.06" xfId="1234" xr:uid="{00000000-0005-0000-0000-0000DE8D0000}"/>
    <cellStyle name="q_Merg Cons_PowerValuation.xls Chart 21" xfId="1235" xr:uid="{00000000-0005-0000-0000-0000DF8D0000}"/>
    <cellStyle name="q_Merg Cons_PowerValuation.xls Chart 21_1 FM_101_Examples_v7.31McIntire" xfId="1236" xr:uid="{00000000-0005-0000-0000-0000E08D0000}"/>
    <cellStyle name="q_Merg Cons_PowerValuation.xls Chart 21_1 FM_101_Examples_v7.31McIntire_1 FM_101_Examples_TWO-Day_v7.31" xfId="1237" xr:uid="{00000000-0005-0000-0000-0000E18D0000}"/>
    <cellStyle name="q_Merg Cons_PowerValuation.xls Chart 21_Val_1_Book_Lecture_Notes_v3.06" xfId="1238" xr:uid="{00000000-0005-0000-0000-0000E28D0000}"/>
    <cellStyle name="q_Merg Cons_PowerValuation.xls Chart 28" xfId="1239" xr:uid="{00000000-0005-0000-0000-0000E38D0000}"/>
    <cellStyle name="q_Merg Cons_PowerValuation.xls Chart 28_1 FM_101_Examples_v7.31McIntire" xfId="1240" xr:uid="{00000000-0005-0000-0000-0000E48D0000}"/>
    <cellStyle name="q_Merg Cons_PowerValuation.xls Chart 28_1 FM_101_Examples_v7.31McIntire_1 FM_101_Examples_TWO-Day_v7.31" xfId="1241" xr:uid="{00000000-0005-0000-0000-0000E58D0000}"/>
    <cellStyle name="q_Merg Cons_PowerValuation.xls Chart 28_Val_1_Book_Lecture_Notes_v3.06" xfId="1242" xr:uid="{00000000-0005-0000-0000-0000E68D0000}"/>
    <cellStyle name="q_Merg Cons_THEsumPage (2)" xfId="1243" xr:uid="{00000000-0005-0000-0000-0000E78D0000}"/>
    <cellStyle name="q_Merg Cons_THEsumPage (2)_1 FM_101_Examples_v7.31McIntire" xfId="1244" xr:uid="{00000000-0005-0000-0000-0000E88D0000}"/>
    <cellStyle name="q_Merg Cons_THEsumPage (2)_1 FM_101_Examples_v7.31McIntire_1 FM_101_Examples_TWO-Day_v7.31" xfId="1245" xr:uid="{00000000-0005-0000-0000-0000E98D0000}"/>
    <cellStyle name="q_Merg Cons_THEsumPage (2)_Val_1_Book_Lecture_Notes_v3.06" xfId="1246" xr:uid="{00000000-0005-0000-0000-0000EA8D0000}"/>
    <cellStyle name="q_Merg Cons_Val_1_Book_Lecture_Notes_v3.06" xfId="1247" xr:uid="{00000000-0005-0000-0000-0000EB8D0000}"/>
    <cellStyle name="q_Merg Cons_Valuation summaries" xfId="1248" xr:uid="{00000000-0005-0000-0000-0000EC8D0000}"/>
    <cellStyle name="q_Merg Cons_Valuation summaries_1 FM_101_Examples_v7.31McIntire" xfId="1249" xr:uid="{00000000-0005-0000-0000-0000ED8D0000}"/>
    <cellStyle name="q_Merg Cons_Valuation summaries_1 FM_101_Examples_v7.31McIntire_1 FM_101_Examples_TWO-Day_v7.31" xfId="1250" xr:uid="{00000000-0005-0000-0000-0000EE8D0000}"/>
    <cellStyle name="q_Merg Cons_Valuation summaries_Val_1_Book_Lecture_Notes_v3.06" xfId="1251" xr:uid="{00000000-0005-0000-0000-0000EF8D0000}"/>
    <cellStyle name="q_PowerValuation.xls Chart 21" xfId="1252" xr:uid="{00000000-0005-0000-0000-0000F08D0000}"/>
    <cellStyle name="q_PowerValuation.xls Chart 21_Val_1_Book_Lecture_Notes_v3.06" xfId="1253" xr:uid="{00000000-0005-0000-0000-0000F18D0000}"/>
    <cellStyle name="q_PowerValuation.xls Chart 28" xfId="1254" xr:uid="{00000000-0005-0000-0000-0000F28D0000}"/>
    <cellStyle name="q_PowerValuation.xls Chart 28_Val_1_Book_Lecture_Notes_v3.06" xfId="1255" xr:uid="{00000000-0005-0000-0000-0000F38D0000}"/>
    <cellStyle name="q_Proj10" xfId="1256" xr:uid="{00000000-0005-0000-0000-0000F48D0000}"/>
    <cellStyle name="q_Proj10_1 FM_101_Examples_v7.31McIntire" xfId="1257" xr:uid="{00000000-0005-0000-0000-0000F58D0000}"/>
    <cellStyle name="q_Proj10_1 FM_101_Examples_v7.31McIntire_1 FM_101_Examples_TWO-Day_v7.31" xfId="1258" xr:uid="{00000000-0005-0000-0000-0000F68D0000}"/>
    <cellStyle name="q_Proj10_AVP" xfId="1259" xr:uid="{00000000-0005-0000-0000-0000F78D0000}"/>
    <cellStyle name="q_Proj10_AVP_1 FM_101_Examples_v7.31McIntire" xfId="1260" xr:uid="{00000000-0005-0000-0000-0000F88D0000}"/>
    <cellStyle name="q_Proj10_AVP_1 FM_101_Examples_v7.31McIntire_1 FM_101_Examples_TWO-Day_v7.31" xfId="1261" xr:uid="{00000000-0005-0000-0000-0000F98D0000}"/>
    <cellStyle name="q_Proj10_AVP_Graphic Depiction - NO DEV" xfId="1262" xr:uid="{00000000-0005-0000-0000-0000FA8D0000}"/>
    <cellStyle name="q_Proj10_AVP_Graphic Depiction - NO DEV_1 FM_101_Examples_v7.31McIntire" xfId="1263" xr:uid="{00000000-0005-0000-0000-0000FB8D0000}"/>
    <cellStyle name="q_Proj10_AVP_Graphic Depiction - NO DEV_1 FM_101_Examples_v7.31McIntire_1 FM_101_Examples_TWO-Day_v7.31" xfId="1264" xr:uid="{00000000-0005-0000-0000-0000FC8D0000}"/>
    <cellStyle name="q_Proj10_AVP_Graphic Depiction - NO DEV_Val_1_Book_Lecture_Notes_v3.06" xfId="1265" xr:uid="{00000000-0005-0000-0000-0000FD8D0000}"/>
    <cellStyle name="q_Proj10_AVP_THEsumPage (2)" xfId="1266" xr:uid="{00000000-0005-0000-0000-0000FE8D0000}"/>
    <cellStyle name="q_Proj10_AVP_THEsumPage (2)_1 FM_101_Examples_v7.31McIntire" xfId="1267" xr:uid="{00000000-0005-0000-0000-0000FF8D0000}"/>
    <cellStyle name="q_Proj10_AVP_THEsumPage (2)_1 FM_101_Examples_v7.31McIntire_1 FM_101_Examples_TWO-Day_v7.31" xfId="1268" xr:uid="{00000000-0005-0000-0000-0000008E0000}"/>
    <cellStyle name="q_Proj10_AVP_THEsumPage (2)_Val_1_Book_Lecture_Notes_v3.06" xfId="1269" xr:uid="{00000000-0005-0000-0000-0000018E0000}"/>
    <cellStyle name="q_Proj10_AVP_Val_1_Book_Lecture_Notes_v3.06" xfId="1270" xr:uid="{00000000-0005-0000-0000-0000028E0000}"/>
    <cellStyle name="q_Proj10_AVP_Valuation Summary Graphics" xfId="1271" xr:uid="{00000000-0005-0000-0000-0000038E0000}"/>
    <cellStyle name="q_Proj10_AVP_Valuation Summary Graphics_1 FM_101_Examples_v7.31McIntire" xfId="1272" xr:uid="{00000000-0005-0000-0000-0000048E0000}"/>
    <cellStyle name="q_Proj10_AVP_Valuation Summary Graphics_1 FM_101_Examples_v7.31McIntire_1 FM_101_Examples_TWO-Day_v7.31" xfId="1273" xr:uid="{00000000-0005-0000-0000-0000058E0000}"/>
    <cellStyle name="q_Proj10_AVP_Valuation Summary Graphics_Val_1_Book_Lecture_Notes_v3.06" xfId="1274" xr:uid="{00000000-0005-0000-0000-0000068E0000}"/>
    <cellStyle name="q_Proj10_CompSheet" xfId="1275" xr:uid="{00000000-0005-0000-0000-0000078E0000}"/>
    <cellStyle name="q_Proj10_CompSheet_Val_1_Book_Lecture_Notes_v3.06" xfId="1276" xr:uid="{00000000-0005-0000-0000-0000088E0000}"/>
    <cellStyle name="q_Proj10_Disc Analysis" xfId="1277" xr:uid="{00000000-0005-0000-0000-0000098E0000}"/>
    <cellStyle name="q_Proj10_Disc Analysis_1 FM_101_Examples_v7.31McIntire" xfId="1278" xr:uid="{00000000-0005-0000-0000-00000A8E0000}"/>
    <cellStyle name="q_Proj10_Disc Analysis_1 FM_101_Examples_v7.31McIntire_1 FM_101_Examples_TWO-Day_v7.31" xfId="1279" xr:uid="{00000000-0005-0000-0000-00000B8E0000}"/>
    <cellStyle name="q_Proj10_Disc Analysis_CompSheet" xfId="1280" xr:uid="{00000000-0005-0000-0000-00000C8E0000}"/>
    <cellStyle name="q_Proj10_Disc Analysis_CompSheet_1 FM_101_Examples_v7.31McIntire" xfId="1281" xr:uid="{00000000-0005-0000-0000-00000D8E0000}"/>
    <cellStyle name="q_Proj10_Disc Analysis_CompSheet_1 FM_101_Examples_v7.31McIntire_1 FM_101_Examples_TWO-Day_v7.31" xfId="1282" xr:uid="{00000000-0005-0000-0000-00000E8E0000}"/>
    <cellStyle name="q_Proj10_Disc Analysis_CompSheet_Val_1_Book_Lecture_Notes_v3.06" xfId="1283" xr:uid="{00000000-0005-0000-0000-00000F8E0000}"/>
    <cellStyle name="q_Proj10_Disc Analysis_Fairness Opinion Valuation 4-23a.xls Chart 1" xfId="1284" xr:uid="{00000000-0005-0000-0000-0000108E0000}"/>
    <cellStyle name="q_Proj10_Disc Analysis_Fairness Opinion Valuation 4-23a.xls Chart 1_1 FM_101_Examples_v7.31McIntire" xfId="1285" xr:uid="{00000000-0005-0000-0000-0000118E0000}"/>
    <cellStyle name="q_Proj10_Disc Analysis_Fairness Opinion Valuation 4-23a.xls Chart 1_1 FM_101_Examples_v7.31McIntire_1 FM_101_Examples_TWO-Day_v7.31" xfId="1286" xr:uid="{00000000-0005-0000-0000-0000128E0000}"/>
    <cellStyle name="q_Proj10_Disc Analysis_Fairness Opinion Valuation 4-23a.xls Chart 1_Val_1_Book_Lecture_Notes_v3.06" xfId="1287" xr:uid="{00000000-0005-0000-0000-0000138E0000}"/>
    <cellStyle name="q_Proj10_Disc Analysis_PowerValuation.xls Chart 21" xfId="1288" xr:uid="{00000000-0005-0000-0000-0000148E0000}"/>
    <cellStyle name="q_Proj10_Disc Analysis_PowerValuation.xls Chart 21_1 FM_101_Examples_v7.31McIntire" xfId="1289" xr:uid="{00000000-0005-0000-0000-0000158E0000}"/>
    <cellStyle name="q_Proj10_Disc Analysis_PowerValuation.xls Chart 21_1 FM_101_Examples_v7.31McIntire_1 FM_101_Examples_TWO-Day_v7.31" xfId="1290" xr:uid="{00000000-0005-0000-0000-0000168E0000}"/>
    <cellStyle name="q_Proj10_Disc Analysis_PowerValuation.xls Chart 21_Val_1_Book_Lecture_Notes_v3.06" xfId="1291" xr:uid="{00000000-0005-0000-0000-0000178E0000}"/>
    <cellStyle name="q_Proj10_Disc Analysis_PowerValuation.xls Chart 28" xfId="1292" xr:uid="{00000000-0005-0000-0000-0000188E0000}"/>
    <cellStyle name="q_Proj10_Disc Analysis_PowerValuation.xls Chart 28_1 FM_101_Examples_v7.31McIntire" xfId="1293" xr:uid="{00000000-0005-0000-0000-0000198E0000}"/>
    <cellStyle name="q_Proj10_Disc Analysis_PowerValuation.xls Chart 28_1 FM_101_Examples_v7.31McIntire_1 FM_101_Examples_TWO-Day_v7.31" xfId="1294" xr:uid="{00000000-0005-0000-0000-00001A8E0000}"/>
    <cellStyle name="q_Proj10_Disc Analysis_PowerValuation.xls Chart 28_Val_1_Book_Lecture_Notes_v3.06" xfId="1295" xr:uid="{00000000-0005-0000-0000-00001B8E0000}"/>
    <cellStyle name="q_Proj10_Disc Analysis_THEsumPage (2)" xfId="1296" xr:uid="{00000000-0005-0000-0000-00001C8E0000}"/>
    <cellStyle name="q_Proj10_Disc Analysis_THEsumPage (2)_1 FM_101_Examples_v7.31McIntire" xfId="1297" xr:uid="{00000000-0005-0000-0000-00001D8E0000}"/>
    <cellStyle name="q_Proj10_Disc Analysis_THEsumPage (2)_1 FM_101_Examples_v7.31McIntire_1 FM_101_Examples_TWO-Day_v7.31" xfId="1298" xr:uid="{00000000-0005-0000-0000-00001E8E0000}"/>
    <cellStyle name="q_Proj10_Disc Analysis_THEsumPage (2)_Val_1_Book_Lecture_Notes_v3.06" xfId="1299" xr:uid="{00000000-0005-0000-0000-00001F8E0000}"/>
    <cellStyle name="q_Proj10_Disc Analysis_Val_1_Book_Lecture_Notes_v3.06" xfId="1300" xr:uid="{00000000-0005-0000-0000-0000208E0000}"/>
    <cellStyle name="q_Proj10_Disc Analysis_Valuation summaries" xfId="1301" xr:uid="{00000000-0005-0000-0000-0000218E0000}"/>
    <cellStyle name="q_Proj10_Disc Analysis_Valuation summaries_1 FM_101_Examples_v7.31McIntire" xfId="1302" xr:uid="{00000000-0005-0000-0000-0000228E0000}"/>
    <cellStyle name="q_Proj10_Disc Analysis_Valuation summaries_1 FM_101_Examples_v7.31McIntire_1 FM_101_Examples_TWO-Day_v7.31" xfId="1303" xr:uid="{00000000-0005-0000-0000-0000238E0000}"/>
    <cellStyle name="q_Proj10_Disc Analysis_Valuation summaries_Val_1_Book_Lecture_Notes_v3.06" xfId="1304" xr:uid="{00000000-0005-0000-0000-0000248E0000}"/>
    <cellStyle name="q_Proj10_Fairness Opinion Valuation 4-23a.xls Chart 1" xfId="1305" xr:uid="{00000000-0005-0000-0000-0000258E0000}"/>
    <cellStyle name="q_Proj10_Fairness Opinion Valuation 4-23a.xls Chart 1_Val_1_Book_Lecture_Notes_v3.06" xfId="1306" xr:uid="{00000000-0005-0000-0000-0000268E0000}"/>
    <cellStyle name="q_Proj10_Merg Cons" xfId="1307" xr:uid="{00000000-0005-0000-0000-0000278E0000}"/>
    <cellStyle name="q_Proj10_Merg Cons_1 FM_101_Examples_v7.31McIntire" xfId="1308" xr:uid="{00000000-0005-0000-0000-0000288E0000}"/>
    <cellStyle name="q_Proj10_Merg Cons_1 FM_101_Examples_v7.31McIntire_1 FM_101_Examples_TWO-Day_v7.31" xfId="1309" xr:uid="{00000000-0005-0000-0000-0000298E0000}"/>
    <cellStyle name="q_Proj10_Merg Cons_CompSheet" xfId="1310" xr:uid="{00000000-0005-0000-0000-00002A8E0000}"/>
    <cellStyle name="q_Proj10_Merg Cons_CompSheet_1 FM_101_Examples_v7.31McIntire" xfId="1311" xr:uid="{00000000-0005-0000-0000-00002B8E0000}"/>
    <cellStyle name="q_Proj10_Merg Cons_CompSheet_1 FM_101_Examples_v7.31McIntire_1 FM_101_Examples_TWO-Day_v7.31" xfId="1312" xr:uid="{00000000-0005-0000-0000-00002C8E0000}"/>
    <cellStyle name="q_Proj10_Merg Cons_CompSheet_Val_1_Book_Lecture_Notes_v3.06" xfId="1313" xr:uid="{00000000-0005-0000-0000-00002D8E0000}"/>
    <cellStyle name="q_Proj10_Merg Cons_Fairness Opinion Valuation 4-23a.xls Chart 1" xfId="1314" xr:uid="{00000000-0005-0000-0000-00002E8E0000}"/>
    <cellStyle name="q_Proj10_Merg Cons_Fairness Opinion Valuation 4-23a.xls Chart 1_1 FM_101_Examples_v7.31McIntire" xfId="1315" xr:uid="{00000000-0005-0000-0000-00002F8E0000}"/>
    <cellStyle name="q_Proj10_Merg Cons_Fairness Opinion Valuation 4-23a.xls Chart 1_1 FM_101_Examples_v7.31McIntire_1 FM_101_Examples_TWO-Day_v7.31" xfId="1316" xr:uid="{00000000-0005-0000-0000-0000308E0000}"/>
    <cellStyle name="q_Proj10_Merg Cons_Fairness Opinion Valuation 4-23a.xls Chart 1_Val_1_Book_Lecture_Notes_v3.06" xfId="1317" xr:uid="{00000000-0005-0000-0000-0000318E0000}"/>
    <cellStyle name="q_Proj10_Merg Cons_PowerValuation.xls Chart 21" xfId="1318" xr:uid="{00000000-0005-0000-0000-0000328E0000}"/>
    <cellStyle name="q_Proj10_Merg Cons_PowerValuation.xls Chart 21_1 FM_101_Examples_v7.31McIntire" xfId="1319" xr:uid="{00000000-0005-0000-0000-0000338E0000}"/>
    <cellStyle name="q_Proj10_Merg Cons_PowerValuation.xls Chart 21_1 FM_101_Examples_v7.31McIntire_1 FM_101_Examples_TWO-Day_v7.31" xfId="1320" xr:uid="{00000000-0005-0000-0000-0000348E0000}"/>
    <cellStyle name="q_Proj10_Merg Cons_PowerValuation.xls Chart 21_Val_1_Book_Lecture_Notes_v3.06" xfId="1321" xr:uid="{00000000-0005-0000-0000-0000358E0000}"/>
    <cellStyle name="q_Proj10_Merg Cons_PowerValuation.xls Chart 28" xfId="1322" xr:uid="{00000000-0005-0000-0000-0000368E0000}"/>
    <cellStyle name="q_Proj10_Merg Cons_PowerValuation.xls Chart 28_1 FM_101_Examples_v7.31McIntire" xfId="1323" xr:uid="{00000000-0005-0000-0000-0000378E0000}"/>
    <cellStyle name="q_Proj10_Merg Cons_PowerValuation.xls Chart 28_1 FM_101_Examples_v7.31McIntire_1 FM_101_Examples_TWO-Day_v7.31" xfId="1324" xr:uid="{00000000-0005-0000-0000-0000388E0000}"/>
    <cellStyle name="q_Proj10_Merg Cons_PowerValuation.xls Chart 28_Val_1_Book_Lecture_Notes_v3.06" xfId="1325" xr:uid="{00000000-0005-0000-0000-0000398E0000}"/>
    <cellStyle name="q_Proj10_Merg Cons_THEsumPage (2)" xfId="1326" xr:uid="{00000000-0005-0000-0000-00003A8E0000}"/>
    <cellStyle name="q_Proj10_Merg Cons_THEsumPage (2)_1 FM_101_Examples_v7.31McIntire" xfId="1327" xr:uid="{00000000-0005-0000-0000-00003B8E0000}"/>
    <cellStyle name="q_Proj10_Merg Cons_THEsumPage (2)_1 FM_101_Examples_v7.31McIntire_1 FM_101_Examples_TWO-Day_v7.31" xfId="1328" xr:uid="{00000000-0005-0000-0000-00003C8E0000}"/>
    <cellStyle name="q_Proj10_Merg Cons_THEsumPage (2)_Val_1_Book_Lecture_Notes_v3.06" xfId="1329" xr:uid="{00000000-0005-0000-0000-00003D8E0000}"/>
    <cellStyle name="q_Proj10_Merg Cons_Val_1_Book_Lecture_Notes_v3.06" xfId="1330" xr:uid="{00000000-0005-0000-0000-00003E8E0000}"/>
    <cellStyle name="q_Proj10_Merg Cons_Valuation summaries" xfId="1331" xr:uid="{00000000-0005-0000-0000-00003F8E0000}"/>
    <cellStyle name="q_Proj10_Merg Cons_Valuation summaries_1 FM_101_Examples_v7.31McIntire" xfId="1332" xr:uid="{00000000-0005-0000-0000-0000408E0000}"/>
    <cellStyle name="q_Proj10_Merg Cons_Valuation summaries_1 FM_101_Examples_v7.31McIntire_1 FM_101_Examples_TWO-Day_v7.31" xfId="1333" xr:uid="{00000000-0005-0000-0000-0000418E0000}"/>
    <cellStyle name="q_Proj10_Merg Cons_Valuation summaries_Val_1_Book_Lecture_Notes_v3.06" xfId="1334" xr:uid="{00000000-0005-0000-0000-0000428E0000}"/>
    <cellStyle name="q_Proj10_PowerValuation.xls Chart 21" xfId="1335" xr:uid="{00000000-0005-0000-0000-0000438E0000}"/>
    <cellStyle name="q_Proj10_PowerValuation.xls Chart 21_Val_1_Book_Lecture_Notes_v3.06" xfId="1336" xr:uid="{00000000-0005-0000-0000-0000448E0000}"/>
    <cellStyle name="q_Proj10_PowerValuation.xls Chart 28" xfId="1337" xr:uid="{00000000-0005-0000-0000-0000458E0000}"/>
    <cellStyle name="q_Proj10_PowerValuation.xls Chart 28_Val_1_Book_Lecture_Notes_v3.06" xfId="1338" xr:uid="{00000000-0005-0000-0000-0000468E0000}"/>
    <cellStyle name="q_Proj10_Sensitivity" xfId="1339" xr:uid="{00000000-0005-0000-0000-0000478E0000}"/>
    <cellStyle name="q_Proj10_Sensitivity_1 FM_101_Examples_v7.31McIntire" xfId="1340" xr:uid="{00000000-0005-0000-0000-0000488E0000}"/>
    <cellStyle name="q_Proj10_Sensitivity_1 FM_101_Examples_v7.31McIntire_1 FM_101_Examples_TWO-Day_v7.31" xfId="1341" xr:uid="{00000000-0005-0000-0000-0000498E0000}"/>
    <cellStyle name="q_Proj10_Sensitivity_CompSheet" xfId="1342" xr:uid="{00000000-0005-0000-0000-00004A8E0000}"/>
    <cellStyle name="q_Proj10_Sensitivity_CompSheet_1 FM_101_Examples_v7.31McIntire" xfId="1343" xr:uid="{00000000-0005-0000-0000-00004B8E0000}"/>
    <cellStyle name="q_Proj10_Sensitivity_CompSheet_1 FM_101_Examples_v7.31McIntire_1 FM_101_Examples_TWO-Day_v7.31" xfId="1344" xr:uid="{00000000-0005-0000-0000-00004C8E0000}"/>
    <cellStyle name="q_Proj10_Sensitivity_CompSheet_Val_1_Book_Lecture_Notes_v3.06" xfId="1345" xr:uid="{00000000-0005-0000-0000-00004D8E0000}"/>
    <cellStyle name="q_Proj10_Sensitivity_Fairness Opinion Valuation 4-23a.xls Chart 1" xfId="1346" xr:uid="{00000000-0005-0000-0000-00004E8E0000}"/>
    <cellStyle name="q_Proj10_Sensitivity_Fairness Opinion Valuation 4-23a.xls Chart 1_1 FM_101_Examples_v7.31McIntire" xfId="1347" xr:uid="{00000000-0005-0000-0000-00004F8E0000}"/>
    <cellStyle name="q_Proj10_Sensitivity_Fairness Opinion Valuation 4-23a.xls Chart 1_1 FM_101_Examples_v7.31McIntire_1 FM_101_Examples_TWO-Day_v7.31" xfId="1348" xr:uid="{00000000-0005-0000-0000-0000508E0000}"/>
    <cellStyle name="q_Proj10_Sensitivity_Fairness Opinion Valuation 4-23a.xls Chart 1_Val_1_Book_Lecture_Notes_v3.06" xfId="1349" xr:uid="{00000000-0005-0000-0000-0000518E0000}"/>
    <cellStyle name="q_Proj10_Sensitivity_PowerValuation.xls Chart 21" xfId="1350" xr:uid="{00000000-0005-0000-0000-0000528E0000}"/>
    <cellStyle name="q_Proj10_Sensitivity_PowerValuation.xls Chart 21_1 FM_101_Examples_v7.31McIntire" xfId="1351" xr:uid="{00000000-0005-0000-0000-0000538E0000}"/>
    <cellStyle name="q_Proj10_Sensitivity_PowerValuation.xls Chart 21_1 FM_101_Examples_v7.31McIntire_1 FM_101_Examples_TWO-Day_v7.31" xfId="1352" xr:uid="{00000000-0005-0000-0000-0000548E0000}"/>
    <cellStyle name="q_Proj10_Sensitivity_PowerValuation.xls Chart 21_Val_1_Book_Lecture_Notes_v3.06" xfId="1353" xr:uid="{00000000-0005-0000-0000-0000558E0000}"/>
    <cellStyle name="q_Proj10_Sensitivity_PowerValuation.xls Chart 28" xfId="1354" xr:uid="{00000000-0005-0000-0000-0000568E0000}"/>
    <cellStyle name="q_Proj10_Sensitivity_PowerValuation.xls Chart 28_1 FM_101_Examples_v7.31McIntire" xfId="1355" xr:uid="{00000000-0005-0000-0000-0000578E0000}"/>
    <cellStyle name="q_Proj10_Sensitivity_PowerValuation.xls Chart 28_1 FM_101_Examples_v7.31McIntire_1 FM_101_Examples_TWO-Day_v7.31" xfId="1356" xr:uid="{00000000-0005-0000-0000-0000588E0000}"/>
    <cellStyle name="q_Proj10_Sensitivity_PowerValuation.xls Chart 28_Val_1_Book_Lecture_Notes_v3.06" xfId="1357" xr:uid="{00000000-0005-0000-0000-0000598E0000}"/>
    <cellStyle name="q_Proj10_Sensitivity_THEsumPage (2)" xfId="1358" xr:uid="{00000000-0005-0000-0000-00005A8E0000}"/>
    <cellStyle name="q_Proj10_Sensitivity_THEsumPage (2)_1 FM_101_Examples_v7.31McIntire" xfId="1359" xr:uid="{00000000-0005-0000-0000-00005B8E0000}"/>
    <cellStyle name="q_Proj10_Sensitivity_THEsumPage (2)_1 FM_101_Examples_v7.31McIntire_1 FM_101_Examples_TWO-Day_v7.31" xfId="1360" xr:uid="{00000000-0005-0000-0000-00005C8E0000}"/>
    <cellStyle name="q_Proj10_Sensitivity_THEsumPage (2)_Val_1_Book_Lecture_Notes_v3.06" xfId="1361" xr:uid="{00000000-0005-0000-0000-00005D8E0000}"/>
    <cellStyle name="q_Proj10_Sensitivity_Val_1_Book_Lecture_Notes_v3.06" xfId="1362" xr:uid="{00000000-0005-0000-0000-00005E8E0000}"/>
    <cellStyle name="q_Proj10_Sensitivity_Valuation summaries" xfId="1363" xr:uid="{00000000-0005-0000-0000-00005F8E0000}"/>
    <cellStyle name="q_Proj10_Sensitivity_Valuation summaries_1 FM_101_Examples_v7.31McIntire" xfId="1364" xr:uid="{00000000-0005-0000-0000-0000608E0000}"/>
    <cellStyle name="q_Proj10_Sensitivity_Valuation summaries_1 FM_101_Examples_v7.31McIntire_1 FM_101_Examples_TWO-Day_v7.31" xfId="1365" xr:uid="{00000000-0005-0000-0000-0000618E0000}"/>
    <cellStyle name="q_Proj10_Sensitivity_Valuation summaries_Val_1_Book_Lecture_Notes_v3.06" xfId="1366" xr:uid="{00000000-0005-0000-0000-0000628E0000}"/>
    <cellStyle name="q_Proj10_show-hold" xfId="1367" xr:uid="{00000000-0005-0000-0000-0000638E0000}"/>
    <cellStyle name="q_Proj10_show-hold_1 FM_101_Examples_v7.31McIntire" xfId="1368" xr:uid="{00000000-0005-0000-0000-0000648E0000}"/>
    <cellStyle name="q_Proj10_show-hold_1 FM_101_Examples_v7.31McIntire_1 FM_101_Examples_TWO-Day_v7.31" xfId="1369" xr:uid="{00000000-0005-0000-0000-0000658E0000}"/>
    <cellStyle name="q_Proj10_show-hold_Graphic Depiction - NO DEV" xfId="1370" xr:uid="{00000000-0005-0000-0000-0000668E0000}"/>
    <cellStyle name="q_Proj10_show-hold_Graphic Depiction - NO DEV_1 FM_101_Examples_v7.31McIntire" xfId="1371" xr:uid="{00000000-0005-0000-0000-0000678E0000}"/>
    <cellStyle name="q_Proj10_show-hold_Graphic Depiction - NO DEV_1 FM_101_Examples_v7.31McIntire_1 FM_101_Examples_TWO-Day_v7.31" xfId="1372" xr:uid="{00000000-0005-0000-0000-0000688E0000}"/>
    <cellStyle name="q_Proj10_show-hold_Graphic Depiction - NO DEV_Val_1_Book_Lecture_Notes_v3.06" xfId="1373" xr:uid="{00000000-0005-0000-0000-0000698E0000}"/>
    <cellStyle name="q_Proj10_show-hold_THEsumPage (2)" xfId="1374" xr:uid="{00000000-0005-0000-0000-00006A8E0000}"/>
    <cellStyle name="q_Proj10_show-hold_THEsumPage (2)_1 FM_101_Examples_v7.31McIntire" xfId="1375" xr:uid="{00000000-0005-0000-0000-00006B8E0000}"/>
    <cellStyle name="q_Proj10_show-hold_THEsumPage (2)_1 FM_101_Examples_v7.31McIntire_1 FM_101_Examples_TWO-Day_v7.31" xfId="1376" xr:uid="{00000000-0005-0000-0000-00006C8E0000}"/>
    <cellStyle name="q_Proj10_show-hold_THEsumPage (2)_Val_1_Book_Lecture_Notes_v3.06" xfId="1377" xr:uid="{00000000-0005-0000-0000-00006D8E0000}"/>
    <cellStyle name="q_Proj10_show-hold_Val_1_Book_Lecture_Notes_v3.06" xfId="1378" xr:uid="{00000000-0005-0000-0000-00006E8E0000}"/>
    <cellStyle name="q_Proj10_show-hold_Valuation Summary Graphics" xfId="1379" xr:uid="{00000000-0005-0000-0000-00006F8E0000}"/>
    <cellStyle name="q_Proj10_show-hold_Valuation Summary Graphics_1 FM_101_Examples_v7.31McIntire" xfId="1380" xr:uid="{00000000-0005-0000-0000-0000708E0000}"/>
    <cellStyle name="q_Proj10_show-hold_Valuation Summary Graphics_1 FM_101_Examples_v7.31McIntire_1 FM_101_Examples_TWO-Day_v7.31" xfId="1381" xr:uid="{00000000-0005-0000-0000-0000718E0000}"/>
    <cellStyle name="q_Proj10_show-hold_Valuation Summary Graphics_Val_1_Book_Lecture_Notes_v3.06" xfId="1382" xr:uid="{00000000-0005-0000-0000-0000728E0000}"/>
    <cellStyle name="q_Proj10_THEsumPage (2)" xfId="1383" xr:uid="{00000000-0005-0000-0000-0000738E0000}"/>
    <cellStyle name="q_Proj10_THEsumPage (2)_Val_1_Book_Lecture_Notes_v3.06" xfId="1384" xr:uid="{00000000-0005-0000-0000-0000748E0000}"/>
    <cellStyle name="q_Proj10_Val_1_Book_Lecture_Notes_v3.06" xfId="1385" xr:uid="{00000000-0005-0000-0000-0000758E0000}"/>
    <cellStyle name="q_Proj10_Valuation summaries" xfId="1386" xr:uid="{00000000-0005-0000-0000-0000768E0000}"/>
    <cellStyle name="q_Proj10_Valuation summaries_Val_1_Book_Lecture_Notes_v3.06" xfId="1387" xr:uid="{00000000-0005-0000-0000-0000778E0000}"/>
    <cellStyle name="q_Proj10_WACC-CableCar" xfId="1388" xr:uid="{00000000-0005-0000-0000-0000788E0000}"/>
    <cellStyle name="q_Proj10_WACC-CableCar_LANCE_Model_v0.6.DCF.MASTER.Name" xfId="1389" xr:uid="{00000000-0005-0000-0000-0000798E0000}"/>
    <cellStyle name="q_Proj10_WACC-CableCar_LANCE_Model_v0.6.DCF.MASTER.Name_Campbell_MBA_HALF_v2.2" xfId="1390" xr:uid="{00000000-0005-0000-0000-00007A8E0000}"/>
    <cellStyle name="q_Proj10_WACC-CableCar_LANCE_Model_v0.6.DCF.MASTER.Name_Key Info_WACC" xfId="1391" xr:uid="{00000000-0005-0000-0000-00007B8E0000}"/>
    <cellStyle name="q_Proj10_WACC-CableCar_LANCE_Model_v0.6.DCF.MASTER.Name_Tootsie_TWO_DAY_TTS_Solution_v1.34" xfId="1392" xr:uid="{00000000-0005-0000-0000-00007C8E0000}"/>
    <cellStyle name="q_Proj10_WACC-CableCar_LANCE_Model_v0.6.DCF.MASTER.Name_Val_1_Book_Lecture_Notes_v3.06" xfId="1393" xr:uid="{00000000-0005-0000-0000-00007D8E0000}"/>
    <cellStyle name="q_Proj10_WACC-CableCar_THEsumPage (2)" xfId="1394" xr:uid="{00000000-0005-0000-0000-00007E8E0000}"/>
    <cellStyle name="q_Proj10_WACC-CableCar_THEsumPage (2)_LANCE_Model_v0.6.DCF.MASTER.Name" xfId="1395" xr:uid="{00000000-0005-0000-0000-00007F8E0000}"/>
    <cellStyle name="q_Proj10_WACC-CableCar_THEsumPage (2)_LANCE_Model_v0.6.DCF.MASTER.Name_Campbell_MBA_HALF_v2.2" xfId="1396" xr:uid="{00000000-0005-0000-0000-0000808E0000}"/>
    <cellStyle name="q_Proj10_WACC-CableCar_THEsumPage (2)_LANCE_Model_v0.6.DCF.MASTER.Name_Key Info_WACC" xfId="1397" xr:uid="{00000000-0005-0000-0000-0000818E0000}"/>
    <cellStyle name="q_Proj10_WACC-CableCar_THEsumPage (2)_LANCE_Model_v0.6.DCF.MASTER.Name_Tootsie_TWO_DAY_TTS_Solution_v1.34" xfId="1398" xr:uid="{00000000-0005-0000-0000-0000828E0000}"/>
    <cellStyle name="q_Proj10_WACC-CableCar_THEsumPage (2)_LANCE_Model_v0.6.DCF.MASTER.Name_Val_1_Book_Lecture_Notes_v3.06" xfId="1399" xr:uid="{00000000-0005-0000-0000-0000838E0000}"/>
    <cellStyle name="q_Proj10_WACC-CableCar_THEsumPage (2)_Val_1_Book_Lecture_Notes_v3.06" xfId="1400" xr:uid="{00000000-0005-0000-0000-0000848E0000}"/>
    <cellStyle name="q_Proj10_WACC-CableCar_Val_1_Book_Lecture_Notes_v3.06" xfId="1401" xr:uid="{00000000-0005-0000-0000-0000858E0000}"/>
    <cellStyle name="q_Sensitivity" xfId="1402" xr:uid="{00000000-0005-0000-0000-0000868E0000}"/>
    <cellStyle name="q_Sensitivity_1 FM_101_Examples_v7.31McIntire" xfId="1403" xr:uid="{00000000-0005-0000-0000-0000878E0000}"/>
    <cellStyle name="q_Sensitivity_1 FM_101_Examples_v7.31McIntire_1 FM_101_Examples_TWO-Day_v7.31" xfId="1404" xr:uid="{00000000-0005-0000-0000-0000888E0000}"/>
    <cellStyle name="q_Sensitivity_CompSheet" xfId="1405" xr:uid="{00000000-0005-0000-0000-0000898E0000}"/>
    <cellStyle name="q_Sensitivity_CompSheet_1 FM_101_Examples_v7.31McIntire" xfId="1406" xr:uid="{00000000-0005-0000-0000-00008A8E0000}"/>
    <cellStyle name="q_Sensitivity_CompSheet_1 FM_101_Examples_v7.31McIntire_1 FM_101_Examples_TWO-Day_v7.31" xfId="1407" xr:uid="{00000000-0005-0000-0000-00008B8E0000}"/>
    <cellStyle name="q_Sensitivity_CompSheet_Val_1_Book_Lecture_Notes_v3.06" xfId="1408" xr:uid="{00000000-0005-0000-0000-00008C8E0000}"/>
    <cellStyle name="q_Sensitivity_Fairness Opinion Valuation 4-23a.xls Chart 1" xfId="1409" xr:uid="{00000000-0005-0000-0000-00008D8E0000}"/>
    <cellStyle name="q_Sensitivity_Fairness Opinion Valuation 4-23a.xls Chart 1_1 FM_101_Examples_v7.31McIntire" xfId="1410" xr:uid="{00000000-0005-0000-0000-00008E8E0000}"/>
    <cellStyle name="q_Sensitivity_Fairness Opinion Valuation 4-23a.xls Chart 1_1 FM_101_Examples_v7.31McIntire_1 FM_101_Examples_TWO-Day_v7.31" xfId="1411" xr:uid="{00000000-0005-0000-0000-00008F8E0000}"/>
    <cellStyle name="q_Sensitivity_Fairness Opinion Valuation 4-23a.xls Chart 1_Val_1_Book_Lecture_Notes_v3.06" xfId="1412" xr:uid="{00000000-0005-0000-0000-0000908E0000}"/>
    <cellStyle name="q_Sensitivity_PowerValuation.xls Chart 21" xfId="1413" xr:uid="{00000000-0005-0000-0000-0000918E0000}"/>
    <cellStyle name="q_Sensitivity_PowerValuation.xls Chart 21_1 FM_101_Examples_v7.31McIntire" xfId="1414" xr:uid="{00000000-0005-0000-0000-0000928E0000}"/>
    <cellStyle name="q_Sensitivity_PowerValuation.xls Chart 21_1 FM_101_Examples_v7.31McIntire_1 FM_101_Examples_TWO-Day_v7.31" xfId="1415" xr:uid="{00000000-0005-0000-0000-0000938E0000}"/>
    <cellStyle name="q_Sensitivity_PowerValuation.xls Chart 21_Val_1_Book_Lecture_Notes_v3.06" xfId="1416" xr:uid="{00000000-0005-0000-0000-0000948E0000}"/>
    <cellStyle name="q_Sensitivity_PowerValuation.xls Chart 28" xfId="1417" xr:uid="{00000000-0005-0000-0000-0000958E0000}"/>
    <cellStyle name="q_Sensitivity_PowerValuation.xls Chart 28_1 FM_101_Examples_v7.31McIntire" xfId="1418" xr:uid="{00000000-0005-0000-0000-0000968E0000}"/>
    <cellStyle name="q_Sensitivity_PowerValuation.xls Chart 28_1 FM_101_Examples_v7.31McIntire_1 FM_101_Examples_TWO-Day_v7.31" xfId="1419" xr:uid="{00000000-0005-0000-0000-0000978E0000}"/>
    <cellStyle name="q_Sensitivity_PowerValuation.xls Chart 28_Val_1_Book_Lecture_Notes_v3.06" xfId="1420" xr:uid="{00000000-0005-0000-0000-0000988E0000}"/>
    <cellStyle name="q_Sensitivity_THEsumPage (2)" xfId="1421" xr:uid="{00000000-0005-0000-0000-0000998E0000}"/>
    <cellStyle name="q_Sensitivity_THEsumPage (2)_1 FM_101_Examples_v7.31McIntire" xfId="1422" xr:uid="{00000000-0005-0000-0000-00009A8E0000}"/>
    <cellStyle name="q_Sensitivity_THEsumPage (2)_1 FM_101_Examples_v7.31McIntire_1 FM_101_Examples_TWO-Day_v7.31" xfId="1423" xr:uid="{00000000-0005-0000-0000-00009B8E0000}"/>
    <cellStyle name="q_Sensitivity_THEsumPage (2)_Val_1_Book_Lecture_Notes_v3.06" xfId="1424" xr:uid="{00000000-0005-0000-0000-00009C8E0000}"/>
    <cellStyle name="q_Sensitivity_Val_1_Book_Lecture_Notes_v3.06" xfId="1425" xr:uid="{00000000-0005-0000-0000-00009D8E0000}"/>
    <cellStyle name="q_Sensitivity_Valuation summaries" xfId="1426" xr:uid="{00000000-0005-0000-0000-00009E8E0000}"/>
    <cellStyle name="q_Sensitivity_Valuation summaries_1 FM_101_Examples_v7.31McIntire" xfId="1427" xr:uid="{00000000-0005-0000-0000-00009F8E0000}"/>
    <cellStyle name="q_Sensitivity_Valuation summaries_1 FM_101_Examples_v7.31McIntire_1 FM_101_Examples_TWO-Day_v7.31" xfId="1428" xr:uid="{00000000-0005-0000-0000-0000A08E0000}"/>
    <cellStyle name="q_Sensitivity_Valuation summaries_Val_1_Book_Lecture_Notes_v3.06" xfId="1429" xr:uid="{00000000-0005-0000-0000-0000A18E0000}"/>
    <cellStyle name="q_show-hold" xfId="1430" xr:uid="{00000000-0005-0000-0000-0000A28E0000}"/>
    <cellStyle name="q_show-hold_1 FM_101_Examples_v7.31McIntire" xfId="1431" xr:uid="{00000000-0005-0000-0000-0000A38E0000}"/>
    <cellStyle name="q_show-hold_1 FM_101_Examples_v7.31McIntire_1 FM_101_Examples_TWO-Day_v7.31" xfId="1432" xr:uid="{00000000-0005-0000-0000-0000A48E0000}"/>
    <cellStyle name="q_show-hold_CompSheet" xfId="1433" xr:uid="{00000000-0005-0000-0000-0000A58E0000}"/>
    <cellStyle name="q_show-hold_CompSheet_1 FM_101_Examples_v7.31McIntire" xfId="1434" xr:uid="{00000000-0005-0000-0000-0000A68E0000}"/>
    <cellStyle name="q_show-hold_CompSheet_1 FM_101_Examples_v7.31McIntire_1 FM_101_Examples_TWO-Day_v7.31" xfId="1435" xr:uid="{00000000-0005-0000-0000-0000A78E0000}"/>
    <cellStyle name="q_show-hold_CompSheet_Val_1_Book_Lecture_Notes_v3.06" xfId="1436" xr:uid="{00000000-0005-0000-0000-0000A88E0000}"/>
    <cellStyle name="q_show-hold_Fairness Opinion Valuation 4-23a.xls Chart 1" xfId="1437" xr:uid="{00000000-0005-0000-0000-0000A98E0000}"/>
    <cellStyle name="q_show-hold_Fairness Opinion Valuation 4-23a.xls Chart 1_1 FM_101_Examples_v7.31McIntire" xfId="1438" xr:uid="{00000000-0005-0000-0000-0000AA8E0000}"/>
    <cellStyle name="q_show-hold_Fairness Opinion Valuation 4-23a.xls Chart 1_1 FM_101_Examples_v7.31McIntire_1 FM_101_Examples_TWO-Day_v7.31" xfId="1439" xr:uid="{00000000-0005-0000-0000-0000AB8E0000}"/>
    <cellStyle name="q_show-hold_Fairness Opinion Valuation 4-23a.xls Chart 1_Val_1_Book_Lecture_Notes_v3.06" xfId="1440" xr:uid="{00000000-0005-0000-0000-0000AC8E0000}"/>
    <cellStyle name="q_show-hold_PowerValuation.xls Chart 21" xfId="1441" xr:uid="{00000000-0005-0000-0000-0000AD8E0000}"/>
    <cellStyle name="q_show-hold_PowerValuation.xls Chart 21_1 FM_101_Examples_v7.31McIntire" xfId="1442" xr:uid="{00000000-0005-0000-0000-0000AE8E0000}"/>
    <cellStyle name="q_show-hold_PowerValuation.xls Chart 21_1 FM_101_Examples_v7.31McIntire_1 FM_101_Examples_TWO-Day_v7.31" xfId="1443" xr:uid="{00000000-0005-0000-0000-0000AF8E0000}"/>
    <cellStyle name="q_show-hold_PowerValuation.xls Chart 21_Val_1_Book_Lecture_Notes_v3.06" xfId="1444" xr:uid="{00000000-0005-0000-0000-0000B08E0000}"/>
    <cellStyle name="q_show-hold_PowerValuation.xls Chart 28" xfId="1445" xr:uid="{00000000-0005-0000-0000-0000B18E0000}"/>
    <cellStyle name="q_show-hold_PowerValuation.xls Chart 28_1 FM_101_Examples_v7.31McIntire" xfId="1446" xr:uid="{00000000-0005-0000-0000-0000B28E0000}"/>
    <cellStyle name="q_show-hold_PowerValuation.xls Chart 28_1 FM_101_Examples_v7.31McIntire_1 FM_101_Examples_TWO-Day_v7.31" xfId="1447" xr:uid="{00000000-0005-0000-0000-0000B38E0000}"/>
    <cellStyle name="q_show-hold_PowerValuation.xls Chart 28_Val_1_Book_Lecture_Notes_v3.06" xfId="1448" xr:uid="{00000000-0005-0000-0000-0000B48E0000}"/>
    <cellStyle name="q_show-hold_THEsumPage (2)" xfId="1449" xr:uid="{00000000-0005-0000-0000-0000B58E0000}"/>
    <cellStyle name="q_show-hold_THEsumPage (2)_1 FM_101_Examples_v7.31McIntire" xfId="1450" xr:uid="{00000000-0005-0000-0000-0000B68E0000}"/>
    <cellStyle name="q_show-hold_THEsumPage (2)_1 FM_101_Examples_v7.31McIntire_1 FM_101_Examples_TWO-Day_v7.31" xfId="1451" xr:uid="{00000000-0005-0000-0000-0000B78E0000}"/>
    <cellStyle name="q_show-hold_THEsumPage (2)_Val_1_Book_Lecture_Notes_v3.06" xfId="1452" xr:uid="{00000000-0005-0000-0000-0000B88E0000}"/>
    <cellStyle name="q_show-hold_Val_1_Book_Lecture_Notes_v3.06" xfId="1453" xr:uid="{00000000-0005-0000-0000-0000B98E0000}"/>
    <cellStyle name="q_show-hold_Valuation summaries" xfId="1454" xr:uid="{00000000-0005-0000-0000-0000BA8E0000}"/>
    <cellStyle name="q_show-hold_Valuation summaries_1 FM_101_Examples_v7.31McIntire" xfId="1455" xr:uid="{00000000-0005-0000-0000-0000BB8E0000}"/>
    <cellStyle name="q_show-hold_Valuation summaries_1 FM_101_Examples_v7.31McIntire_1 FM_101_Examples_TWO-Day_v7.31" xfId="1456" xr:uid="{00000000-0005-0000-0000-0000BC8E0000}"/>
    <cellStyle name="q_show-hold_Valuation summaries_Val_1_Book_Lecture_Notes_v3.06" xfId="1457" xr:uid="{00000000-0005-0000-0000-0000BD8E0000}"/>
    <cellStyle name="q_THEsumPage (2)" xfId="1458" xr:uid="{00000000-0005-0000-0000-0000BE8E0000}"/>
    <cellStyle name="q_THEsumPage (2)_Val_1_Book_Lecture_Notes_v3.06" xfId="1459" xr:uid="{00000000-0005-0000-0000-0000BF8E0000}"/>
    <cellStyle name="q_Val_1_Book_Lecture_Notes_v3.06" xfId="1460" xr:uid="{00000000-0005-0000-0000-0000C08E0000}"/>
    <cellStyle name="q_Valuation summaries" xfId="1461" xr:uid="{00000000-0005-0000-0000-0000C18E0000}"/>
    <cellStyle name="q_Valuation summaries_Val_1_Book_Lecture_Notes_v3.06" xfId="1462" xr:uid="{00000000-0005-0000-0000-0000C28E0000}"/>
    <cellStyle name="q_WACC-CableCar" xfId="1463" xr:uid="{00000000-0005-0000-0000-0000C38E0000}"/>
    <cellStyle name="q_WACC-CableCar_LANCE_Model_v0.6.DCF.MASTER.Name" xfId="1464" xr:uid="{00000000-0005-0000-0000-0000C48E0000}"/>
    <cellStyle name="q_WACC-CableCar_LANCE_Model_v0.6.DCF.MASTER.Name_Campbell_MBA_HALF_v2.2" xfId="1465" xr:uid="{00000000-0005-0000-0000-0000C58E0000}"/>
    <cellStyle name="q_WACC-CableCar_LANCE_Model_v0.6.DCF.MASTER.Name_Key Info_WACC" xfId="1466" xr:uid="{00000000-0005-0000-0000-0000C68E0000}"/>
    <cellStyle name="q_WACC-CableCar_LANCE_Model_v0.6.DCF.MASTER.Name_Tootsie_TWO_DAY_TTS_Solution_v1.34" xfId="1467" xr:uid="{00000000-0005-0000-0000-0000C78E0000}"/>
    <cellStyle name="q_WACC-CableCar_LANCE_Model_v0.6.DCF.MASTER.Name_Val_1_Book_Lecture_Notes_v3.06" xfId="1468" xr:uid="{00000000-0005-0000-0000-0000C88E0000}"/>
    <cellStyle name="q_WACC-CableCar_THEsumPage (2)" xfId="1469" xr:uid="{00000000-0005-0000-0000-0000C98E0000}"/>
    <cellStyle name="q_WACC-CableCar_THEsumPage (2)_LANCE_Model_v0.6.DCF.MASTER.Name" xfId="1470" xr:uid="{00000000-0005-0000-0000-0000CA8E0000}"/>
    <cellStyle name="q_WACC-CableCar_THEsumPage (2)_LANCE_Model_v0.6.DCF.MASTER.Name_Campbell_MBA_HALF_v2.2" xfId="1471" xr:uid="{00000000-0005-0000-0000-0000CB8E0000}"/>
    <cellStyle name="q_WACC-CableCar_THEsumPage (2)_LANCE_Model_v0.6.DCF.MASTER.Name_Key Info_WACC" xfId="1472" xr:uid="{00000000-0005-0000-0000-0000CC8E0000}"/>
    <cellStyle name="q_WACC-CableCar_THEsumPage (2)_LANCE_Model_v0.6.DCF.MASTER.Name_Tootsie_TWO_DAY_TTS_Solution_v1.34" xfId="1473" xr:uid="{00000000-0005-0000-0000-0000CD8E0000}"/>
    <cellStyle name="q_WACC-CableCar_THEsumPage (2)_LANCE_Model_v0.6.DCF.MASTER.Name_Val_1_Book_Lecture_Notes_v3.06" xfId="1474" xr:uid="{00000000-0005-0000-0000-0000CE8E0000}"/>
    <cellStyle name="q_WACC-CableCar_THEsumPage (2)_Val_1_Book_Lecture_Notes_v3.06" xfId="1475" xr:uid="{00000000-0005-0000-0000-0000CF8E0000}"/>
    <cellStyle name="q_WACC-CableCar_Val_1_Book_Lecture_Notes_v3.06" xfId="1476" xr:uid="{00000000-0005-0000-0000-0000D08E0000}"/>
    <cellStyle name="QEPS-h" xfId="1477" xr:uid="{00000000-0005-0000-0000-0000D18E0000}"/>
    <cellStyle name="QEPS-H1" xfId="1478" xr:uid="{00000000-0005-0000-0000-0000D28E0000}"/>
    <cellStyle name="QEPS-H1 2" xfId="11134" xr:uid="{00000000-0005-0000-0000-0000D38E0000}"/>
    <cellStyle name="qRange" xfId="1479" xr:uid="{00000000-0005-0000-0000-0000D48E0000}"/>
    <cellStyle name="r" xfId="1480" xr:uid="{00000000-0005-0000-0000-0000D58E0000}"/>
    <cellStyle name="range" xfId="1481" xr:uid="{00000000-0005-0000-0000-0000D68E0000}"/>
    <cellStyle name="rate" xfId="1482" xr:uid="{00000000-0005-0000-0000-0000D78E0000}"/>
    <cellStyle name="Ratio" xfId="1483" xr:uid="{00000000-0005-0000-0000-0000D88E0000}"/>
    <cellStyle name="Ratio 2" xfId="1948" xr:uid="{00000000-0005-0000-0000-0000D98E0000}"/>
    <cellStyle name="Ratio Comma" xfId="1484" xr:uid="{00000000-0005-0000-0000-0000DA8E0000}"/>
    <cellStyle name="Ratio_1 FM_101_Examples_v7.3 McIntire" xfId="1485" xr:uid="{00000000-0005-0000-0000-0000DB8E0000}"/>
    <cellStyle name="RatioX" xfId="1949" xr:uid="{00000000-0005-0000-0000-0000DC8E0000}"/>
    <cellStyle name="Red" xfId="325" xr:uid="{00000000-0005-0000-0000-0000DD8E0000}"/>
    <cellStyle name="Red Text" xfId="1950" xr:uid="{00000000-0005-0000-0000-0000DE8E0000}"/>
    <cellStyle name="rh" xfId="10397" xr:uid="{00000000-0005-0000-0000-0000DF8E0000}"/>
    <cellStyle name="s_HardInc " xfId="1486" xr:uid="{00000000-0005-0000-0000-0000E08E0000}"/>
    <cellStyle name="s_HardInc _1 Cadbury_&amp;_Kraft_Model_v11.0" xfId="1487" xr:uid="{00000000-0005-0000-0000-0000E18E0000}"/>
    <cellStyle name="s_HardInc _2 HNZ_CPB_v11.0" xfId="1488" xr:uid="{00000000-0005-0000-0000-0000E28E0000}"/>
    <cellStyle name="s_HardInc _2 HNZ_CPB_v11.0.2" xfId="1489" xr:uid="{00000000-0005-0000-0000-0000E38E0000}"/>
    <cellStyle name="s_HardInc _Book2" xfId="1490" xr:uid="{00000000-0005-0000-0000-0000E48E0000}"/>
    <cellStyle name="s_HardInc _CBRY_Case_v2.0 DRAFT4.0_AL" xfId="1491" xr:uid="{00000000-0005-0000-0000-0000E58E0000}"/>
    <cellStyle name="s_HardInc _CBRY_Case_v2.0 DRAFT4.0_AL_MBA_Val_101_CAD_2009_BACKUP_v1.0_Draft_10" xfId="1492" xr:uid="{00000000-0005-0000-0000-0000E68E0000}"/>
    <cellStyle name="s_HardInc _CBRY_Case_v2.0 DRAFT4.0_AL_MBA_Val_101_CAD_2009_BACKUP_v1.0_Draft_15" xfId="1493" xr:uid="{00000000-0005-0000-0000-0000E78E0000}"/>
    <cellStyle name="s_HardInc _COH_Merger_Model_Analysts_SOLUTION_v1.88" xfId="1494" xr:uid="{00000000-0005-0000-0000-0000E88E0000}"/>
    <cellStyle name="s_HardInc _Copy of COH_2008_FM_SOLUTION_DCF_v1.05" xfId="1495" xr:uid="{00000000-0005-0000-0000-0000E98E0000}"/>
    <cellStyle name="s_HardInc _MBA_Val_CAD_DCFv2.0" xfId="1496" xr:uid="{00000000-0005-0000-0000-0000EA8E0000}"/>
    <cellStyle name="s_HardInc _MBA_Val_CAD_DCFv2.0_MBA_Val_101_CAD_2009_BACKUP_v1.0_Draft_10" xfId="1497" xr:uid="{00000000-0005-0000-0000-0000EB8E0000}"/>
    <cellStyle name="s_HardInc _MBA_Val_CAD_DCFv2.0_MBA_Val_101_CAD_2009_BACKUP_v1.0_Draft_15" xfId="1498" xr:uid="{00000000-0005-0000-0000-0000EC8E0000}"/>
    <cellStyle name="s_HardInc _MBA_Val_CAD_DCFv2.0_MBA_Val_101_CAD_2009_BACKUP_v1.0_Draft_9" xfId="1499" xr:uid="{00000000-0005-0000-0000-0000ED8E0000}"/>
    <cellStyle name="s_Valuation " xfId="1500" xr:uid="{00000000-0005-0000-0000-0000EE8E0000}"/>
    <cellStyle name="s_Valuation  2" xfId="11135" xr:uid="{00000000-0005-0000-0000-0000EF8E0000}"/>
    <cellStyle name="s_Valuation _Book2" xfId="1501" xr:uid="{00000000-0005-0000-0000-0000F08E0000}"/>
    <cellStyle name="s_Valuation _Book2 2" xfId="11136" xr:uid="{00000000-0005-0000-0000-0000F18E0000}"/>
    <cellStyle name="s_Valuation _MBA_Val_CAD_DCFv2.0" xfId="1502" xr:uid="{00000000-0005-0000-0000-0000F28E0000}"/>
    <cellStyle name="s_Valuation _MBA_Val_CAD_DCFv2.0 2" xfId="11137" xr:uid="{00000000-0005-0000-0000-0000F38E0000}"/>
    <cellStyle name="s_Valuation _TTS" xfId="1503" xr:uid="{00000000-0005-0000-0000-0000F48E0000}"/>
    <cellStyle name="s_Valuation _TTS 2" xfId="11138" xr:uid="{00000000-0005-0000-0000-0000F58E0000}"/>
    <cellStyle name="s_Valuation _TTS_Worksheet_2010-5-5" xfId="1504" xr:uid="{00000000-0005-0000-0000-0000F68E0000}"/>
    <cellStyle name="s_Valuation _TTS_Worksheet_2010-5-5 2" xfId="11139" xr:uid="{00000000-0005-0000-0000-0000F78E0000}"/>
    <cellStyle name="s_Valuation _TTS_Worksheet_2010-5-6" xfId="1505" xr:uid="{00000000-0005-0000-0000-0000F88E0000}"/>
    <cellStyle name="s_Valuation _TTS_Worksheet_2010-5-6 2" xfId="11140" xr:uid="{00000000-0005-0000-0000-0000F98E0000}"/>
    <cellStyle name="s_Valuation _TTS_Worksheet_v3.00" xfId="1506" xr:uid="{00000000-0005-0000-0000-0000FA8E0000}"/>
    <cellStyle name="s_Valuation _TTS_Worksheet_v3.00 2" xfId="11141" xr:uid="{00000000-0005-0000-0000-0000FB8E0000}"/>
    <cellStyle name="s_Valuation _TTS-LBO_TEMPLATE_v1.0d" xfId="1507" xr:uid="{00000000-0005-0000-0000-0000FC8E0000}"/>
    <cellStyle name="s_Valuation _TTS-LBO_TEMPLATE_v1.0d 2" xfId="11142" xr:uid="{00000000-0005-0000-0000-0000FD8E0000}"/>
    <cellStyle name="Saída" xfId="1951" xr:uid="{00000000-0005-0000-0000-0000FE8E0000}"/>
    <cellStyle name="Saída 2" xfId="11092" xr:uid="{00000000-0005-0000-0000-0000FF8E0000}"/>
    <cellStyle name="Salida" xfId="1952" xr:uid="{00000000-0005-0000-0000-0000008F0000}"/>
    <cellStyle name="Salida 2" xfId="11093" xr:uid="{00000000-0005-0000-0000-0000018F0000}"/>
    <cellStyle name="ScripFactor" xfId="1953" xr:uid="{00000000-0005-0000-0000-0000028F0000}"/>
    <cellStyle name="Section" xfId="1508" xr:uid="{00000000-0005-0000-0000-0000038F0000}"/>
    <cellStyle name="SectionHeaderNormal" xfId="399" xr:uid="{00000000-0005-0000-0000-0000048F0000}"/>
    <cellStyle name="SectionHeaderNormal 2" xfId="1509" xr:uid="{00000000-0005-0000-0000-0000058F0000}"/>
    <cellStyle name="SectionHeading" xfId="1954" xr:uid="{00000000-0005-0000-0000-0000068F0000}"/>
    <cellStyle name="Sep. milhar [0]" xfId="1955" xr:uid="{00000000-0005-0000-0000-0000078F0000}"/>
    <cellStyle name="Separador de milhares [0]_ANALISE_backup 14_08_1345" xfId="1956" xr:uid="{00000000-0005-0000-0000-0000088F0000}"/>
    <cellStyle name="Separador de milhares_ANALISE_backup 14_08_1345" xfId="1957" xr:uid="{00000000-0005-0000-0000-0000098F0000}"/>
    <cellStyle name="Shading" xfId="1958" xr:uid="{00000000-0005-0000-0000-00000A8F0000}"/>
    <cellStyle name="srh" xfId="10398" xr:uid="{00000000-0005-0000-0000-00000B8F0000}"/>
    <cellStyle name="ssp " xfId="1510" xr:uid="{00000000-0005-0000-0000-00000C8F0000}"/>
    <cellStyle name="ssp  2" xfId="11143" xr:uid="{00000000-0005-0000-0000-00000D8F0000}"/>
    <cellStyle name="Standard" xfId="1959" xr:uid="{00000000-0005-0000-0000-00000E8F0000}"/>
    <cellStyle name="Stock Comma" xfId="1511" xr:uid="{00000000-0005-0000-0000-00000F8F0000}"/>
    <cellStyle name="Stock Price" xfId="1512" xr:uid="{00000000-0005-0000-0000-0000108F0000}"/>
    <cellStyle name="Style 1" xfId="400" xr:uid="{00000000-0005-0000-0000-0000118F0000}"/>
    <cellStyle name="Style 1 2" xfId="1513" xr:uid="{00000000-0005-0000-0000-0000128F0000}"/>
    <cellStyle name="Style 21" xfId="1514" xr:uid="{00000000-0005-0000-0000-0000138F0000}"/>
    <cellStyle name="Style 22" xfId="1515" xr:uid="{00000000-0005-0000-0000-0000148F0000}"/>
    <cellStyle name="Style 23" xfId="1516" xr:uid="{00000000-0005-0000-0000-0000158F0000}"/>
    <cellStyle name="Style 24" xfId="1517" xr:uid="{00000000-0005-0000-0000-0000168F0000}"/>
    <cellStyle name="Style 25" xfId="1518" xr:uid="{00000000-0005-0000-0000-0000178F0000}"/>
    <cellStyle name="Style 26" xfId="1519" xr:uid="{00000000-0005-0000-0000-0000188F0000}"/>
    <cellStyle name="Style 27" xfId="1520" xr:uid="{00000000-0005-0000-0000-0000198F0000}"/>
    <cellStyle name="Style 28" xfId="1521" xr:uid="{00000000-0005-0000-0000-00001A8F0000}"/>
    <cellStyle name="Style 29" xfId="1522" xr:uid="{00000000-0005-0000-0000-00001B8F0000}"/>
    <cellStyle name="Style 30" xfId="1523" xr:uid="{00000000-0005-0000-0000-00001C8F0000}"/>
    <cellStyle name="Style 31" xfId="1524" xr:uid="{00000000-0005-0000-0000-00001D8F0000}"/>
    <cellStyle name="Style 32" xfId="1525" xr:uid="{00000000-0005-0000-0000-00001E8F0000}"/>
    <cellStyle name="Style 33" xfId="1526" xr:uid="{00000000-0005-0000-0000-00001F8F0000}"/>
    <cellStyle name="Style 34" xfId="1527" xr:uid="{00000000-0005-0000-0000-0000208F0000}"/>
    <cellStyle name="Style 35" xfId="1528" xr:uid="{00000000-0005-0000-0000-0000218F0000}"/>
    <cellStyle name="Style 36" xfId="1529" xr:uid="{00000000-0005-0000-0000-0000228F0000}"/>
    <cellStyle name="Style 37" xfId="1530" xr:uid="{00000000-0005-0000-0000-0000238F0000}"/>
    <cellStyle name="Style 38" xfId="1531" xr:uid="{00000000-0005-0000-0000-0000248F0000}"/>
    <cellStyle name="Style 39" xfId="1532" xr:uid="{00000000-0005-0000-0000-0000258F0000}"/>
    <cellStyle name="Style 40" xfId="1533" xr:uid="{00000000-0005-0000-0000-0000268F0000}"/>
    <cellStyle name="Style 41" xfId="1534" xr:uid="{00000000-0005-0000-0000-0000278F0000}"/>
    <cellStyle name="Style 42" xfId="1535" xr:uid="{00000000-0005-0000-0000-0000288F0000}"/>
    <cellStyle name="Style 43" xfId="1536" xr:uid="{00000000-0005-0000-0000-0000298F0000}"/>
    <cellStyle name="Style 44" xfId="1537" xr:uid="{00000000-0005-0000-0000-00002A8F0000}"/>
    <cellStyle name="Style 45" xfId="1538" xr:uid="{00000000-0005-0000-0000-00002B8F0000}"/>
    <cellStyle name="Style 46" xfId="1539" xr:uid="{00000000-0005-0000-0000-00002C8F0000}"/>
    <cellStyle name="Style 47" xfId="1540" xr:uid="{00000000-0005-0000-0000-00002D8F0000}"/>
    <cellStyle name="Style 48" xfId="1541" xr:uid="{00000000-0005-0000-0000-00002E8F0000}"/>
    <cellStyle name="Style 67" xfId="1542" xr:uid="{00000000-0005-0000-0000-00002F8F0000}"/>
    <cellStyle name="Style 74" xfId="1543" xr:uid="{00000000-0005-0000-0000-0000308F0000}"/>
    <cellStyle name="Style 79" xfId="1544" xr:uid="{00000000-0005-0000-0000-0000318F0000}"/>
    <cellStyle name="Style 83" xfId="1545" xr:uid="{00000000-0005-0000-0000-0000328F0000}"/>
    <cellStyle name="STYLE2" xfId="11304" xr:uid="{00000000-0005-0000-0000-0000338F0000}"/>
    <cellStyle name="SubScript" xfId="401" xr:uid="{00000000-0005-0000-0000-0000348F0000}"/>
    <cellStyle name="SubScript 2" xfId="1546" xr:uid="{00000000-0005-0000-0000-0000358F0000}"/>
    <cellStyle name="Sum" xfId="1547" xr:uid="{00000000-0005-0000-0000-0000368F0000}"/>
    <cellStyle name="SuperScript" xfId="402" xr:uid="{00000000-0005-0000-0000-0000378F0000}"/>
    <cellStyle name="SuperScript 2" xfId="1548" xr:uid="{00000000-0005-0000-0000-0000388F0000}"/>
    <cellStyle name="Table_Header" xfId="1549" xr:uid="{00000000-0005-0000-0000-0000398F0000}"/>
    <cellStyle name="TableName" xfId="1960" xr:uid="{00000000-0005-0000-0000-00003A8F0000}"/>
    <cellStyle name="tcn" xfId="1550" xr:uid="{00000000-0005-0000-0000-00003B8F0000}"/>
    <cellStyle name="Test" xfId="1551" xr:uid="{00000000-0005-0000-0000-00003C8F0000}"/>
    <cellStyle name="Text Wrap" xfId="1961" xr:uid="{00000000-0005-0000-0000-00003D8F0000}"/>
    <cellStyle name="Text Wrap 2" xfId="1985" xr:uid="{00000000-0005-0000-0000-00003E8F0000}"/>
    <cellStyle name="Text Wrap 2 2" xfId="11360" xr:uid="{00000000-0005-0000-0000-00003F8F0000}"/>
    <cellStyle name="Text Wrap 3" xfId="2068" xr:uid="{00000000-0005-0000-0000-0000408F0000}"/>
    <cellStyle name="Text Wrap 3 2" xfId="11629" xr:uid="{00000000-0005-0000-0000-0000418F0000}"/>
    <cellStyle name="TextBold" xfId="403" xr:uid="{00000000-0005-0000-0000-0000428F0000}"/>
    <cellStyle name="TextBold 2" xfId="1552" xr:uid="{00000000-0005-0000-0000-0000438F0000}"/>
    <cellStyle name="TextItalic" xfId="404" xr:uid="{00000000-0005-0000-0000-0000448F0000}"/>
    <cellStyle name="TextItalic 2" xfId="405" xr:uid="{00000000-0005-0000-0000-0000458F0000}"/>
    <cellStyle name="TextItalic 3" xfId="1553" xr:uid="{00000000-0005-0000-0000-0000468F0000}"/>
    <cellStyle name="TextNormal" xfId="406" xr:uid="{00000000-0005-0000-0000-0000478F0000}"/>
    <cellStyle name="TextNormal 2" xfId="1554" xr:uid="{00000000-0005-0000-0000-0000488F0000}"/>
    <cellStyle name="Texto de advertencia" xfId="1962" xr:uid="{00000000-0005-0000-0000-0000498F0000}"/>
    <cellStyle name="Texto de Aviso" xfId="1963" xr:uid="{00000000-0005-0000-0000-00004A8F0000}"/>
    <cellStyle name="Texto explicativo" xfId="1964" xr:uid="{00000000-0005-0000-0000-00004B8F0000}"/>
    <cellStyle name="Time" xfId="1555" xr:uid="{00000000-0005-0000-0000-00004C8F0000}"/>
    <cellStyle name="Tina" xfId="1556" xr:uid="{00000000-0005-0000-0000-00004D8F0000}"/>
    <cellStyle name="Title 2" xfId="68" xr:uid="{00000000-0005-0000-0000-00004E8F0000}"/>
    <cellStyle name="Title 2 2" xfId="326" xr:uid="{00000000-0005-0000-0000-00004F8F0000}"/>
    <cellStyle name="Title 2 3" xfId="2251" xr:uid="{00000000-0005-0000-0000-0000508F0000}"/>
    <cellStyle name="Title1" xfId="1558" xr:uid="{00000000-0005-0000-0000-0000518F0000}"/>
    <cellStyle name="Title2" xfId="1559" xr:uid="{00000000-0005-0000-0000-0000528F0000}"/>
    <cellStyle name="TitleNormal" xfId="407" xr:uid="{00000000-0005-0000-0000-0000538F0000}"/>
    <cellStyle name="TitleNormal 2" xfId="1560" xr:uid="{00000000-0005-0000-0000-0000548F0000}"/>
    <cellStyle name="Titles" xfId="1965" xr:uid="{00000000-0005-0000-0000-0000558F0000}"/>
    <cellStyle name="Título" xfId="1966" xr:uid="{00000000-0005-0000-0000-0000568F0000}"/>
    <cellStyle name="Título 1" xfId="1967" xr:uid="{00000000-0005-0000-0000-0000578F0000}"/>
    <cellStyle name="Título 2" xfId="1968" xr:uid="{00000000-0005-0000-0000-0000588F0000}"/>
    <cellStyle name="Título 3" xfId="1969" xr:uid="{00000000-0005-0000-0000-0000598F0000}"/>
    <cellStyle name="Título 4" xfId="1970" xr:uid="{00000000-0005-0000-0000-00005A8F0000}"/>
    <cellStyle name="tn" xfId="1561" xr:uid="{00000000-0005-0000-0000-00005B8F0000}"/>
    <cellStyle name="Top Edge" xfId="1562" xr:uid="{00000000-0005-0000-0000-00005C8F0000}"/>
    <cellStyle name="Total" xfId="1754" builtinId="25" customBuiltin="1"/>
    <cellStyle name="Total 10" xfId="11436" xr:uid="{00000000-0005-0000-0000-00005E8F0000}"/>
    <cellStyle name="Total 11" xfId="11467" xr:uid="{00000000-0005-0000-0000-00005F8F0000}"/>
    <cellStyle name="Total 12" xfId="11499" xr:uid="{00000000-0005-0000-0000-0000608F0000}"/>
    <cellStyle name="Total 13" xfId="11619" xr:uid="{00000000-0005-0000-0000-0000618F0000}"/>
    <cellStyle name="Total 14" xfId="11515" xr:uid="{00000000-0005-0000-0000-0000628F0000}"/>
    <cellStyle name="Total 15" xfId="11660" xr:uid="{00000000-0005-0000-0000-0000638F0000}"/>
    <cellStyle name="Total 16" xfId="11522" xr:uid="{00000000-0005-0000-0000-0000648F0000}"/>
    <cellStyle name="Total 17" xfId="11654" xr:uid="{00000000-0005-0000-0000-0000658F0000}"/>
    <cellStyle name="Total 18" xfId="11530" xr:uid="{00000000-0005-0000-0000-0000668F0000}"/>
    <cellStyle name="Total 19" xfId="11648" xr:uid="{00000000-0005-0000-0000-0000678F0000}"/>
    <cellStyle name="Total 2" xfId="69" xr:uid="{00000000-0005-0000-0000-0000688F0000}"/>
    <cellStyle name="Total 2 10" xfId="36403" xr:uid="{00000000-0005-0000-0000-0000698F0000}"/>
    <cellStyle name="Total 2 11" xfId="36466" xr:uid="{00000000-0005-0000-0000-00006A8F0000}"/>
    <cellStyle name="Total 2 12" xfId="36525" xr:uid="{00000000-0005-0000-0000-00006B8F0000}"/>
    <cellStyle name="Total 2 13" xfId="36430" xr:uid="{00000000-0005-0000-0000-00006C8F0000}"/>
    <cellStyle name="Total 2 14" xfId="36460" xr:uid="{00000000-0005-0000-0000-00006D8F0000}"/>
    <cellStyle name="Total 2 15" xfId="36529" xr:uid="{00000000-0005-0000-0000-00006E8F0000}"/>
    <cellStyle name="Total 2 16" xfId="36421" xr:uid="{00000000-0005-0000-0000-00006F8F0000}"/>
    <cellStyle name="Total 2 17" xfId="36454" xr:uid="{00000000-0005-0000-0000-0000708F0000}"/>
    <cellStyle name="Total 2 18" xfId="36461" xr:uid="{00000000-0005-0000-0000-0000718F0000}"/>
    <cellStyle name="Total 2 19" xfId="36569" xr:uid="{00000000-0005-0000-0000-0000728F0000}"/>
    <cellStyle name="Total 2 2" xfId="327" xr:uid="{00000000-0005-0000-0000-0000738F0000}"/>
    <cellStyle name="Total 2 2 10" xfId="36489" xr:uid="{00000000-0005-0000-0000-0000748F0000}"/>
    <cellStyle name="Total 2 2 11" xfId="36475" xr:uid="{00000000-0005-0000-0000-0000758F0000}"/>
    <cellStyle name="Total 2 2 12" xfId="36559" xr:uid="{00000000-0005-0000-0000-0000768F0000}"/>
    <cellStyle name="Total 2 2 13" xfId="36574" xr:uid="{00000000-0005-0000-0000-0000778F0000}"/>
    <cellStyle name="Total 2 2 14" xfId="36464" xr:uid="{00000000-0005-0000-0000-0000788F0000}"/>
    <cellStyle name="Total 2 2 15" xfId="36551" xr:uid="{00000000-0005-0000-0000-0000798F0000}"/>
    <cellStyle name="Total 2 2 16" xfId="36443" xr:uid="{00000000-0005-0000-0000-00007A8F0000}"/>
    <cellStyle name="Total 2 2 17" xfId="36444" xr:uid="{00000000-0005-0000-0000-00007B8F0000}"/>
    <cellStyle name="Total 2 2 18" xfId="36410" xr:uid="{00000000-0005-0000-0000-00007C8F0000}"/>
    <cellStyle name="Total 2 2 19" xfId="36402" xr:uid="{00000000-0005-0000-0000-00007D8F0000}"/>
    <cellStyle name="Total 2 2 2" xfId="1595" xr:uid="{00000000-0005-0000-0000-00007E8F0000}"/>
    <cellStyle name="Total 2 2 2 2" xfId="1638" xr:uid="{00000000-0005-0000-0000-00007F8F0000}"/>
    <cellStyle name="Total 2 2 2 2 2" xfId="11195" xr:uid="{00000000-0005-0000-0000-0000808F0000}"/>
    <cellStyle name="Total 2 2 2 2 3" xfId="36786" xr:uid="{00000000-0005-0000-0000-0000818F0000}"/>
    <cellStyle name="Total 2 2 2 2 4" xfId="36690" xr:uid="{00000000-0005-0000-0000-0000828F0000}"/>
    <cellStyle name="Total 2 2 2 2 5" xfId="36592" xr:uid="{00000000-0005-0000-0000-0000838F0000}"/>
    <cellStyle name="Total 2 2 2 3" xfId="1657" xr:uid="{00000000-0005-0000-0000-0000848F0000}"/>
    <cellStyle name="Total 2 2 2 3 2" xfId="11214" xr:uid="{00000000-0005-0000-0000-0000858F0000}"/>
    <cellStyle name="Total 2 2 2 3 3" xfId="36805" xr:uid="{00000000-0005-0000-0000-0000868F0000}"/>
    <cellStyle name="Total 2 2 2 3 4" xfId="36731" xr:uid="{00000000-0005-0000-0000-0000878F0000}"/>
    <cellStyle name="Total 2 2 2 3 5" xfId="36939" xr:uid="{00000000-0005-0000-0000-0000888F0000}"/>
    <cellStyle name="Total 2 2 2 4" xfId="11156" xr:uid="{00000000-0005-0000-0000-0000898F0000}"/>
    <cellStyle name="Total 2 2 2 5" xfId="36747" xr:uid="{00000000-0005-0000-0000-00008A8F0000}"/>
    <cellStyle name="Total 2 2 2 6" xfId="36702" xr:uid="{00000000-0005-0000-0000-00008B8F0000}"/>
    <cellStyle name="Total 2 2 2 7" xfId="36816" xr:uid="{00000000-0005-0000-0000-00008C8F0000}"/>
    <cellStyle name="Total 2 2 20" xfId="36442" xr:uid="{00000000-0005-0000-0000-00008D8F0000}"/>
    <cellStyle name="Total 2 2 21" xfId="36585" xr:uid="{00000000-0005-0000-0000-00008E8F0000}"/>
    <cellStyle name="Total 2 2 22" xfId="36629" xr:uid="{00000000-0005-0000-0000-00008F8F0000}"/>
    <cellStyle name="Total 2 2 3" xfId="11112" xr:uid="{00000000-0005-0000-0000-0000908F0000}"/>
    <cellStyle name="Total 2 2 4" xfId="36396" xr:uid="{00000000-0005-0000-0000-0000918F0000}"/>
    <cellStyle name="Total 2 2 5" xfId="36507" xr:uid="{00000000-0005-0000-0000-0000928F0000}"/>
    <cellStyle name="Total 2 2 6" xfId="36512" xr:uid="{00000000-0005-0000-0000-0000938F0000}"/>
    <cellStyle name="Total 2 2 7" xfId="36536" xr:uid="{00000000-0005-0000-0000-0000948F0000}"/>
    <cellStyle name="Total 2 2 8" xfId="36530" xr:uid="{00000000-0005-0000-0000-0000958F0000}"/>
    <cellStyle name="Total 2 2 9" xfId="36545" xr:uid="{00000000-0005-0000-0000-0000968F0000}"/>
    <cellStyle name="Total 2 20" xfId="36537" xr:uid="{00000000-0005-0000-0000-0000978F0000}"/>
    <cellStyle name="Total 2 21" xfId="36452" xr:uid="{00000000-0005-0000-0000-0000988F0000}"/>
    <cellStyle name="Total 2 22" xfId="36548" xr:uid="{00000000-0005-0000-0000-0000998F0000}"/>
    <cellStyle name="Total 2 23" xfId="36432" xr:uid="{00000000-0005-0000-0000-00009A8F0000}"/>
    <cellStyle name="Total 2 24" xfId="36599" xr:uid="{00000000-0005-0000-0000-00009B8F0000}"/>
    <cellStyle name="Total 2 3" xfId="1588" xr:uid="{00000000-0005-0000-0000-00009C8F0000}"/>
    <cellStyle name="Total 2 3 2" xfId="1631" xr:uid="{00000000-0005-0000-0000-00009D8F0000}"/>
    <cellStyle name="Total 2 3 2 2" xfId="11188" xr:uid="{00000000-0005-0000-0000-00009E8F0000}"/>
    <cellStyle name="Total 2 3 2 3" xfId="36779" xr:uid="{00000000-0005-0000-0000-00009F8F0000}"/>
    <cellStyle name="Total 2 3 2 4" xfId="36684" xr:uid="{00000000-0005-0000-0000-0000A08F0000}"/>
    <cellStyle name="Total 2 3 2 5" xfId="36719" xr:uid="{00000000-0005-0000-0000-0000A18F0000}"/>
    <cellStyle name="Total 2 3 3" xfId="1650" xr:uid="{00000000-0005-0000-0000-0000A28F0000}"/>
    <cellStyle name="Total 2 3 3 2" xfId="11207" xr:uid="{00000000-0005-0000-0000-0000A38F0000}"/>
    <cellStyle name="Total 2 3 3 3" xfId="36798" xr:uid="{00000000-0005-0000-0000-0000A48F0000}"/>
    <cellStyle name="Total 2 3 3 4" xfId="36646" xr:uid="{00000000-0005-0000-0000-0000A58F0000}"/>
    <cellStyle name="Total 2 3 3 5" xfId="36917" xr:uid="{00000000-0005-0000-0000-0000A68F0000}"/>
    <cellStyle name="Total 2 3 4" xfId="11149" xr:uid="{00000000-0005-0000-0000-0000A78F0000}"/>
    <cellStyle name="Total 2 3 5" xfId="36740" xr:uid="{00000000-0005-0000-0000-0000A88F0000}"/>
    <cellStyle name="Total 2 3 6" xfId="36609" xr:uid="{00000000-0005-0000-0000-0000A98F0000}"/>
    <cellStyle name="Total 2 3 7" xfId="36614" xr:uid="{00000000-0005-0000-0000-0000AA8F0000}"/>
    <cellStyle name="Total 2 4" xfId="1611" xr:uid="{00000000-0005-0000-0000-0000AB8F0000}"/>
    <cellStyle name="Total 2 4 2" xfId="11168" xr:uid="{00000000-0005-0000-0000-0000AC8F0000}"/>
    <cellStyle name="Total 2 4 3" xfId="36759" xr:uid="{00000000-0005-0000-0000-0000AD8F0000}"/>
    <cellStyle name="Total 2 4 4" xfId="36601" xr:uid="{00000000-0005-0000-0000-0000AE8F0000}"/>
    <cellStyle name="Total 2 4 5" xfId="36672" xr:uid="{00000000-0005-0000-0000-0000AF8F0000}"/>
    <cellStyle name="Total 2 5" xfId="11111" xr:uid="{00000000-0005-0000-0000-0000B08F0000}"/>
    <cellStyle name="Total 2 6" xfId="36389" xr:uid="{00000000-0005-0000-0000-0000B18F0000}"/>
    <cellStyle name="Total 2 7" xfId="36449" xr:uid="{00000000-0005-0000-0000-0000B28F0000}"/>
    <cellStyle name="Total 2 8" xfId="36478" xr:uid="{00000000-0005-0000-0000-0000B38F0000}"/>
    <cellStyle name="Total 2 9" xfId="36418" xr:uid="{00000000-0005-0000-0000-0000B48F0000}"/>
    <cellStyle name="Total 20" xfId="11536" xr:uid="{00000000-0005-0000-0000-0000B58F0000}"/>
    <cellStyle name="Total 21" xfId="11639" xr:uid="{00000000-0005-0000-0000-0000B68F0000}"/>
    <cellStyle name="Total 22" xfId="11677" xr:uid="{00000000-0005-0000-0000-0000B78F0000}"/>
    <cellStyle name="Total 23" xfId="11693" xr:uid="{00000000-0005-0000-0000-0000B88F0000}"/>
    <cellStyle name="Total 24" xfId="11709" xr:uid="{00000000-0005-0000-0000-0000B98F0000}"/>
    <cellStyle name="Total 25" xfId="11726" xr:uid="{00000000-0005-0000-0000-0000BA8F0000}"/>
    <cellStyle name="Total 26" xfId="11742" xr:uid="{00000000-0005-0000-0000-0000BB8F0000}"/>
    <cellStyle name="Total 27" xfId="11758" xr:uid="{00000000-0005-0000-0000-0000BC8F0000}"/>
    <cellStyle name="Total 28" xfId="11773" xr:uid="{00000000-0005-0000-0000-0000BD8F0000}"/>
    <cellStyle name="Total 29" xfId="11789" xr:uid="{00000000-0005-0000-0000-0000BE8F0000}"/>
    <cellStyle name="Total 3" xfId="1563" xr:uid="{00000000-0005-0000-0000-0000BF8F0000}"/>
    <cellStyle name="Total 3 10" xfId="36922" xr:uid="{00000000-0005-0000-0000-0000C08F0000}"/>
    <cellStyle name="Total 3 2" xfId="1603" xr:uid="{00000000-0005-0000-0000-0000C18F0000}"/>
    <cellStyle name="Total 3 2 2" xfId="1645" xr:uid="{00000000-0005-0000-0000-0000C28F0000}"/>
    <cellStyle name="Total 3 2 2 2" xfId="11202" xr:uid="{00000000-0005-0000-0000-0000C38F0000}"/>
    <cellStyle name="Total 3 2 2 3" xfId="36793" xr:uid="{00000000-0005-0000-0000-0000C48F0000}"/>
    <cellStyle name="Total 3 2 2 4" xfId="36652" xr:uid="{00000000-0005-0000-0000-0000C58F0000}"/>
    <cellStyle name="Total 3 2 2 5" xfId="36666" xr:uid="{00000000-0005-0000-0000-0000C68F0000}"/>
    <cellStyle name="Total 3 2 3" xfId="1664" xr:uid="{00000000-0005-0000-0000-0000C78F0000}"/>
    <cellStyle name="Total 3 2 3 2" xfId="11221" xr:uid="{00000000-0005-0000-0000-0000C88F0000}"/>
    <cellStyle name="Total 3 2 3 3" xfId="36812" xr:uid="{00000000-0005-0000-0000-0000C98F0000}"/>
    <cellStyle name="Total 3 2 3 4" xfId="36726" xr:uid="{00000000-0005-0000-0000-0000CA8F0000}"/>
    <cellStyle name="Total 3 2 3 5" xfId="36625" xr:uid="{00000000-0005-0000-0000-0000CB8F0000}"/>
    <cellStyle name="Total 3 2 4" xfId="11163" xr:uid="{00000000-0005-0000-0000-0000CC8F0000}"/>
    <cellStyle name="Total 3 2 5" xfId="36754" xr:uid="{00000000-0005-0000-0000-0000CD8F0000}"/>
    <cellStyle name="Total 3 2 6" xfId="36705" xr:uid="{00000000-0005-0000-0000-0000CE8F0000}"/>
    <cellStyle name="Total 3 2 7" xfId="36928" xr:uid="{00000000-0005-0000-0000-0000CF8F0000}"/>
    <cellStyle name="Total 3 3" xfId="1626" xr:uid="{00000000-0005-0000-0000-0000D08F0000}"/>
    <cellStyle name="Total 3 3 2" xfId="11183" xr:uid="{00000000-0005-0000-0000-0000D18F0000}"/>
    <cellStyle name="Total 3 3 3" xfId="36774" xr:uid="{00000000-0005-0000-0000-0000D28F0000}"/>
    <cellStyle name="Total 3 3 4" xfId="36723" xr:uid="{00000000-0005-0000-0000-0000D38F0000}"/>
    <cellStyle name="Total 3 3 5" xfId="36720" xr:uid="{00000000-0005-0000-0000-0000D48F0000}"/>
    <cellStyle name="Total 3 4" xfId="1617" xr:uid="{00000000-0005-0000-0000-0000D58F0000}"/>
    <cellStyle name="Total 3 4 2" xfId="11174" xr:uid="{00000000-0005-0000-0000-0000D68F0000}"/>
    <cellStyle name="Total 3 4 3" xfId="36765" xr:uid="{00000000-0005-0000-0000-0000D78F0000}"/>
    <cellStyle name="Total 3 4 4" xfId="36603" xr:uid="{00000000-0005-0000-0000-0000D88F0000}"/>
    <cellStyle name="Total 3 4 5" xfId="36636" xr:uid="{00000000-0005-0000-0000-0000D98F0000}"/>
    <cellStyle name="Total 3 5" xfId="11322" xr:uid="{00000000-0005-0000-0000-0000DA8F0000}"/>
    <cellStyle name="Total 3 6" xfId="36384" xr:uid="{00000000-0005-0000-0000-0000DB8F0000}"/>
    <cellStyle name="Total 3 7" xfId="11144" xr:uid="{00000000-0005-0000-0000-0000DC8F0000}"/>
    <cellStyle name="Total 3 8" xfId="36729" xr:uid="{00000000-0005-0000-0000-0000DD8F0000}"/>
    <cellStyle name="Total 3 9" xfId="36942" xr:uid="{00000000-0005-0000-0000-0000DE8F0000}"/>
    <cellStyle name="Total 30" xfId="11805" xr:uid="{00000000-0005-0000-0000-0000DF8F0000}"/>
    <cellStyle name="Total 31" xfId="11821" xr:uid="{00000000-0005-0000-0000-0000E08F0000}"/>
    <cellStyle name="Total 32" xfId="11837" xr:uid="{00000000-0005-0000-0000-0000E18F0000}"/>
    <cellStyle name="Total 33" xfId="11852" xr:uid="{00000000-0005-0000-0000-0000E28F0000}"/>
    <cellStyle name="Total 34" xfId="19833" xr:uid="{00000000-0005-0000-0000-0000E38F0000}"/>
    <cellStyle name="Total 35" xfId="19850" xr:uid="{00000000-0005-0000-0000-0000E48F0000}"/>
    <cellStyle name="Total 36" xfId="19851" xr:uid="{00000000-0005-0000-0000-0000E58F0000}"/>
    <cellStyle name="Total 37" xfId="19883" xr:uid="{00000000-0005-0000-0000-0000E68F0000}"/>
    <cellStyle name="Total 38" xfId="19893" xr:uid="{00000000-0005-0000-0000-0000E78F0000}"/>
    <cellStyle name="Total 39" xfId="19909" xr:uid="{00000000-0005-0000-0000-0000E88F0000}"/>
    <cellStyle name="Total 4" xfId="11338" xr:uid="{00000000-0005-0000-0000-0000E98F0000}"/>
    <cellStyle name="Total 40" xfId="19885" xr:uid="{00000000-0005-0000-0000-0000EA8F0000}"/>
    <cellStyle name="Total 41" xfId="19931" xr:uid="{00000000-0005-0000-0000-0000EB8F0000}"/>
    <cellStyle name="Total 42" xfId="19962" xr:uid="{00000000-0005-0000-0000-0000EC8F0000}"/>
    <cellStyle name="Total 43" xfId="19981" xr:uid="{00000000-0005-0000-0000-0000ED8F0000}"/>
    <cellStyle name="Total 44" xfId="20092" xr:uid="{00000000-0005-0000-0000-0000EE8F0000}"/>
    <cellStyle name="Total 45" xfId="19993" xr:uid="{00000000-0005-0000-0000-0000EF8F0000}"/>
    <cellStyle name="Total 46" xfId="20130" xr:uid="{00000000-0005-0000-0000-0000F08F0000}"/>
    <cellStyle name="Total 47" xfId="19999" xr:uid="{00000000-0005-0000-0000-0000F18F0000}"/>
    <cellStyle name="Total 48" xfId="20125" xr:uid="{00000000-0005-0000-0000-0000F28F0000}"/>
    <cellStyle name="Total 49" xfId="20006" xr:uid="{00000000-0005-0000-0000-0000F38F0000}"/>
    <cellStyle name="Total 5" xfId="11350" xr:uid="{00000000-0005-0000-0000-0000F48F0000}"/>
    <cellStyle name="Total 50" xfId="20119" xr:uid="{00000000-0005-0000-0000-0000F58F0000}"/>
    <cellStyle name="Total 51" xfId="20012" xr:uid="{00000000-0005-0000-0000-0000F68F0000}"/>
    <cellStyle name="Total 52" xfId="20111" xr:uid="{00000000-0005-0000-0000-0000F78F0000}"/>
    <cellStyle name="Total 53" xfId="20147" xr:uid="{00000000-0005-0000-0000-0000F88F0000}"/>
    <cellStyle name="Total 54" xfId="20162" xr:uid="{00000000-0005-0000-0000-0000F98F0000}"/>
    <cellStyle name="Total 55" xfId="20178" xr:uid="{00000000-0005-0000-0000-0000FA8F0000}"/>
    <cellStyle name="Total 56" xfId="20194" xr:uid="{00000000-0005-0000-0000-0000FB8F0000}"/>
    <cellStyle name="Total 57" xfId="20209" xr:uid="{00000000-0005-0000-0000-0000FC8F0000}"/>
    <cellStyle name="Total 58" xfId="20225" xr:uid="{00000000-0005-0000-0000-0000FD8F0000}"/>
    <cellStyle name="Total 59" xfId="20239" xr:uid="{00000000-0005-0000-0000-0000FE8F0000}"/>
    <cellStyle name="Total 6" xfId="11383" xr:uid="{00000000-0005-0000-0000-0000FF8F0000}"/>
    <cellStyle name="Total 60" xfId="20254" xr:uid="{00000000-0005-0000-0000-000000900000}"/>
    <cellStyle name="Total 61" xfId="20269" xr:uid="{00000000-0005-0000-0000-000001900000}"/>
    <cellStyle name="Total 62" xfId="20284" xr:uid="{00000000-0005-0000-0000-000002900000}"/>
    <cellStyle name="Total 63" xfId="20299" xr:uid="{00000000-0005-0000-0000-000003900000}"/>
    <cellStyle name="Total 64" xfId="20313" xr:uid="{00000000-0005-0000-0000-000004900000}"/>
    <cellStyle name="Total 7" xfId="11398" xr:uid="{00000000-0005-0000-0000-000005900000}"/>
    <cellStyle name="Total 8" xfId="11414" xr:uid="{00000000-0005-0000-0000-000006900000}"/>
    <cellStyle name="Total 9" xfId="11389" xr:uid="{00000000-0005-0000-0000-000007900000}"/>
    <cellStyle name="TTS" xfId="1564" xr:uid="{00000000-0005-0000-0000-000008900000}"/>
    <cellStyle name="TTS 2" xfId="1565" xr:uid="{00000000-0005-0000-0000-000009900000}"/>
    <cellStyle name="TTS 3" xfId="1566" xr:uid="{00000000-0005-0000-0000-00000A900000}"/>
    <cellStyle name="TTS_1 Cadbury_&amp;_Kraft_Model_v11.0" xfId="1567" xr:uid="{00000000-0005-0000-0000-00000B900000}"/>
    <cellStyle name="ubordinated Debt" xfId="1568" xr:uid="{00000000-0005-0000-0000-00000C900000}"/>
    <cellStyle name="UnderlineNormal" xfId="1971" xr:uid="{00000000-0005-0000-0000-00000D900000}"/>
    <cellStyle name="UnderlineNormal 2" xfId="11227" xr:uid="{00000000-0005-0000-0000-00000E900000}"/>
    <cellStyle name="vaca" xfId="1972" xr:uid="{00000000-0005-0000-0000-00000F900000}"/>
    <cellStyle name="ValueConstant" xfId="1569" xr:uid="{00000000-0005-0000-0000-000010900000}"/>
    <cellStyle name="Warning Text" xfId="1751" builtinId="11" customBuiltin="1"/>
    <cellStyle name="Warning Text 10" xfId="11439" xr:uid="{00000000-0005-0000-0000-000012900000}"/>
    <cellStyle name="Warning Text 11" xfId="11464" xr:uid="{00000000-0005-0000-0000-000013900000}"/>
    <cellStyle name="Warning Text 12" xfId="11496" xr:uid="{00000000-0005-0000-0000-000014900000}"/>
    <cellStyle name="Warning Text 13" xfId="11622" xr:uid="{00000000-0005-0000-0000-000015900000}"/>
    <cellStyle name="Warning Text 14" xfId="11617" xr:uid="{00000000-0005-0000-0000-000016900000}"/>
    <cellStyle name="Warning Text 15" xfId="11663" xr:uid="{00000000-0005-0000-0000-000017900000}"/>
    <cellStyle name="Warning Text 16" xfId="11518" xr:uid="{00000000-0005-0000-0000-000018900000}"/>
    <cellStyle name="Warning Text 17" xfId="11658" xr:uid="{00000000-0005-0000-0000-000019900000}"/>
    <cellStyle name="Warning Text 18" xfId="11526" xr:uid="{00000000-0005-0000-0000-00001A900000}"/>
    <cellStyle name="Warning Text 19" xfId="11651" xr:uid="{00000000-0005-0000-0000-00001B900000}"/>
    <cellStyle name="Warning Text 2" xfId="70" xr:uid="{00000000-0005-0000-0000-00001C900000}"/>
    <cellStyle name="Warning Text 20" xfId="11533" xr:uid="{00000000-0005-0000-0000-00001D900000}"/>
    <cellStyle name="Warning Text 21" xfId="11646" xr:uid="{00000000-0005-0000-0000-00001E900000}"/>
    <cellStyle name="Warning Text 22" xfId="11538" xr:uid="{00000000-0005-0000-0000-00001F900000}"/>
    <cellStyle name="Warning Text 23" xfId="11643" xr:uid="{00000000-0005-0000-0000-000020900000}"/>
    <cellStyle name="Warning Text 24" xfId="11541" xr:uid="{00000000-0005-0000-0000-000021900000}"/>
    <cellStyle name="Warning Text 25" xfId="11613" xr:uid="{00000000-0005-0000-0000-000022900000}"/>
    <cellStyle name="Warning Text 26" xfId="11543" xr:uid="{00000000-0005-0000-0000-000023900000}"/>
    <cellStyle name="Warning Text 27" xfId="11611" xr:uid="{00000000-0005-0000-0000-000024900000}"/>
    <cellStyle name="Warning Text 28" xfId="11545" xr:uid="{00000000-0005-0000-0000-000025900000}"/>
    <cellStyle name="Warning Text 29" xfId="11500" xr:uid="{00000000-0005-0000-0000-000026900000}"/>
    <cellStyle name="Warning Text 3" xfId="1570" xr:uid="{00000000-0005-0000-0000-000027900000}"/>
    <cellStyle name="Warning Text 3 2" xfId="11319" xr:uid="{00000000-0005-0000-0000-000028900000}"/>
    <cellStyle name="Warning Text 30" xfId="11547" xr:uid="{00000000-0005-0000-0000-000029900000}"/>
    <cellStyle name="Warning Text 31" xfId="11482" xr:uid="{00000000-0005-0000-0000-00002A900000}"/>
    <cellStyle name="Warning Text 32" xfId="11549" xr:uid="{00000000-0005-0000-0000-00002B900000}"/>
    <cellStyle name="Warning Text 33" xfId="11607" xr:uid="{00000000-0005-0000-0000-00002C900000}"/>
    <cellStyle name="Warning Text 34" xfId="19830" xr:uid="{00000000-0005-0000-0000-00002D900000}"/>
    <cellStyle name="Warning Text 35" xfId="19847" xr:uid="{00000000-0005-0000-0000-00002E900000}"/>
    <cellStyle name="Warning Text 36" xfId="19854" xr:uid="{00000000-0005-0000-0000-00002F900000}"/>
    <cellStyle name="Warning Text 37" xfId="19880" xr:uid="{00000000-0005-0000-0000-000030900000}"/>
    <cellStyle name="Warning Text 38" xfId="19896" xr:uid="{00000000-0005-0000-0000-000031900000}"/>
    <cellStyle name="Warning Text 39" xfId="19912" xr:uid="{00000000-0005-0000-0000-000032900000}"/>
    <cellStyle name="Warning Text 4" xfId="11335" xr:uid="{00000000-0005-0000-0000-000033900000}"/>
    <cellStyle name="Warning Text 40" xfId="19888" xr:uid="{00000000-0005-0000-0000-000034900000}"/>
    <cellStyle name="Warning Text 41" xfId="19934" xr:uid="{00000000-0005-0000-0000-000035900000}"/>
    <cellStyle name="Warning Text 42" xfId="19959" xr:uid="{00000000-0005-0000-0000-000036900000}"/>
    <cellStyle name="Warning Text 43" xfId="19978" xr:uid="{00000000-0005-0000-0000-000037900000}"/>
    <cellStyle name="Warning Text 44" xfId="20095" xr:uid="{00000000-0005-0000-0000-000038900000}"/>
    <cellStyle name="Warning Text 45" xfId="20090" xr:uid="{00000000-0005-0000-0000-000039900000}"/>
    <cellStyle name="Warning Text 46" xfId="20133" xr:uid="{00000000-0005-0000-0000-00003A900000}"/>
    <cellStyle name="Warning Text 47" xfId="19996" xr:uid="{00000000-0005-0000-0000-00003B900000}"/>
    <cellStyle name="Warning Text 48" xfId="20128" xr:uid="{00000000-0005-0000-0000-00003C900000}"/>
    <cellStyle name="Warning Text 49" xfId="20003" xr:uid="{00000000-0005-0000-0000-00003D900000}"/>
    <cellStyle name="Warning Text 5" xfId="11353" xr:uid="{00000000-0005-0000-0000-00003E900000}"/>
    <cellStyle name="Warning Text 50" xfId="20122" xr:uid="{00000000-0005-0000-0000-00003F900000}"/>
    <cellStyle name="Warning Text 51" xfId="20009" xr:uid="{00000000-0005-0000-0000-000040900000}"/>
    <cellStyle name="Warning Text 52" xfId="20117" xr:uid="{00000000-0005-0000-0000-000041900000}"/>
    <cellStyle name="Warning Text 53" xfId="20014" xr:uid="{00000000-0005-0000-0000-000042900000}"/>
    <cellStyle name="Warning Text 54" xfId="20114" xr:uid="{00000000-0005-0000-0000-000043900000}"/>
    <cellStyle name="Warning Text 55" xfId="20017" xr:uid="{00000000-0005-0000-0000-000044900000}"/>
    <cellStyle name="Warning Text 56" xfId="20087" xr:uid="{00000000-0005-0000-0000-000045900000}"/>
    <cellStyle name="Warning Text 57" xfId="20019" xr:uid="{00000000-0005-0000-0000-000046900000}"/>
    <cellStyle name="Warning Text 58" xfId="20085" xr:uid="{00000000-0005-0000-0000-000047900000}"/>
    <cellStyle name="Warning Text 59" xfId="20021" xr:uid="{00000000-0005-0000-0000-000048900000}"/>
    <cellStyle name="Warning Text 6" xfId="11380" xr:uid="{00000000-0005-0000-0000-000049900000}"/>
    <cellStyle name="Warning Text 60" xfId="19982" xr:uid="{00000000-0005-0000-0000-00004A900000}"/>
    <cellStyle name="Warning Text 61" xfId="20023" xr:uid="{00000000-0005-0000-0000-00004B900000}"/>
    <cellStyle name="Warning Text 62" xfId="19964" xr:uid="{00000000-0005-0000-0000-00004C900000}"/>
    <cellStyle name="Warning Text 63" xfId="20025" xr:uid="{00000000-0005-0000-0000-00004D900000}"/>
    <cellStyle name="Warning Text 64" xfId="20081" xr:uid="{00000000-0005-0000-0000-00004E900000}"/>
    <cellStyle name="Warning Text 7" xfId="11401" xr:uid="{00000000-0005-0000-0000-00004F900000}"/>
    <cellStyle name="Warning Text 8" xfId="11417" xr:uid="{00000000-0005-0000-0000-000050900000}"/>
    <cellStyle name="Warning Text 9" xfId="11392" xr:uid="{00000000-0005-0000-0000-000051900000}"/>
    <cellStyle name="wheat merger's and acquisitions" xfId="1571" xr:uid="{00000000-0005-0000-0000-000052900000}"/>
    <cellStyle name="WorkbookFormula" xfId="1572" xr:uid="{00000000-0005-0000-0000-000053900000}"/>
    <cellStyle name="Years" xfId="1573" xr:uid="{00000000-0005-0000-0000-000054900000}"/>
    <cellStyle name="yellow" xfId="1574" xr:uid="{00000000-0005-0000-0000-000055900000}"/>
    <cellStyle name="Yellow 2" xfId="1973" xr:uid="{00000000-0005-0000-0000-000056900000}"/>
  </cellStyles>
  <dxfs count="0"/>
  <tableStyles count="0" defaultTableStyle="TableStyleMedium2" defaultPivotStyle="PivotStyleLight16"/>
  <colors>
    <mruColors>
      <color rgb="FF0156FF"/>
      <color rgb="FF0066FF"/>
      <color rgb="FF005BE2"/>
      <color rgb="FFB311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2.xml"/><Relationship Id="rId21" Type="http://schemas.openxmlformats.org/officeDocument/2006/relationships/externalLink" Target="externalLinks/externalLink7.xml"/><Relationship Id="rId42" Type="http://schemas.openxmlformats.org/officeDocument/2006/relationships/externalLink" Target="externalLinks/externalLink28.xml"/><Relationship Id="rId47" Type="http://schemas.openxmlformats.org/officeDocument/2006/relationships/externalLink" Target="externalLinks/externalLink33.xml"/><Relationship Id="rId63" Type="http://schemas.openxmlformats.org/officeDocument/2006/relationships/externalLink" Target="externalLinks/externalLink49.xml"/><Relationship Id="rId68" Type="http://schemas.openxmlformats.org/officeDocument/2006/relationships/externalLink" Target="externalLinks/externalLink54.xml"/><Relationship Id="rId16"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externalLink" Target="externalLinks/externalLink23.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53" Type="http://schemas.openxmlformats.org/officeDocument/2006/relationships/externalLink" Target="externalLinks/externalLink39.xml"/><Relationship Id="rId58" Type="http://schemas.openxmlformats.org/officeDocument/2006/relationships/externalLink" Target="externalLinks/externalLink44.xml"/><Relationship Id="rId66" Type="http://schemas.openxmlformats.org/officeDocument/2006/relationships/externalLink" Target="externalLinks/externalLink52.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47.xml"/><Relationship Id="rId19" Type="http://schemas.openxmlformats.org/officeDocument/2006/relationships/externalLink" Target="externalLinks/externalLink5.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56" Type="http://schemas.openxmlformats.org/officeDocument/2006/relationships/externalLink" Target="externalLinks/externalLink42.xml"/><Relationship Id="rId64" Type="http://schemas.openxmlformats.org/officeDocument/2006/relationships/externalLink" Target="externalLinks/externalLink50.xml"/><Relationship Id="rId69" Type="http://schemas.openxmlformats.org/officeDocument/2006/relationships/externalLink" Target="externalLinks/externalLink55.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46" Type="http://schemas.openxmlformats.org/officeDocument/2006/relationships/externalLink" Target="externalLinks/externalLink32.xml"/><Relationship Id="rId59" Type="http://schemas.openxmlformats.org/officeDocument/2006/relationships/externalLink" Target="externalLinks/externalLink45.xml"/><Relationship Id="rId67" Type="http://schemas.openxmlformats.org/officeDocument/2006/relationships/externalLink" Target="externalLinks/externalLink53.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54" Type="http://schemas.openxmlformats.org/officeDocument/2006/relationships/externalLink" Target="externalLinks/externalLink40.xml"/><Relationship Id="rId62" Type="http://schemas.openxmlformats.org/officeDocument/2006/relationships/externalLink" Target="externalLinks/externalLink48.xml"/><Relationship Id="rId70" Type="http://schemas.openxmlformats.org/officeDocument/2006/relationships/externalLink" Target="externalLinks/externalLink56.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externalLink" Target="externalLinks/externalLink22.xml"/><Relationship Id="rId49" Type="http://schemas.openxmlformats.org/officeDocument/2006/relationships/externalLink" Target="externalLinks/externalLink35.xml"/><Relationship Id="rId57" Type="http://schemas.openxmlformats.org/officeDocument/2006/relationships/externalLink" Target="externalLinks/externalLink43.xml"/><Relationship Id="rId10" Type="http://schemas.openxmlformats.org/officeDocument/2006/relationships/worksheet" Target="worksheets/sheet10.xml"/><Relationship Id="rId31" Type="http://schemas.openxmlformats.org/officeDocument/2006/relationships/externalLink" Target="externalLinks/externalLink17.xml"/><Relationship Id="rId44" Type="http://schemas.openxmlformats.org/officeDocument/2006/relationships/externalLink" Target="externalLinks/externalLink30.xml"/><Relationship Id="rId52" Type="http://schemas.openxmlformats.org/officeDocument/2006/relationships/externalLink" Target="externalLinks/externalLink38.xml"/><Relationship Id="rId60" Type="http://schemas.openxmlformats.org/officeDocument/2006/relationships/externalLink" Target="externalLinks/externalLink46.xml"/><Relationship Id="rId65" Type="http://schemas.openxmlformats.org/officeDocument/2006/relationships/externalLink" Target="externalLinks/externalLink51.xml"/><Relationship Id="rId73" Type="http://schemas.openxmlformats.org/officeDocument/2006/relationships/externalLink" Target="externalLinks/externalLink59.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34" Type="http://schemas.openxmlformats.org/officeDocument/2006/relationships/externalLink" Target="externalLinks/externalLink20.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7.xml"/><Relationship Id="rId2" Type="http://schemas.openxmlformats.org/officeDocument/2006/relationships/worksheet" Target="worksheets/sheet2.xml"/><Relationship Id="rId29" Type="http://schemas.openxmlformats.org/officeDocument/2006/relationships/externalLink" Target="externalLinks/externalLink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Metrics!$E$61</c:f>
              <c:strCache>
                <c:ptCount val="1"/>
                <c:pt idx="0">
                  <c:v>NDR</c:v>
                </c:pt>
              </c:strCache>
            </c:strRef>
          </c:tx>
          <c:spPr>
            <a:ln w="28575" cap="rnd">
              <a:solidFill>
                <a:schemeClr val="accent1"/>
              </a:solidFill>
              <a:round/>
            </a:ln>
            <a:effectLst/>
          </c:spPr>
          <c:marker>
            <c:symbol val="none"/>
          </c:marker>
          <c:cat>
            <c:strRef>
              <c:f>Metrics!$F$60:$AE$60</c:f>
              <c:strCache>
                <c:ptCount val="17"/>
                <c:pt idx="0">
                  <c:v>1Q19</c:v>
                </c:pt>
                <c:pt idx="1">
                  <c:v>2Q20</c:v>
                </c:pt>
                <c:pt idx="2">
                  <c:v>3Q21</c:v>
                </c:pt>
                <c:pt idx="3">
                  <c:v>4Q21</c:v>
                </c:pt>
                <c:pt idx="4">
                  <c:v>1Q22</c:v>
                </c:pt>
                <c:pt idx="5">
                  <c:v>2Q22</c:v>
                </c:pt>
                <c:pt idx="6">
                  <c:v>3Q22</c:v>
                </c:pt>
                <c:pt idx="7">
                  <c:v>4Q22</c:v>
                </c:pt>
                <c:pt idx="8">
                  <c:v>1Q23</c:v>
                </c:pt>
                <c:pt idx="9">
                  <c:v>2Q23</c:v>
                </c:pt>
                <c:pt idx="10">
                  <c:v>3Q23</c:v>
                </c:pt>
                <c:pt idx="11">
                  <c:v>4Q23</c:v>
                </c:pt>
                <c:pt idx="12">
                  <c:v>1Q24</c:v>
                </c:pt>
                <c:pt idx="13">
                  <c:v>2Q24</c:v>
                </c:pt>
                <c:pt idx="14">
                  <c:v>3Q24</c:v>
                </c:pt>
                <c:pt idx="15">
                  <c:v>4Q24</c:v>
                </c:pt>
                <c:pt idx="16">
                  <c:v>1Q25</c:v>
                </c:pt>
              </c:strCache>
            </c:strRef>
          </c:cat>
          <c:val>
            <c:numRef>
              <c:f>Metrics!$F$61:$AE$61</c:f>
              <c:numCache>
                <c:formatCode>0%</c:formatCode>
                <c:ptCount val="17"/>
                <c:pt idx="0">
                  <c:v>1.1399999999999999</c:v>
                </c:pt>
                <c:pt idx="1">
                  <c:v>1.1299999999999999</c:v>
                </c:pt>
                <c:pt idx="2">
                  <c:v>1.22</c:v>
                </c:pt>
                <c:pt idx="3">
                  <c:v>1.23</c:v>
                </c:pt>
                <c:pt idx="4">
                  <c:v>1.25</c:v>
                </c:pt>
                <c:pt idx="5">
                  <c:v>1.24</c:v>
                </c:pt>
                <c:pt idx="6">
                  <c:v>1.21</c:v>
                </c:pt>
                <c:pt idx="7">
                  <c:v>1.19</c:v>
                </c:pt>
                <c:pt idx="8">
                  <c:v>1.1399999999999999</c:v>
                </c:pt>
                <c:pt idx="9">
                  <c:v>1.1000000000000001</c:v>
                </c:pt>
                <c:pt idx="10">
                  <c:v>1.08</c:v>
                </c:pt>
                <c:pt idx="11">
                  <c:v>1.07</c:v>
                </c:pt>
                <c:pt idx="12">
                  <c:v>1.05</c:v>
                </c:pt>
                <c:pt idx="13">
                  <c:v>1.02</c:v>
                </c:pt>
                <c:pt idx="14">
                  <c:v>1</c:v>
                </c:pt>
                <c:pt idx="15">
                  <c:v>0.98</c:v>
                </c:pt>
                <c:pt idx="16">
                  <c:v>0.99</c:v>
                </c:pt>
              </c:numCache>
            </c:numRef>
          </c:val>
          <c:smooth val="0"/>
          <c:extLst>
            <c:ext xmlns:c16="http://schemas.microsoft.com/office/drawing/2014/chart" uri="{C3380CC4-5D6E-409C-BE32-E72D297353CC}">
              <c16:uniqueId val="{00000000-665D-4CC0-B61F-D74F026C636C}"/>
            </c:ext>
          </c:extLst>
        </c:ser>
        <c:dLbls>
          <c:showLegendKey val="0"/>
          <c:showVal val="0"/>
          <c:showCatName val="0"/>
          <c:showSerName val="0"/>
          <c:showPercent val="0"/>
          <c:showBubbleSize val="0"/>
        </c:dLbls>
        <c:smooth val="0"/>
        <c:axId val="116078016"/>
        <c:axId val="266416752"/>
      </c:lineChart>
      <c:catAx>
        <c:axId val="11607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16752"/>
        <c:crosses val="autoZero"/>
        <c:auto val="1"/>
        <c:lblAlgn val="ctr"/>
        <c:lblOffset val="100"/>
        <c:noMultiLvlLbl val="0"/>
      </c:catAx>
      <c:valAx>
        <c:axId val="266416752"/>
        <c:scaling>
          <c:orientation val="minMax"/>
          <c:min val="0.95000000000000007"/>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Metrics!$AA$66</c:f>
              <c:strCache>
                <c:ptCount val="1"/>
                <c:pt idx="0">
                  <c:v>US</c:v>
                </c:pt>
              </c:strCache>
            </c:strRef>
          </c:tx>
          <c:spPr>
            <a:ln w="28575" cap="rnd">
              <a:solidFill>
                <a:schemeClr val="accent1"/>
              </a:solidFill>
              <a:round/>
            </a:ln>
            <a:effectLst/>
          </c:spPr>
          <c:marker>
            <c:symbol val="none"/>
          </c:marker>
          <c:val>
            <c:numRef>
              <c:f>Metrics!$AB$66:$AK$66</c:f>
              <c:numCache>
                <c:formatCode>0%</c:formatCode>
                <c:ptCount val="10"/>
                <c:pt idx="0">
                  <c:v>0.20636605206515335</c:v>
                </c:pt>
                <c:pt idx="1">
                  <c:v>0.17779140549208061</c:v>
                </c:pt>
                <c:pt idx="2">
                  <c:v>0.17010467390054052</c:v>
                </c:pt>
                <c:pt idx="3">
                  <c:v>0.11802922925638337</c:v>
                </c:pt>
                <c:pt idx="4">
                  <c:v>0.10935914483646192</c:v>
                </c:pt>
                <c:pt idx="5">
                  <c:v>8.5925073940190666E-2</c:v>
                </c:pt>
                <c:pt idx="6">
                  <c:v>6.1504751372163602E-2</c:v>
                </c:pt>
                <c:pt idx="7">
                  <c:v>4.4286026240605514E-2</c:v>
                </c:pt>
                <c:pt idx="8">
                  <c:v>3.9867317840903249E-2</c:v>
                </c:pt>
                <c:pt idx="9">
                  <c:v>4.1366753157145997E-2</c:v>
                </c:pt>
              </c:numCache>
            </c:numRef>
          </c:val>
          <c:smooth val="0"/>
          <c:extLst>
            <c:ext xmlns:c16="http://schemas.microsoft.com/office/drawing/2014/chart" uri="{C3380CC4-5D6E-409C-BE32-E72D297353CC}">
              <c16:uniqueId val="{00000000-12F1-4B36-B59C-3F5F737B9751}"/>
            </c:ext>
          </c:extLst>
        </c:ser>
        <c:ser>
          <c:idx val="1"/>
          <c:order val="1"/>
          <c:tx>
            <c:strRef>
              <c:f>Metrics!$AA$67</c:f>
              <c:strCache>
                <c:ptCount val="1"/>
                <c:pt idx="0">
                  <c:v>International</c:v>
                </c:pt>
              </c:strCache>
            </c:strRef>
          </c:tx>
          <c:spPr>
            <a:ln w="28575" cap="rnd">
              <a:solidFill>
                <a:schemeClr val="accent2"/>
              </a:solidFill>
              <a:round/>
            </a:ln>
            <a:effectLst/>
          </c:spPr>
          <c:marker>
            <c:symbol val="none"/>
          </c:marker>
          <c:val>
            <c:numRef>
              <c:f>Metrics!$AB$67:$AK$67</c:f>
              <c:numCache>
                <c:formatCode>0%</c:formatCode>
                <c:ptCount val="10"/>
                <c:pt idx="0">
                  <c:v>0.43300382494659972</c:v>
                </c:pt>
                <c:pt idx="1">
                  <c:v>0.34748424913567688</c:v>
                </c:pt>
                <c:pt idx="2">
                  <c:v>0.22639212901917039</c:v>
                </c:pt>
                <c:pt idx="3">
                  <c:v>0.19164686594974834</c:v>
                </c:pt>
                <c:pt idx="4">
                  <c:v>0.16702140197866044</c:v>
                </c:pt>
                <c:pt idx="5">
                  <c:v>0.17</c:v>
                </c:pt>
                <c:pt idx="6">
                  <c:v>0.15858241667355877</c:v>
                </c:pt>
                <c:pt idx="7">
                  <c:v>0.18731719586179318</c:v>
                </c:pt>
                <c:pt idx="8">
                  <c:v>0.16987524505435747</c:v>
                </c:pt>
                <c:pt idx="9">
                  <c:v>0.1526238849047048</c:v>
                </c:pt>
              </c:numCache>
            </c:numRef>
          </c:val>
          <c:smooth val="0"/>
          <c:extLst>
            <c:ext xmlns:c16="http://schemas.microsoft.com/office/drawing/2014/chart" uri="{C3380CC4-5D6E-409C-BE32-E72D297353CC}">
              <c16:uniqueId val="{00000001-12F1-4B36-B59C-3F5F737B9751}"/>
            </c:ext>
          </c:extLst>
        </c:ser>
        <c:ser>
          <c:idx val="2"/>
          <c:order val="2"/>
          <c:tx>
            <c:strRef>
              <c:f>Metrics!$AA$68</c:f>
              <c:strCache>
                <c:ptCount val="1"/>
                <c:pt idx="0">
                  <c:v>Total</c:v>
                </c:pt>
              </c:strCache>
            </c:strRef>
          </c:tx>
          <c:spPr>
            <a:ln w="28575" cap="rnd">
              <a:solidFill>
                <a:schemeClr val="accent3"/>
              </a:solidFill>
              <a:round/>
            </a:ln>
            <a:effectLst/>
          </c:spPr>
          <c:marker>
            <c:symbol val="none"/>
          </c:marker>
          <c:val>
            <c:numRef>
              <c:f>Metrics!$AB$68:$AK$68</c:f>
              <c:numCache>
                <c:formatCode>0%</c:formatCode>
                <c:ptCount val="10"/>
                <c:pt idx="0">
                  <c:v>0.25499810266096468</c:v>
                </c:pt>
                <c:pt idx="1">
                  <c:v>0.21557349504927292</c:v>
                </c:pt>
                <c:pt idx="2">
                  <c:v>0.18333049171071192</c:v>
                </c:pt>
                <c:pt idx="3">
                  <c:v>0.13557886327794111</c:v>
                </c:pt>
                <c:pt idx="4">
                  <c:v>0.12348732444130373</c:v>
                </c:pt>
                <c:pt idx="5">
                  <c:v>0.10527914571895125</c:v>
                </c:pt>
                <c:pt idx="6">
                  <c:v>8.5145081902448405E-2</c:v>
                </c:pt>
                <c:pt idx="7">
                  <c:v>8.0066588232440283E-2</c:v>
                </c:pt>
                <c:pt idx="8">
                  <c:v>7.2955662939152122E-2</c:v>
                </c:pt>
                <c:pt idx="9">
                  <c:v>7.029360741151125E-2</c:v>
                </c:pt>
              </c:numCache>
            </c:numRef>
          </c:val>
          <c:smooth val="0"/>
          <c:extLst>
            <c:ext xmlns:c16="http://schemas.microsoft.com/office/drawing/2014/chart" uri="{C3380CC4-5D6E-409C-BE32-E72D297353CC}">
              <c16:uniqueId val="{00000002-12F1-4B36-B59C-3F5F737B9751}"/>
            </c:ext>
          </c:extLst>
        </c:ser>
        <c:dLbls>
          <c:showLegendKey val="0"/>
          <c:showVal val="0"/>
          <c:showCatName val="0"/>
          <c:showSerName val="0"/>
          <c:showPercent val="0"/>
          <c:showBubbleSize val="0"/>
        </c:dLbls>
        <c:smooth val="0"/>
        <c:axId val="1331298768"/>
        <c:axId val="1658502768"/>
      </c:lineChart>
      <c:catAx>
        <c:axId val="133129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502768"/>
        <c:crosses val="autoZero"/>
        <c:auto val="1"/>
        <c:lblAlgn val="ctr"/>
        <c:lblOffset val="100"/>
        <c:noMultiLvlLbl val="0"/>
      </c:catAx>
      <c:valAx>
        <c:axId val="1658502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98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Charts!$C$28</c:f>
              <c:strCache>
                <c:ptCount val="1"/>
                <c:pt idx="0">
                  <c:v>Billings</c:v>
                </c:pt>
              </c:strCache>
            </c:strRef>
          </c:tx>
          <c:spPr>
            <a:solidFill>
              <a:schemeClr val="bg1">
                <a:lumMod val="75000"/>
              </a:schemeClr>
            </a:solidFill>
            <a:ln>
              <a:noFill/>
            </a:ln>
            <a:effectLst/>
          </c:spPr>
          <c:invertIfNegative val="0"/>
          <c:dPt>
            <c:idx val="18"/>
            <c:invertIfNegative val="0"/>
            <c:bubble3D val="0"/>
            <c:spPr>
              <a:solidFill>
                <a:schemeClr val="bg1">
                  <a:lumMod val="75000"/>
                </a:schemeClr>
              </a:solidFill>
              <a:ln>
                <a:noFill/>
              </a:ln>
              <a:effectLst/>
            </c:spPr>
            <c:extLst>
              <c:ext xmlns:c16="http://schemas.microsoft.com/office/drawing/2014/chart" uri="{C3380CC4-5D6E-409C-BE32-E72D297353CC}">
                <c16:uniqueId val="{00000001-4675-4CF0-BAEB-BFDB02F2879F}"/>
              </c:ext>
            </c:extLst>
          </c:dPt>
          <c:dPt>
            <c:idx val="19"/>
            <c:invertIfNegative val="0"/>
            <c:bubble3D val="0"/>
            <c:spPr>
              <a:solidFill>
                <a:schemeClr val="bg1">
                  <a:lumMod val="75000"/>
                </a:schemeClr>
              </a:solidFill>
              <a:ln>
                <a:noFill/>
              </a:ln>
              <a:effectLst/>
            </c:spPr>
            <c:extLst>
              <c:ext xmlns:c16="http://schemas.microsoft.com/office/drawing/2014/chart" uri="{C3380CC4-5D6E-409C-BE32-E72D297353CC}">
                <c16:uniqueId val="{00000003-4675-4CF0-BAEB-BFDB02F2879F}"/>
              </c:ext>
            </c:extLst>
          </c:dPt>
          <c:dPt>
            <c:idx val="22"/>
            <c:invertIfNegative val="0"/>
            <c:bubble3D val="0"/>
            <c:spPr>
              <a:solidFill>
                <a:schemeClr val="accent6"/>
              </a:solidFill>
              <a:ln>
                <a:noFill/>
              </a:ln>
              <a:effectLst/>
            </c:spPr>
            <c:extLst>
              <c:ext xmlns:c16="http://schemas.microsoft.com/office/drawing/2014/chart" uri="{C3380CC4-5D6E-409C-BE32-E72D297353CC}">
                <c16:uniqueId val="{00000005-4675-4CF0-BAEB-BFDB02F2879F}"/>
              </c:ext>
            </c:extLst>
          </c:dPt>
          <c:dPt>
            <c:idx val="23"/>
            <c:invertIfNegative val="0"/>
            <c:bubble3D val="0"/>
            <c:spPr>
              <a:solidFill>
                <a:schemeClr val="accent6"/>
              </a:solidFill>
              <a:ln>
                <a:noFill/>
              </a:ln>
              <a:effectLst/>
            </c:spPr>
            <c:extLst>
              <c:ext xmlns:c16="http://schemas.microsoft.com/office/drawing/2014/chart" uri="{C3380CC4-5D6E-409C-BE32-E72D297353CC}">
                <c16:uniqueId val="{00000007-4675-4CF0-BAEB-BFDB02F2879F}"/>
              </c:ext>
            </c:extLst>
          </c:dPt>
          <c:dPt>
            <c:idx val="24"/>
            <c:invertIfNegative val="0"/>
            <c:bubble3D val="0"/>
            <c:spPr>
              <a:solidFill>
                <a:schemeClr val="accent6"/>
              </a:solidFill>
              <a:ln>
                <a:noFill/>
              </a:ln>
              <a:effectLst/>
            </c:spPr>
            <c:extLst>
              <c:ext xmlns:c16="http://schemas.microsoft.com/office/drawing/2014/chart" uri="{C3380CC4-5D6E-409C-BE32-E72D297353CC}">
                <c16:uniqueId val="{0000000B-3C56-4947-A988-E27E21F244C7}"/>
              </c:ext>
            </c:extLst>
          </c:dPt>
          <c:dPt>
            <c:idx val="25"/>
            <c:invertIfNegative val="0"/>
            <c:bubble3D val="0"/>
            <c:spPr>
              <a:solidFill>
                <a:schemeClr val="accent6"/>
              </a:solidFill>
              <a:ln>
                <a:noFill/>
              </a:ln>
              <a:effectLst/>
            </c:spPr>
            <c:extLst>
              <c:ext xmlns:c16="http://schemas.microsoft.com/office/drawing/2014/chart" uri="{C3380CC4-5D6E-409C-BE32-E72D297353CC}">
                <c16:uniqueId val="{0000000C-3C56-4947-A988-E27E21F244C7}"/>
              </c:ext>
            </c:extLst>
          </c:dPt>
          <c:dPt>
            <c:idx val="26"/>
            <c:invertIfNegative val="0"/>
            <c:bubble3D val="0"/>
            <c:spPr>
              <a:solidFill>
                <a:schemeClr val="accent6"/>
              </a:solidFill>
              <a:ln>
                <a:noFill/>
              </a:ln>
              <a:effectLst/>
            </c:spPr>
            <c:extLst>
              <c:ext xmlns:c16="http://schemas.microsoft.com/office/drawing/2014/chart" uri="{C3380CC4-5D6E-409C-BE32-E72D297353CC}">
                <c16:uniqueId val="{0000000D-3C56-4947-A988-E27E21F244C7}"/>
              </c:ext>
            </c:extLst>
          </c:dPt>
          <c:cat>
            <c:strRef>
              <c:f>Charts!$D$27:$AD$27</c:f>
              <c:strCache>
                <c:ptCount val="27"/>
                <c:pt idx="0">
                  <c:v>1Q19</c:v>
                </c:pt>
                <c:pt idx="1">
                  <c:v>2Q19</c:v>
                </c:pt>
                <c:pt idx="2">
                  <c:v>3Q19</c:v>
                </c:pt>
                <c:pt idx="3">
                  <c:v>4Q19</c:v>
                </c:pt>
                <c:pt idx="4">
                  <c:v>1Q20</c:v>
                </c:pt>
                <c:pt idx="5">
                  <c:v>2Q20</c:v>
                </c:pt>
                <c:pt idx="6">
                  <c:v>3Q20</c:v>
                </c:pt>
                <c:pt idx="7">
                  <c:v>4Q20</c:v>
                </c:pt>
                <c:pt idx="8">
                  <c:v>1Q21</c:v>
                </c:pt>
                <c:pt idx="9">
                  <c:v>2Q21</c:v>
                </c:pt>
                <c:pt idx="10">
                  <c:v>3Q21</c:v>
                </c:pt>
                <c:pt idx="11">
                  <c:v>4Q21</c:v>
                </c:pt>
                <c:pt idx="12">
                  <c:v>1Q22</c:v>
                </c:pt>
                <c:pt idx="13">
                  <c:v>2Q22</c:v>
                </c:pt>
                <c:pt idx="14">
                  <c:v>3Q22</c:v>
                </c:pt>
                <c:pt idx="15">
                  <c:v>4Q22</c:v>
                </c:pt>
                <c:pt idx="16">
                  <c:v>1Q23</c:v>
                </c:pt>
                <c:pt idx="17">
                  <c:v>2Q23</c:v>
                </c:pt>
                <c:pt idx="18">
                  <c:v>3Q23</c:v>
                </c:pt>
                <c:pt idx="19">
                  <c:v>4Q23</c:v>
                </c:pt>
                <c:pt idx="20">
                  <c:v>1Q24</c:v>
                </c:pt>
                <c:pt idx="21">
                  <c:v>2Q24</c:v>
                </c:pt>
                <c:pt idx="22">
                  <c:v>3Q24</c:v>
                </c:pt>
                <c:pt idx="23">
                  <c:v>4Q24</c:v>
                </c:pt>
                <c:pt idx="24">
                  <c:v>1Q25</c:v>
                </c:pt>
                <c:pt idx="25">
                  <c:v>2Q25</c:v>
                </c:pt>
                <c:pt idx="26">
                  <c:v>3Q25</c:v>
                </c:pt>
              </c:strCache>
            </c:strRef>
          </c:cat>
          <c:val>
            <c:numRef>
              <c:f>Charts!$D$28:$AD$28</c:f>
              <c:numCache>
                <c:formatCode>_("$"* #,##0_);_("$"* \(#,##0\);_("$"* "-"??_);_(@_)</c:formatCode>
                <c:ptCount val="27"/>
                <c:pt idx="0">
                  <c:v>168876</c:v>
                </c:pt>
                <c:pt idx="1">
                  <c:v>172162</c:v>
                </c:pt>
                <c:pt idx="2">
                  <c:v>197984</c:v>
                </c:pt>
                <c:pt idx="3">
                  <c:v>262352</c:v>
                </c:pt>
                <c:pt idx="4">
                  <c:v>214955</c:v>
                </c:pt>
                <c:pt idx="5">
                  <c:v>252364</c:v>
                </c:pt>
                <c:pt idx="6">
                  <c:v>269399</c:v>
                </c:pt>
                <c:pt idx="7">
                  <c:v>366921</c:v>
                </c:pt>
                <c:pt idx="8">
                  <c:v>342052</c:v>
                </c:pt>
                <c:pt idx="9">
                  <c:v>405695</c:v>
                </c:pt>
                <c:pt idx="10">
                  <c:v>440411</c:v>
                </c:pt>
                <c:pt idx="11">
                  <c:v>534934</c:v>
                </c:pt>
                <c:pt idx="12">
                  <c:v>527391</c:v>
                </c:pt>
                <c:pt idx="13">
                  <c:v>595371</c:v>
                </c:pt>
                <c:pt idx="14">
                  <c:v>565239</c:v>
                </c:pt>
                <c:pt idx="15">
                  <c:v>670126</c:v>
                </c:pt>
                <c:pt idx="16">
                  <c:v>613563</c:v>
                </c:pt>
                <c:pt idx="17">
                  <c:v>647724</c:v>
                </c:pt>
                <c:pt idx="18">
                  <c:v>659405</c:v>
                </c:pt>
                <c:pt idx="19">
                  <c:v>739044</c:v>
                </c:pt>
                <c:pt idx="20">
                  <c:v>674763</c:v>
                </c:pt>
                <c:pt idx="21">
                  <c:v>711194</c:v>
                </c:pt>
                <c:pt idx="22">
                  <c:v>691806</c:v>
                </c:pt>
                <c:pt idx="23">
                  <c:v>833068</c:v>
                </c:pt>
                <c:pt idx="24">
                  <c:v>709538</c:v>
                </c:pt>
                <c:pt idx="25">
                  <c:v>724508</c:v>
                </c:pt>
                <c:pt idx="26">
                  <c:v>752307</c:v>
                </c:pt>
              </c:numCache>
            </c:numRef>
          </c:val>
          <c:extLst>
            <c:ext xmlns:c16="http://schemas.microsoft.com/office/drawing/2014/chart" uri="{C3380CC4-5D6E-409C-BE32-E72D297353CC}">
              <c16:uniqueId val="{00000008-4675-4CF0-BAEB-BFDB02F2879F}"/>
            </c:ext>
          </c:extLst>
        </c:ser>
        <c:dLbls>
          <c:showLegendKey val="0"/>
          <c:showVal val="0"/>
          <c:showCatName val="0"/>
          <c:showSerName val="0"/>
          <c:showPercent val="0"/>
          <c:showBubbleSize val="0"/>
        </c:dLbls>
        <c:gapWidth val="219"/>
        <c:overlap val="-27"/>
        <c:axId val="1431842639"/>
        <c:axId val="1008073215"/>
      </c:barChart>
      <c:lineChart>
        <c:grouping val="standard"/>
        <c:varyColors val="0"/>
        <c:ser>
          <c:idx val="1"/>
          <c:order val="1"/>
          <c:tx>
            <c:strRef>
              <c:f>Charts!$C$29</c:f>
              <c:strCache>
                <c:ptCount val="1"/>
                <c:pt idx="0">
                  <c:v>Billings Y/Y Growth</c:v>
                </c:pt>
              </c:strCache>
            </c:strRef>
          </c:tx>
          <c:spPr>
            <a:ln w="28575" cap="rnd">
              <a:solidFill>
                <a:srgbClr val="002060"/>
              </a:solidFill>
              <a:round/>
            </a:ln>
            <a:effectLst/>
          </c:spPr>
          <c:marker>
            <c:symbol val="none"/>
          </c:marker>
          <c:dLbls>
            <c:dLbl>
              <c:idx val="0"/>
              <c:layout>
                <c:manualLayout>
                  <c:x val="-4.020772938193016E-3"/>
                  <c:y val="-1.95003046922608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675-4CF0-BAEB-BFDB02F2879F}"/>
                </c:ext>
              </c:extLst>
            </c:dLbl>
            <c:dLbl>
              <c:idx val="8"/>
              <c:layout>
                <c:manualLayout>
                  <c:x val="4.0207729381929666E-3"/>
                  <c:y val="7.312614259597783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675-4CF0-BAEB-BFDB02F2879F}"/>
                </c:ext>
              </c:extLst>
            </c:dLbl>
            <c:dLbl>
              <c:idx val="19"/>
              <c:layout>
                <c:manualLayout>
                  <c:x val="-1.3402576460644371E-3"/>
                  <c:y val="-2.19378427787934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3CF-4345-A5C7-AE924440BFBA}"/>
                </c:ext>
              </c:extLst>
            </c:dLbl>
            <c:dLbl>
              <c:idx val="20"/>
              <c:layout>
                <c:manualLayout>
                  <c:x val="0"/>
                  <c:y val="-1.95003046922608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CF-4345-A5C7-AE924440BFBA}"/>
                </c:ext>
              </c:extLst>
            </c:dLbl>
            <c:dLbl>
              <c:idx val="22"/>
              <c:layout>
                <c:manualLayout>
                  <c:x val="-1.0183296808795042E-16"/>
                  <c:y val="-1.98388096714197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C56-4947-A988-E27E21F244C7}"/>
                </c:ext>
              </c:extLst>
            </c:dLbl>
            <c:dLbl>
              <c:idx val="23"/>
              <c:layout>
                <c:manualLayout>
                  <c:x val="-2.7772948492113762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C56-4947-A988-E27E21F244C7}"/>
                </c:ext>
              </c:extLst>
            </c:dLbl>
            <c:dLbl>
              <c:idx val="24"/>
              <c:layout>
                <c:manualLayout>
                  <c:x val="-4.1659422738172169E-3"/>
                  <c:y val="2.479851208927373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C56-4947-A988-E27E21F244C7}"/>
                </c:ext>
              </c:extLst>
            </c:dLbl>
            <c:dLbl>
              <c:idx val="25"/>
              <c:layout>
                <c:manualLayout>
                  <c:x val="2.7772948492114781E-3"/>
                  <c:y val="4.959702417854928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C56-4947-A988-E27E21F244C7}"/>
                </c:ext>
              </c:extLst>
            </c:dLbl>
            <c:dLbl>
              <c:idx val="26"/>
              <c:layout>
                <c:manualLayout>
                  <c:x val="1.388647424605739E-3"/>
                  <c:y val="-1.23992560446373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C56-4947-A988-E27E21F244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Charts!$D$27:$AD$27</c:f>
              <c:strCache>
                <c:ptCount val="27"/>
                <c:pt idx="0">
                  <c:v>1Q19</c:v>
                </c:pt>
                <c:pt idx="1">
                  <c:v>2Q19</c:v>
                </c:pt>
                <c:pt idx="2">
                  <c:v>3Q19</c:v>
                </c:pt>
                <c:pt idx="3">
                  <c:v>4Q19</c:v>
                </c:pt>
                <c:pt idx="4">
                  <c:v>1Q20</c:v>
                </c:pt>
                <c:pt idx="5">
                  <c:v>2Q20</c:v>
                </c:pt>
                <c:pt idx="6">
                  <c:v>3Q20</c:v>
                </c:pt>
                <c:pt idx="7">
                  <c:v>4Q20</c:v>
                </c:pt>
                <c:pt idx="8">
                  <c:v>1Q21</c:v>
                </c:pt>
                <c:pt idx="9">
                  <c:v>2Q21</c:v>
                </c:pt>
                <c:pt idx="10">
                  <c:v>3Q21</c:v>
                </c:pt>
                <c:pt idx="11">
                  <c:v>4Q21</c:v>
                </c:pt>
                <c:pt idx="12">
                  <c:v>1Q22</c:v>
                </c:pt>
                <c:pt idx="13">
                  <c:v>2Q22</c:v>
                </c:pt>
                <c:pt idx="14">
                  <c:v>3Q22</c:v>
                </c:pt>
                <c:pt idx="15">
                  <c:v>4Q22</c:v>
                </c:pt>
                <c:pt idx="16">
                  <c:v>1Q23</c:v>
                </c:pt>
                <c:pt idx="17">
                  <c:v>2Q23</c:v>
                </c:pt>
                <c:pt idx="18">
                  <c:v>3Q23</c:v>
                </c:pt>
                <c:pt idx="19">
                  <c:v>4Q23</c:v>
                </c:pt>
                <c:pt idx="20">
                  <c:v>1Q24</c:v>
                </c:pt>
                <c:pt idx="21">
                  <c:v>2Q24</c:v>
                </c:pt>
                <c:pt idx="22">
                  <c:v>3Q24</c:v>
                </c:pt>
                <c:pt idx="23">
                  <c:v>4Q24</c:v>
                </c:pt>
                <c:pt idx="24">
                  <c:v>1Q25</c:v>
                </c:pt>
                <c:pt idx="25">
                  <c:v>2Q25</c:v>
                </c:pt>
                <c:pt idx="26">
                  <c:v>3Q25</c:v>
                </c:pt>
              </c:strCache>
            </c:strRef>
          </c:cat>
          <c:val>
            <c:numRef>
              <c:f>Charts!$D$29:$AD$29</c:f>
              <c:numCache>
                <c:formatCode>0%</c:formatCode>
                <c:ptCount val="27"/>
                <c:pt idx="0">
                  <c:v>0.33420765718077972</c:v>
                </c:pt>
                <c:pt idx="1">
                  <c:v>0.32345773917054244</c:v>
                </c:pt>
                <c:pt idx="2">
                  <c:v>0.39697861321027639</c:v>
                </c:pt>
                <c:pt idx="3">
                  <c:v>0.30679418210798959</c:v>
                </c:pt>
                <c:pt idx="4">
                  <c:v>0.27285700750846775</c:v>
                </c:pt>
                <c:pt idx="5">
                  <c:v>0.465851930158804</c:v>
                </c:pt>
                <c:pt idx="6">
                  <c:v>0.36071096654275103</c:v>
                </c:pt>
                <c:pt idx="7">
                  <c:v>0.3985828200280539</c:v>
                </c:pt>
                <c:pt idx="8">
                  <c:v>0.59127259193784742</c:v>
                </c:pt>
                <c:pt idx="9">
                  <c:v>0.60757873547732633</c:v>
                </c:pt>
                <c:pt idx="10">
                  <c:v>0.63479077502143655</c:v>
                </c:pt>
                <c:pt idx="11">
                  <c:v>0.45789965687436807</c:v>
                </c:pt>
                <c:pt idx="12">
                  <c:v>0.54184451486908425</c:v>
                </c:pt>
                <c:pt idx="13">
                  <c:v>0.46753349190894644</c:v>
                </c:pt>
                <c:pt idx="14">
                  <c:v>0.28343524571366285</c:v>
                </c:pt>
                <c:pt idx="15">
                  <c:v>0.25272650457813484</c:v>
                </c:pt>
                <c:pt idx="16">
                  <c:v>0.16339300443124749</c:v>
                </c:pt>
                <c:pt idx="17">
                  <c:v>8.7933406229057098E-2</c:v>
                </c:pt>
                <c:pt idx="18">
                  <c:v>0.16659501555978973</c:v>
                </c:pt>
                <c:pt idx="19">
                  <c:v>0.10284334587823785</c:v>
                </c:pt>
                <c:pt idx="20">
                  <c:v>9.9745258433119321E-2</c:v>
                </c:pt>
                <c:pt idx="21">
                  <c:v>9.7989267033489647E-2</c:v>
                </c:pt>
                <c:pt idx="22">
                  <c:v>4.9136721741570133E-2</c:v>
                </c:pt>
                <c:pt idx="23">
                  <c:v>0.12722381887952539</c:v>
                </c:pt>
                <c:pt idx="24">
                  <c:v>5.1536613596181224E-2</c:v>
                </c:pt>
                <c:pt idx="25">
                  <c:v>1.8720630376521719E-2</c:v>
                </c:pt>
                <c:pt idx="26">
                  <c:v>8.7453708120484697E-2</c:v>
                </c:pt>
              </c:numCache>
            </c:numRef>
          </c:val>
          <c:smooth val="0"/>
          <c:extLst>
            <c:ext xmlns:c16="http://schemas.microsoft.com/office/drawing/2014/chart" uri="{C3380CC4-5D6E-409C-BE32-E72D297353CC}">
              <c16:uniqueId val="{00000009-4675-4CF0-BAEB-BFDB02F2879F}"/>
            </c:ext>
          </c:extLst>
        </c:ser>
        <c:dLbls>
          <c:showLegendKey val="0"/>
          <c:showVal val="0"/>
          <c:showCatName val="0"/>
          <c:showSerName val="0"/>
          <c:showPercent val="0"/>
          <c:showBubbleSize val="0"/>
        </c:dLbls>
        <c:marker val="1"/>
        <c:smooth val="0"/>
        <c:axId val="1431843439"/>
        <c:axId val="1008072799"/>
      </c:lineChart>
      <c:catAx>
        <c:axId val="143184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8073215"/>
        <c:crosses val="autoZero"/>
        <c:auto val="1"/>
        <c:lblAlgn val="ctr"/>
        <c:lblOffset val="100"/>
        <c:noMultiLvlLbl val="0"/>
      </c:catAx>
      <c:valAx>
        <c:axId val="1008073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31842639"/>
        <c:crosses val="autoZero"/>
        <c:crossBetween val="between"/>
      </c:valAx>
      <c:valAx>
        <c:axId val="100807279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31843439"/>
        <c:crosses val="max"/>
        <c:crossBetween val="between"/>
      </c:valAx>
      <c:catAx>
        <c:axId val="1431843439"/>
        <c:scaling>
          <c:orientation val="minMax"/>
        </c:scaling>
        <c:delete val="1"/>
        <c:axPos val="b"/>
        <c:numFmt formatCode="General" sourceLinked="1"/>
        <c:majorTickMark val="none"/>
        <c:minorTickMark val="none"/>
        <c:tickLblPos val="nextTo"/>
        <c:crossAx val="1008072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Charts!$C$28</c:f>
              <c:strCache>
                <c:ptCount val="1"/>
                <c:pt idx="0">
                  <c:v>Billings</c:v>
                </c:pt>
              </c:strCache>
            </c:strRef>
          </c:tx>
          <c:spPr>
            <a:solidFill>
              <a:srgbClr val="002060"/>
            </a:solidFill>
            <a:ln>
              <a:noFill/>
            </a:ln>
            <a:effectLst/>
          </c:spPr>
          <c:invertIfNegative val="0"/>
          <c:cat>
            <c:strRef>
              <c:f>Charts!$E$27:$AH$27</c:f>
              <c:strCache>
                <c:ptCount val="30"/>
                <c:pt idx="0">
                  <c:v>2Q19</c:v>
                </c:pt>
                <c:pt idx="1">
                  <c:v>3Q19</c:v>
                </c:pt>
                <c:pt idx="2">
                  <c:v>4Q19</c:v>
                </c:pt>
                <c:pt idx="3">
                  <c:v>1Q20</c:v>
                </c:pt>
                <c:pt idx="4">
                  <c:v>2Q20</c:v>
                </c:pt>
                <c:pt idx="5">
                  <c:v>3Q20</c:v>
                </c:pt>
                <c:pt idx="6">
                  <c:v>4Q20</c:v>
                </c:pt>
                <c:pt idx="7">
                  <c:v>1Q21</c:v>
                </c:pt>
                <c:pt idx="8">
                  <c:v>2Q21</c:v>
                </c:pt>
                <c:pt idx="9">
                  <c:v>3Q21</c:v>
                </c:pt>
                <c:pt idx="10">
                  <c:v>4Q21</c:v>
                </c:pt>
                <c:pt idx="11">
                  <c:v>1Q22</c:v>
                </c:pt>
                <c:pt idx="12">
                  <c:v>2Q22</c:v>
                </c:pt>
                <c:pt idx="13">
                  <c:v>3Q22</c:v>
                </c:pt>
                <c:pt idx="14">
                  <c:v>4Q22</c:v>
                </c:pt>
                <c:pt idx="15">
                  <c:v>1Q23</c:v>
                </c:pt>
                <c:pt idx="16">
                  <c:v>2Q23</c:v>
                </c:pt>
                <c:pt idx="17">
                  <c:v>3Q23</c:v>
                </c:pt>
                <c:pt idx="18">
                  <c:v>4Q23</c:v>
                </c:pt>
                <c:pt idx="19">
                  <c:v>1Q24</c:v>
                </c:pt>
                <c:pt idx="20">
                  <c:v>2Q24</c:v>
                </c:pt>
                <c:pt idx="21">
                  <c:v>3Q24</c:v>
                </c:pt>
                <c:pt idx="22">
                  <c:v>4Q24</c:v>
                </c:pt>
                <c:pt idx="23">
                  <c:v>1Q25</c:v>
                </c:pt>
                <c:pt idx="24">
                  <c:v>2Q25</c:v>
                </c:pt>
                <c:pt idx="25">
                  <c:v>3Q25</c:v>
                </c:pt>
                <c:pt idx="26">
                  <c:v>4Q25</c:v>
                </c:pt>
                <c:pt idx="27">
                  <c:v>1Q26</c:v>
                </c:pt>
                <c:pt idx="28">
                  <c:v>2Q26</c:v>
                </c:pt>
                <c:pt idx="29">
                  <c:v>3Q26</c:v>
                </c:pt>
              </c:strCache>
            </c:strRef>
          </c:cat>
          <c:val>
            <c:numRef>
              <c:f>Charts!$E$28:$AH$28</c:f>
              <c:numCache>
                <c:formatCode>_("$"* #,##0_);_("$"* \(#,##0\);_("$"* "-"??_);_(@_)</c:formatCode>
                <c:ptCount val="30"/>
                <c:pt idx="0">
                  <c:v>172162</c:v>
                </c:pt>
                <c:pt idx="1">
                  <c:v>197984</c:v>
                </c:pt>
                <c:pt idx="2">
                  <c:v>262352</c:v>
                </c:pt>
                <c:pt idx="3">
                  <c:v>214955</c:v>
                </c:pt>
                <c:pt idx="4">
                  <c:v>252364</c:v>
                </c:pt>
                <c:pt idx="5">
                  <c:v>269399</c:v>
                </c:pt>
                <c:pt idx="6">
                  <c:v>366921</c:v>
                </c:pt>
                <c:pt idx="7">
                  <c:v>342052</c:v>
                </c:pt>
                <c:pt idx="8">
                  <c:v>405695</c:v>
                </c:pt>
                <c:pt idx="9">
                  <c:v>440411</c:v>
                </c:pt>
                <c:pt idx="10">
                  <c:v>534934</c:v>
                </c:pt>
                <c:pt idx="11">
                  <c:v>527391</c:v>
                </c:pt>
                <c:pt idx="12">
                  <c:v>595371</c:v>
                </c:pt>
                <c:pt idx="13">
                  <c:v>565239</c:v>
                </c:pt>
                <c:pt idx="14">
                  <c:v>670126</c:v>
                </c:pt>
                <c:pt idx="15">
                  <c:v>613563</c:v>
                </c:pt>
                <c:pt idx="16">
                  <c:v>647724</c:v>
                </c:pt>
                <c:pt idx="17">
                  <c:v>659405</c:v>
                </c:pt>
                <c:pt idx="18">
                  <c:v>739044</c:v>
                </c:pt>
                <c:pt idx="19">
                  <c:v>674763</c:v>
                </c:pt>
                <c:pt idx="20">
                  <c:v>711194</c:v>
                </c:pt>
                <c:pt idx="21">
                  <c:v>691806</c:v>
                </c:pt>
                <c:pt idx="22">
                  <c:v>833068</c:v>
                </c:pt>
                <c:pt idx="23">
                  <c:v>709538</c:v>
                </c:pt>
                <c:pt idx="24">
                  <c:v>724508</c:v>
                </c:pt>
                <c:pt idx="25">
                  <c:v>752307</c:v>
                </c:pt>
                <c:pt idx="26">
                  <c:v>923206</c:v>
                </c:pt>
                <c:pt idx="27">
                  <c:v>739612</c:v>
                </c:pt>
                <c:pt idx="28">
                  <c:v>818031</c:v>
                </c:pt>
                <c:pt idx="29">
                  <c:v>829459</c:v>
                </c:pt>
              </c:numCache>
            </c:numRef>
          </c:val>
          <c:extLst>
            <c:ext xmlns:c16="http://schemas.microsoft.com/office/drawing/2014/chart" uri="{C3380CC4-5D6E-409C-BE32-E72D297353CC}">
              <c16:uniqueId val="{00000000-96BB-4808-9D8C-B16138F17B40}"/>
            </c:ext>
          </c:extLst>
        </c:ser>
        <c:dLbls>
          <c:showLegendKey val="0"/>
          <c:showVal val="0"/>
          <c:showCatName val="0"/>
          <c:showSerName val="0"/>
          <c:showPercent val="0"/>
          <c:showBubbleSize val="0"/>
        </c:dLbls>
        <c:gapWidth val="219"/>
        <c:overlap val="-27"/>
        <c:axId val="1774765376"/>
        <c:axId val="66682896"/>
      </c:barChart>
      <c:lineChart>
        <c:grouping val="standard"/>
        <c:varyColors val="0"/>
        <c:ser>
          <c:idx val="1"/>
          <c:order val="1"/>
          <c:tx>
            <c:strRef>
              <c:f>Charts!$C$29</c:f>
              <c:strCache>
                <c:ptCount val="1"/>
                <c:pt idx="0">
                  <c:v>Billings Y/Y Growth</c:v>
                </c:pt>
              </c:strCache>
            </c:strRef>
          </c:tx>
          <c:spPr>
            <a:ln w="28575" cap="rnd">
              <a:solidFill>
                <a:srgbClr val="00B050"/>
              </a:solidFill>
              <a:round/>
            </a:ln>
            <a:effectLst/>
          </c:spPr>
          <c:marker>
            <c:symbol val="none"/>
          </c:marker>
          <c:cat>
            <c:strRef>
              <c:f>Charts!$E$27:$AH$27</c:f>
              <c:strCache>
                <c:ptCount val="30"/>
                <c:pt idx="0">
                  <c:v>2Q19</c:v>
                </c:pt>
                <c:pt idx="1">
                  <c:v>3Q19</c:v>
                </c:pt>
                <c:pt idx="2">
                  <c:v>4Q19</c:v>
                </c:pt>
                <c:pt idx="3">
                  <c:v>1Q20</c:v>
                </c:pt>
                <c:pt idx="4">
                  <c:v>2Q20</c:v>
                </c:pt>
                <c:pt idx="5">
                  <c:v>3Q20</c:v>
                </c:pt>
                <c:pt idx="6">
                  <c:v>4Q20</c:v>
                </c:pt>
                <c:pt idx="7">
                  <c:v>1Q21</c:v>
                </c:pt>
                <c:pt idx="8">
                  <c:v>2Q21</c:v>
                </c:pt>
                <c:pt idx="9">
                  <c:v>3Q21</c:v>
                </c:pt>
                <c:pt idx="10">
                  <c:v>4Q21</c:v>
                </c:pt>
                <c:pt idx="11">
                  <c:v>1Q22</c:v>
                </c:pt>
                <c:pt idx="12">
                  <c:v>2Q22</c:v>
                </c:pt>
                <c:pt idx="13">
                  <c:v>3Q22</c:v>
                </c:pt>
                <c:pt idx="14">
                  <c:v>4Q22</c:v>
                </c:pt>
                <c:pt idx="15">
                  <c:v>1Q23</c:v>
                </c:pt>
                <c:pt idx="16">
                  <c:v>2Q23</c:v>
                </c:pt>
                <c:pt idx="17">
                  <c:v>3Q23</c:v>
                </c:pt>
                <c:pt idx="18">
                  <c:v>4Q23</c:v>
                </c:pt>
                <c:pt idx="19">
                  <c:v>1Q24</c:v>
                </c:pt>
                <c:pt idx="20">
                  <c:v>2Q24</c:v>
                </c:pt>
                <c:pt idx="21">
                  <c:v>3Q24</c:v>
                </c:pt>
                <c:pt idx="22">
                  <c:v>4Q24</c:v>
                </c:pt>
                <c:pt idx="23">
                  <c:v>1Q25</c:v>
                </c:pt>
                <c:pt idx="24">
                  <c:v>2Q25</c:v>
                </c:pt>
                <c:pt idx="25">
                  <c:v>3Q25</c:v>
                </c:pt>
                <c:pt idx="26">
                  <c:v>4Q25</c:v>
                </c:pt>
                <c:pt idx="27">
                  <c:v>1Q26</c:v>
                </c:pt>
                <c:pt idx="28">
                  <c:v>2Q26</c:v>
                </c:pt>
                <c:pt idx="29">
                  <c:v>3Q26</c:v>
                </c:pt>
              </c:strCache>
            </c:strRef>
          </c:cat>
          <c:val>
            <c:numRef>
              <c:f>Charts!$E$29:$AH$29</c:f>
              <c:numCache>
                <c:formatCode>0%</c:formatCode>
                <c:ptCount val="30"/>
                <c:pt idx="0">
                  <c:v>0.32345773917054244</c:v>
                </c:pt>
                <c:pt idx="1">
                  <c:v>0.39697861321027639</c:v>
                </c:pt>
                <c:pt idx="2">
                  <c:v>0.30679418210798959</c:v>
                </c:pt>
                <c:pt idx="3">
                  <c:v>0.27285700750846775</c:v>
                </c:pt>
                <c:pt idx="4">
                  <c:v>0.465851930158804</c:v>
                </c:pt>
                <c:pt idx="5">
                  <c:v>0.36071096654275103</c:v>
                </c:pt>
                <c:pt idx="6">
                  <c:v>0.3985828200280539</c:v>
                </c:pt>
                <c:pt idx="7">
                  <c:v>0.59127259193784742</c:v>
                </c:pt>
                <c:pt idx="8">
                  <c:v>0.60757873547732633</c:v>
                </c:pt>
                <c:pt idx="9">
                  <c:v>0.63479077502143655</c:v>
                </c:pt>
                <c:pt idx="10">
                  <c:v>0.45789965687436807</c:v>
                </c:pt>
                <c:pt idx="11">
                  <c:v>0.54184451486908425</c:v>
                </c:pt>
                <c:pt idx="12">
                  <c:v>0.46753349190894644</c:v>
                </c:pt>
                <c:pt idx="13">
                  <c:v>0.28343524571366285</c:v>
                </c:pt>
                <c:pt idx="14">
                  <c:v>0.25272650457813484</c:v>
                </c:pt>
                <c:pt idx="15">
                  <c:v>0.16339300443124749</c:v>
                </c:pt>
                <c:pt idx="16">
                  <c:v>8.7933406229057098E-2</c:v>
                </c:pt>
                <c:pt idx="17">
                  <c:v>0.16659501555978973</c:v>
                </c:pt>
                <c:pt idx="18">
                  <c:v>0.10284334587823785</c:v>
                </c:pt>
                <c:pt idx="19">
                  <c:v>9.9745258433119321E-2</c:v>
                </c:pt>
                <c:pt idx="20">
                  <c:v>9.7989267033489647E-2</c:v>
                </c:pt>
                <c:pt idx="21">
                  <c:v>4.9136721741570133E-2</c:v>
                </c:pt>
                <c:pt idx="22">
                  <c:v>0.12722381887952539</c:v>
                </c:pt>
                <c:pt idx="23">
                  <c:v>5.1536613596181224E-2</c:v>
                </c:pt>
                <c:pt idx="24">
                  <c:v>1.8720630376521719E-2</c:v>
                </c:pt>
                <c:pt idx="25">
                  <c:v>8.7453708120484697E-2</c:v>
                </c:pt>
                <c:pt idx="26">
                  <c:v>0.10820005089620532</c:v>
                </c:pt>
                <c:pt idx="27">
                  <c:v>4.2385326790108424E-2</c:v>
                </c:pt>
                <c:pt idx="28">
                  <c:v>0.12908484102314954</c:v>
                </c:pt>
                <c:pt idx="29">
                  <c:v>0.10255387760581791</c:v>
                </c:pt>
              </c:numCache>
            </c:numRef>
          </c:val>
          <c:smooth val="0"/>
          <c:extLst>
            <c:ext xmlns:c16="http://schemas.microsoft.com/office/drawing/2014/chart" uri="{C3380CC4-5D6E-409C-BE32-E72D297353CC}">
              <c16:uniqueId val="{00000001-96BB-4808-9D8C-B16138F17B40}"/>
            </c:ext>
          </c:extLst>
        </c:ser>
        <c:dLbls>
          <c:showLegendKey val="0"/>
          <c:showVal val="0"/>
          <c:showCatName val="0"/>
          <c:showSerName val="0"/>
          <c:showPercent val="0"/>
          <c:showBubbleSize val="0"/>
        </c:dLbls>
        <c:marker val="1"/>
        <c:smooth val="0"/>
        <c:axId val="1774766576"/>
        <c:axId val="66690800"/>
      </c:lineChart>
      <c:catAx>
        <c:axId val="177476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2896"/>
        <c:crosses val="autoZero"/>
        <c:auto val="1"/>
        <c:lblAlgn val="ctr"/>
        <c:lblOffset val="100"/>
        <c:noMultiLvlLbl val="0"/>
      </c:catAx>
      <c:valAx>
        <c:axId val="666828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765376"/>
        <c:crosses val="autoZero"/>
        <c:crossBetween val="between"/>
      </c:valAx>
      <c:valAx>
        <c:axId val="6669080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766576"/>
        <c:crosses val="max"/>
        <c:crossBetween val="between"/>
      </c:valAx>
      <c:catAx>
        <c:axId val="1774766576"/>
        <c:scaling>
          <c:orientation val="minMax"/>
        </c:scaling>
        <c:delete val="1"/>
        <c:axPos val="b"/>
        <c:numFmt formatCode="General" sourceLinked="1"/>
        <c:majorTickMark val="none"/>
        <c:minorTickMark val="none"/>
        <c:tickLblPos val="nextTo"/>
        <c:crossAx val="666908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'IOC Charts'!$B$2</c:f>
              <c:strCache>
                <c:ptCount val="1"/>
                <c:pt idx="0">
                  <c:v>Domain-Based Customers</c:v>
                </c:pt>
              </c:strCache>
            </c:strRef>
          </c:tx>
          <c:spPr>
            <a:solidFill>
              <a:schemeClr val="accent1"/>
            </a:solidFill>
            <a:ln>
              <a:noFill/>
            </a:ln>
            <a:effectLst/>
          </c:spPr>
          <c:invertIfNegative val="0"/>
          <c:cat>
            <c:strRef>
              <c:f>'IOC Charts'!$C$1:$M$1</c:f>
              <c:strCache>
                <c:ptCount val="11"/>
                <c:pt idx="0">
                  <c:v>4Q16</c:v>
                </c:pt>
                <c:pt idx="1">
                  <c:v>1Q17</c:v>
                </c:pt>
                <c:pt idx="2">
                  <c:v>2Q17</c:v>
                </c:pt>
                <c:pt idx="3">
                  <c:v>3Q17</c:v>
                </c:pt>
                <c:pt idx="4">
                  <c:v>4Q17</c:v>
                </c:pt>
                <c:pt idx="5">
                  <c:v>1Q18</c:v>
                </c:pt>
                <c:pt idx="6">
                  <c:v>2Q18</c:v>
                </c:pt>
                <c:pt idx="7">
                  <c:v>3Q18</c:v>
                </c:pt>
                <c:pt idx="8">
                  <c:v>4Q18</c:v>
                </c:pt>
                <c:pt idx="9">
                  <c:v>1Q19</c:v>
                </c:pt>
                <c:pt idx="10">
                  <c:v>2Q19</c:v>
                </c:pt>
              </c:strCache>
            </c:strRef>
          </c:cat>
          <c:val>
            <c:numRef>
              <c:f>'IOC Charts'!$C$2:$M$2</c:f>
              <c:numCache>
                <c:formatCode>#,##0</c:formatCode>
                <c:ptCount val="11"/>
                <c:pt idx="0">
                  <c:v>0</c:v>
                </c:pt>
                <c:pt idx="1">
                  <c:v>0</c:v>
                </c:pt>
                <c:pt idx="2">
                  <c:v>0</c:v>
                </c:pt>
                <c:pt idx="3">
                  <c:v>0</c:v>
                </c:pt>
                <c:pt idx="4">
                  <c:v>0</c:v>
                </c:pt>
                <c:pt idx="5">
                  <c:v>315000</c:v>
                </c:pt>
                <c:pt idx="6">
                  <c:v>335000</c:v>
                </c:pt>
                <c:pt idx="7">
                  <c:v>354000</c:v>
                </c:pt>
                <c:pt idx="8">
                  <c:v>373000</c:v>
                </c:pt>
                <c:pt idx="9">
                  <c:v>405000</c:v>
                </c:pt>
                <c:pt idx="10">
                  <c:v>429000</c:v>
                </c:pt>
              </c:numCache>
            </c:numRef>
          </c:val>
          <c:extLst>
            <c:ext xmlns:c16="http://schemas.microsoft.com/office/drawing/2014/chart" uri="{C3380CC4-5D6E-409C-BE32-E72D297353CC}">
              <c16:uniqueId val="{00000000-AE89-478B-95B2-264A63CD6D24}"/>
            </c:ext>
          </c:extLst>
        </c:ser>
        <c:dLbls>
          <c:showLegendKey val="0"/>
          <c:showVal val="0"/>
          <c:showCatName val="0"/>
          <c:showSerName val="0"/>
          <c:showPercent val="0"/>
          <c:showBubbleSize val="0"/>
        </c:dLbls>
        <c:gapWidth val="219"/>
        <c:axId val="-321074256"/>
        <c:axId val="-321073712"/>
      </c:barChart>
      <c:lineChart>
        <c:grouping val="standard"/>
        <c:varyColors val="0"/>
        <c:ser>
          <c:idx val="1"/>
          <c:order val="1"/>
          <c:tx>
            <c:strRef>
              <c:f>'IOC Charts'!$B$3</c:f>
              <c:strCache>
                <c:ptCount val="1"/>
                <c:pt idx="0">
                  <c:v>Y/Y Growth 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'IOC Charts'!$C$1:$M$1</c:f>
              <c:strCache>
                <c:ptCount val="11"/>
                <c:pt idx="0">
                  <c:v>4Q16</c:v>
                </c:pt>
                <c:pt idx="1">
                  <c:v>1Q17</c:v>
                </c:pt>
                <c:pt idx="2">
                  <c:v>2Q17</c:v>
                </c:pt>
                <c:pt idx="3">
                  <c:v>3Q17</c:v>
                </c:pt>
                <c:pt idx="4">
                  <c:v>4Q17</c:v>
                </c:pt>
                <c:pt idx="5">
                  <c:v>1Q18</c:v>
                </c:pt>
                <c:pt idx="6">
                  <c:v>2Q18</c:v>
                </c:pt>
                <c:pt idx="7">
                  <c:v>3Q18</c:v>
                </c:pt>
                <c:pt idx="8">
                  <c:v>4Q18</c:v>
                </c:pt>
                <c:pt idx="9">
                  <c:v>1Q19</c:v>
                </c:pt>
                <c:pt idx="10">
                  <c:v>2Q19</c:v>
                </c:pt>
              </c:strCache>
            </c:strRef>
          </c:cat>
          <c:val>
            <c:numRef>
              <c:f>'IOC Charts'!$C$3:$M$3</c:f>
              <c:numCache>
                <c:formatCode>General</c:formatCode>
                <c:ptCount val="11"/>
                <c:pt idx="4" formatCode="0.0%">
                  <c:v>0</c:v>
                </c:pt>
                <c:pt idx="5" formatCode="0.0%">
                  <c:v>0</c:v>
                </c:pt>
                <c:pt idx="6" formatCode="0.0%">
                  <c:v>0</c:v>
                </c:pt>
                <c:pt idx="7" formatCode="0.0%">
                  <c:v>0</c:v>
                </c:pt>
                <c:pt idx="8" formatCode="0.0%">
                  <c:v>0</c:v>
                </c:pt>
                <c:pt idx="9" formatCode="0.0%">
                  <c:v>0.28571428571428581</c:v>
                </c:pt>
                <c:pt idx="10" formatCode="0.0%">
                  <c:v>0.28059701492537314</c:v>
                </c:pt>
              </c:numCache>
            </c:numRef>
          </c:val>
          <c:smooth val="0"/>
          <c:extLst>
            <c:ext xmlns:c16="http://schemas.microsoft.com/office/drawing/2014/chart" uri="{C3380CC4-5D6E-409C-BE32-E72D297353CC}">
              <c16:uniqueId val="{00000001-AE89-478B-95B2-264A63CD6D24}"/>
            </c:ext>
          </c:extLst>
        </c:ser>
        <c:dLbls>
          <c:showLegendKey val="0"/>
          <c:showVal val="0"/>
          <c:showCatName val="0"/>
          <c:showSerName val="0"/>
          <c:showPercent val="0"/>
          <c:showBubbleSize val="0"/>
        </c:dLbls>
        <c:marker val="1"/>
        <c:smooth val="0"/>
        <c:axId val="-321070448"/>
        <c:axId val="-321072624"/>
      </c:lineChart>
      <c:catAx>
        <c:axId val="-3210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73712"/>
        <c:crosses val="autoZero"/>
        <c:auto val="1"/>
        <c:lblAlgn val="ctr"/>
        <c:lblOffset val="100"/>
        <c:noMultiLvlLbl val="0"/>
      </c:catAx>
      <c:valAx>
        <c:axId val="-321073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74256"/>
        <c:crosses val="autoZero"/>
        <c:crossBetween val="between"/>
      </c:valAx>
      <c:valAx>
        <c:axId val="-3210726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70448"/>
        <c:crosses val="max"/>
        <c:crossBetween val="between"/>
      </c:valAx>
      <c:catAx>
        <c:axId val="-321070448"/>
        <c:scaling>
          <c:orientation val="minMax"/>
        </c:scaling>
        <c:delete val="1"/>
        <c:axPos val="b"/>
        <c:numFmt formatCode="General" sourceLinked="1"/>
        <c:majorTickMark val="out"/>
        <c:minorTickMark val="none"/>
        <c:tickLblPos val="nextTo"/>
        <c:crossAx val="-3210726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'IOC Charts'!$B$71</c:f>
              <c:strCache>
                <c:ptCount val="1"/>
                <c:pt idx="0">
                  <c:v>Revenues (MM)</c:v>
                </c:pt>
              </c:strCache>
            </c:strRef>
          </c:tx>
          <c:spPr>
            <a:solidFill>
              <a:srgbClr val="0156FF"/>
            </a:solidFill>
            <a:ln>
              <a:solidFill>
                <a:schemeClr val="accent1"/>
              </a:solidFill>
            </a:ln>
          </c:spPr>
          <c:invertIfNegative val="0"/>
          <c:dPt>
            <c:idx val="3"/>
            <c:invertIfNegative val="0"/>
            <c:bubble3D val="0"/>
            <c:extLst>
              <c:ext xmlns:c16="http://schemas.microsoft.com/office/drawing/2014/chart" uri="{C3380CC4-5D6E-409C-BE32-E72D297353CC}">
                <c16:uniqueId val="{00000000-A239-4FA6-B195-6A8D1676CBE7}"/>
              </c:ext>
            </c:extLst>
          </c:dPt>
          <c:dPt>
            <c:idx val="4"/>
            <c:invertIfNegative val="0"/>
            <c:bubble3D val="0"/>
            <c:spPr>
              <a:solidFill>
                <a:srgbClr val="00B050"/>
              </a:solidFill>
              <a:ln>
                <a:solidFill>
                  <a:schemeClr val="accent1"/>
                </a:solidFill>
              </a:ln>
            </c:spPr>
            <c:extLst>
              <c:ext xmlns:c16="http://schemas.microsoft.com/office/drawing/2014/chart" uri="{C3380CC4-5D6E-409C-BE32-E72D297353CC}">
                <c16:uniqueId val="{00000002-A239-4FA6-B195-6A8D1676CBE7}"/>
              </c:ext>
            </c:extLst>
          </c:dPt>
          <c:dPt>
            <c:idx val="5"/>
            <c:invertIfNegative val="0"/>
            <c:bubble3D val="0"/>
            <c:spPr>
              <a:solidFill>
                <a:srgbClr val="00B050"/>
              </a:solidFill>
              <a:ln>
                <a:solidFill>
                  <a:schemeClr val="accent1"/>
                </a:solidFill>
              </a:ln>
            </c:spPr>
            <c:extLst>
              <c:ext xmlns:c16="http://schemas.microsoft.com/office/drawing/2014/chart" uri="{C3380CC4-5D6E-409C-BE32-E72D297353CC}">
                <c16:uniqueId val="{00000004-A239-4FA6-B195-6A8D1676CBE7}"/>
              </c:ext>
            </c:extLst>
          </c:dPt>
          <c:cat>
            <c:strRef>
              <c:f>'IOC Charts'!$C$70:$H$70</c:f>
              <c:strCache>
                <c:ptCount val="6"/>
                <c:pt idx="0">
                  <c:v>FY17</c:v>
                </c:pt>
                <c:pt idx="1">
                  <c:v>FY18</c:v>
                </c:pt>
                <c:pt idx="2">
                  <c:v>FY19</c:v>
                </c:pt>
                <c:pt idx="3">
                  <c:v>FY20</c:v>
                </c:pt>
                <c:pt idx="4">
                  <c:v>FY21</c:v>
                </c:pt>
                <c:pt idx="5">
                  <c:v>FY22E</c:v>
                </c:pt>
              </c:strCache>
            </c:strRef>
          </c:cat>
          <c:val>
            <c:numRef>
              <c:f>'IOC Charts'!$C$71:$H$71</c:f>
              <c:numCache>
                <c:formatCode>_("$"* #,##0_);_("$"* \(#,##0\);_("$"* "-"??_);_(@_)</c:formatCode>
                <c:ptCount val="6"/>
                <c:pt idx="0">
                  <c:v>381459</c:v>
                </c:pt>
                <c:pt idx="1">
                  <c:v>518504</c:v>
                </c:pt>
                <c:pt idx="2">
                  <c:v>700969</c:v>
                </c:pt>
                <c:pt idx="3">
                  <c:v>973971</c:v>
                </c:pt>
                <c:pt idx="4">
                  <c:v>1453047</c:v>
                </c:pt>
                <c:pt idx="5">
                  <c:v>2107213</c:v>
                </c:pt>
              </c:numCache>
            </c:numRef>
          </c:val>
          <c:extLst>
            <c:ext xmlns:c16="http://schemas.microsoft.com/office/drawing/2014/chart" uri="{C3380CC4-5D6E-409C-BE32-E72D297353CC}">
              <c16:uniqueId val="{00000005-A239-4FA6-B195-6A8D1676CBE7}"/>
            </c:ext>
          </c:extLst>
        </c:ser>
        <c:dLbls>
          <c:showLegendKey val="0"/>
          <c:showVal val="0"/>
          <c:showCatName val="0"/>
          <c:showSerName val="0"/>
          <c:showPercent val="0"/>
          <c:showBubbleSize val="0"/>
        </c:dLbls>
        <c:gapWidth val="150"/>
        <c:overlap val="-10"/>
        <c:axId val="-321069904"/>
        <c:axId val="-321024752"/>
      </c:barChart>
      <c:lineChart>
        <c:grouping val="stacked"/>
        <c:varyColors val="0"/>
        <c:ser>
          <c:idx val="1"/>
          <c:order val="1"/>
          <c:tx>
            <c:strRef>
              <c:f>'IOC Charts'!$B$72</c:f>
              <c:strCache>
                <c:ptCount val="1"/>
                <c:pt idx="0">
                  <c:v>Operating Margins</c:v>
                </c:pt>
              </c:strCache>
            </c:strRef>
          </c:tx>
          <c:spPr>
            <a:ln>
              <a:solidFill>
                <a:srgbClr val="FF0000"/>
              </a:solidFill>
            </a:ln>
          </c:spPr>
          <c:marker>
            <c:symbol val="circle"/>
            <c:size val="7"/>
            <c:spPr>
              <a:solidFill>
                <a:schemeClr val="accent1">
                  <a:lumMod val="60000"/>
                  <a:lumOff val="40000"/>
                </a:schemeClr>
              </a:solidFill>
            </c:spPr>
          </c:marker>
          <c:cat>
            <c:strRef>
              <c:f>'IOC Charts'!$C$70:$H$70</c:f>
              <c:strCache>
                <c:ptCount val="6"/>
                <c:pt idx="0">
                  <c:v>FY17</c:v>
                </c:pt>
                <c:pt idx="1">
                  <c:v>FY18</c:v>
                </c:pt>
                <c:pt idx="2">
                  <c:v>FY19</c:v>
                </c:pt>
                <c:pt idx="3">
                  <c:v>FY20</c:v>
                </c:pt>
                <c:pt idx="4">
                  <c:v>FY21</c:v>
                </c:pt>
                <c:pt idx="5">
                  <c:v>FY22E</c:v>
                </c:pt>
              </c:strCache>
            </c:strRef>
          </c:cat>
          <c:val>
            <c:numRef>
              <c:f>'IOC Charts'!$C$72:$H$72</c:f>
              <c:numCache>
                <c:formatCode>0.0%</c:formatCode>
                <c:ptCount val="6"/>
                <c:pt idx="0">
                  <c:v>-0.18363441418343779</c:v>
                </c:pt>
                <c:pt idx="1">
                  <c:v>-2.2879283477080216E-2</c:v>
                </c:pt>
                <c:pt idx="2">
                  <c:v>2.1658589752185903E-2</c:v>
                </c:pt>
                <c:pt idx="3">
                  <c:v>4.8596929477366373E-2</c:v>
                </c:pt>
                <c:pt idx="4">
                  <c:v>0.12432082375862584</c:v>
                </c:pt>
                <c:pt idx="5">
                  <c:v>0.19881189039741118</c:v>
                </c:pt>
              </c:numCache>
            </c:numRef>
          </c:val>
          <c:smooth val="0"/>
          <c:extLst>
            <c:ext xmlns:c16="http://schemas.microsoft.com/office/drawing/2014/chart" uri="{C3380CC4-5D6E-409C-BE32-E72D297353CC}">
              <c16:uniqueId val="{00000006-A239-4FA6-B195-6A8D1676CBE7}"/>
            </c:ext>
          </c:extLst>
        </c:ser>
        <c:dLbls>
          <c:showLegendKey val="0"/>
          <c:showVal val="0"/>
          <c:showCatName val="0"/>
          <c:showSerName val="0"/>
          <c:showPercent val="0"/>
          <c:showBubbleSize val="0"/>
        </c:dLbls>
        <c:marker val="1"/>
        <c:smooth val="0"/>
        <c:axId val="-321038352"/>
        <c:axId val="-321035088"/>
      </c:lineChart>
      <c:catAx>
        <c:axId val="-321069904"/>
        <c:scaling>
          <c:orientation val="minMax"/>
        </c:scaling>
        <c:delete val="0"/>
        <c:axPos val="b"/>
        <c:numFmt formatCode="General" sourceLinked="1"/>
        <c:majorTickMark val="out"/>
        <c:minorTickMark val="none"/>
        <c:tickLblPos val="nextTo"/>
        <c:crossAx val="-321024752"/>
        <c:crosses val="autoZero"/>
        <c:auto val="1"/>
        <c:lblAlgn val="ctr"/>
        <c:lblOffset val="100"/>
        <c:noMultiLvlLbl val="0"/>
      </c:catAx>
      <c:valAx>
        <c:axId val="-321024752"/>
        <c:scaling>
          <c:orientation val="minMax"/>
          <c:min val="5000"/>
        </c:scaling>
        <c:delete val="0"/>
        <c:axPos val="l"/>
        <c:numFmt formatCode="_(&quot;$&quot;* #,##0_);_(&quot;$&quot;* \(#,##0\);_(&quot;$&quot;* &quot;-&quot;??_);_(@_)" sourceLinked="1"/>
        <c:majorTickMark val="out"/>
        <c:minorTickMark val="none"/>
        <c:tickLblPos val="nextTo"/>
        <c:crossAx val="-321069904"/>
        <c:crosses val="autoZero"/>
        <c:crossBetween val="between"/>
      </c:valAx>
      <c:catAx>
        <c:axId val="-321038352"/>
        <c:scaling>
          <c:orientation val="minMax"/>
        </c:scaling>
        <c:delete val="1"/>
        <c:axPos val="b"/>
        <c:numFmt formatCode="General" sourceLinked="1"/>
        <c:majorTickMark val="out"/>
        <c:minorTickMark val="none"/>
        <c:tickLblPos val="nextTo"/>
        <c:crossAx val="-321035088"/>
        <c:crosses val="autoZero"/>
        <c:auto val="1"/>
        <c:lblAlgn val="ctr"/>
        <c:lblOffset val="100"/>
        <c:noMultiLvlLbl val="0"/>
      </c:catAx>
      <c:valAx>
        <c:axId val="-321035088"/>
        <c:scaling>
          <c:orientation val="minMax"/>
        </c:scaling>
        <c:delete val="0"/>
        <c:axPos val="r"/>
        <c:numFmt formatCode="0.0%" sourceLinked="1"/>
        <c:majorTickMark val="out"/>
        <c:minorTickMark val="none"/>
        <c:tickLblPos val="nextTo"/>
        <c:crossAx val="-321038352"/>
        <c:crosses val="max"/>
        <c:crossBetween val="between"/>
      </c:valAx>
    </c:plotArea>
    <c:legend>
      <c:legendPos val="t"/>
      <c:overlay val="0"/>
    </c:legend>
    <c:plotVisOnly val="1"/>
    <c:dispBlanksAs val="gap"/>
    <c:showDLblsOverMax val="0"/>
  </c:chart>
  <c:spPr>
    <a:ln>
      <a:noFill/>
    </a:ln>
  </c:sp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'IOC Charts'!$K$49</c:f>
              <c:strCache>
                <c:ptCount val="1"/>
                <c:pt idx="0">
                  <c:v>United States</c:v>
                </c:pt>
              </c:strCache>
            </c:strRef>
          </c:tx>
          <c:spPr>
            <a:solidFill>
              <a:schemeClr val="accent6"/>
            </a:solidFill>
            <a:ln w="19050">
              <a:solidFill>
                <a:schemeClr val="lt1"/>
              </a:solidFill>
            </a:ln>
            <a:effectLst/>
          </c:spPr>
          <c:invertIfNegative val="0"/>
          <c:dPt>
            <c:idx val="0"/>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1-FDE1-4E90-A5F0-AA8640B1EE6B}"/>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3-FDE1-4E90-A5F0-AA8640B1EE6B}"/>
              </c:ext>
            </c:extLst>
          </c:dPt>
          <c:dPt>
            <c:idx val="2"/>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5-FDE1-4E90-A5F0-AA8640B1EE6B}"/>
              </c:ext>
            </c:extLst>
          </c:dPt>
          <c:dPt>
            <c:idx val="3"/>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7-FDE1-4E90-A5F0-AA8640B1EE6B}"/>
              </c:ext>
            </c:extLst>
          </c:dPt>
          <c:dPt>
            <c:idx val="4"/>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9-FDE1-4E90-A5F0-AA8640B1EE6B}"/>
              </c:ext>
            </c:extLst>
          </c:dPt>
          <c:dLbls>
            <c:dLbl>
              <c:idx val="0"/>
              <c:tx>
                <c:rich>
                  <a:bodyPr/>
                  <a:lstStyle/>
                  <a:p>
                    <a:r>
                      <a:rPr lang="en-US"/>
                      <a:t>$5.45B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DE1-4E90-A5F0-AA8640B1EE6B}"/>
                </c:ext>
              </c:extLst>
            </c:dLbl>
            <c:dLbl>
              <c:idx val="1"/>
              <c:tx>
                <c:rich>
                  <a:bodyPr/>
                  <a:lstStyle/>
                  <a:p>
                    <a:r>
                      <a:rPr lang="en-US"/>
                      <a:t>$10.23B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DE1-4E90-A5F0-AA8640B1EE6B}"/>
                </c:ext>
              </c:extLst>
            </c:dLbl>
            <c:dLbl>
              <c:idx val="2"/>
              <c:tx>
                <c:rich>
                  <a:bodyPr/>
                  <a:lstStyle/>
                  <a:p>
                    <a:r>
                      <a:rPr lang="en-US"/>
                      <a:t>$120mm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DE1-4E90-A5F0-AA8640B1EE6B}"/>
                </c:ext>
              </c:extLst>
            </c:dLbl>
            <c:dLbl>
              <c:idx val="3"/>
              <c:tx>
                <c:rich>
                  <a:bodyPr/>
                  <a:lstStyle/>
                  <a:p>
                    <a:r>
                      <a:rPr lang="en-US"/>
                      <a:t>$277mm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DE1-4E90-A5F0-AA8640B1EE6B}"/>
                </c:ext>
              </c:extLst>
            </c:dLbl>
            <c:dLbl>
              <c:idx val="4"/>
              <c:tx>
                <c:rich>
                  <a:bodyPr/>
                  <a:lstStyle/>
                  <a:p>
                    <a:r>
                      <a:rPr lang="en-US"/>
                      <a:t>$3.22B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DE1-4E90-A5F0-AA8640B1EE6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'IOC Charts'!$L$49</c:f>
              <c:numCache>
                <c:formatCode>General</c:formatCode>
                <c:ptCount val="1"/>
                <c:pt idx="0">
                  <c:v>5.45</c:v>
                </c:pt>
              </c:numCache>
            </c:numRef>
          </c:val>
          <c:extLst>
            <c:ext xmlns:c16="http://schemas.microsoft.com/office/drawing/2014/chart" uri="{C3380CC4-5D6E-409C-BE32-E72D297353CC}">
              <c16:uniqueId val="{0000000A-FDE1-4E90-A5F0-AA8640B1EE6B}"/>
            </c:ext>
          </c:extLst>
        </c:ser>
        <c:ser>
          <c:idx val="1"/>
          <c:order val="1"/>
          <c:tx>
            <c:strRef>
              <c:f>'IOC Charts'!$K$50</c:f>
              <c:strCache>
                <c:ptCount val="1"/>
                <c:pt idx="0">
                  <c:v>EU &amp; UK</c:v>
                </c:pt>
              </c:strCache>
            </c:strRef>
          </c:tx>
          <c:spPr>
            <a:solidFill>
              <a:schemeClr val="accent5"/>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'IOC Charts'!$L$50</c:f>
              <c:numCache>
                <c:formatCode>General</c:formatCode>
                <c:ptCount val="1"/>
                <c:pt idx="0">
                  <c:v>10.23</c:v>
                </c:pt>
              </c:numCache>
            </c:numRef>
          </c:val>
          <c:extLst>
            <c:ext xmlns:c16="http://schemas.microsoft.com/office/drawing/2014/chart" uri="{C3380CC4-5D6E-409C-BE32-E72D297353CC}">
              <c16:uniqueId val="{0000000B-FDE1-4E90-A5F0-AA8640B1EE6B}"/>
            </c:ext>
          </c:extLst>
        </c:ser>
        <c:ser>
          <c:idx val="2"/>
          <c:order val="2"/>
          <c:tx>
            <c:strRef>
              <c:f>'IOC Charts'!$K$51</c:f>
              <c:strCache>
                <c:ptCount val="1"/>
                <c:pt idx="0">
                  <c:v>New Zeland</c:v>
                </c:pt>
              </c:strCache>
            </c:strRef>
          </c:tx>
          <c:spPr>
            <a:solidFill>
              <a:schemeClr val="accent4"/>
            </a:solidFill>
            <a:ln w="19050">
              <a:solidFill>
                <a:schemeClr val="lt1"/>
              </a:solidFill>
            </a:ln>
            <a:effectLst/>
          </c:spPr>
          <c:invertIfNegative val="0"/>
          <c:val>
            <c:numRef>
              <c:f>'IOC Charts'!$L$51</c:f>
              <c:numCache>
                <c:formatCode>General</c:formatCode>
                <c:ptCount val="1"/>
                <c:pt idx="0">
                  <c:v>0.12</c:v>
                </c:pt>
              </c:numCache>
            </c:numRef>
          </c:val>
          <c:extLst>
            <c:ext xmlns:c16="http://schemas.microsoft.com/office/drawing/2014/chart" uri="{C3380CC4-5D6E-409C-BE32-E72D297353CC}">
              <c16:uniqueId val="{0000000C-FDE1-4E90-A5F0-AA8640B1EE6B}"/>
            </c:ext>
          </c:extLst>
        </c:ser>
        <c:ser>
          <c:idx val="3"/>
          <c:order val="3"/>
          <c:tx>
            <c:strRef>
              <c:f>'IOC Charts'!$K$52</c:f>
              <c:strCache>
                <c:ptCount val="1"/>
                <c:pt idx="0">
                  <c:v>Austrialia</c:v>
                </c:pt>
              </c:strCache>
            </c:strRef>
          </c:tx>
          <c:spPr>
            <a:solidFill>
              <a:schemeClr val="accent6">
                <a:lumMod val="60000"/>
              </a:schemeClr>
            </a:solidFill>
            <a:ln w="19050">
              <a:solidFill>
                <a:schemeClr val="lt1"/>
              </a:solidFill>
            </a:ln>
            <a:effectLst/>
          </c:spPr>
          <c:invertIfNegative val="0"/>
          <c:val>
            <c:numRef>
              <c:f>'IOC Charts'!$L$52</c:f>
              <c:numCache>
                <c:formatCode>General</c:formatCode>
                <c:ptCount val="1"/>
                <c:pt idx="0">
                  <c:v>0.27700000000000002</c:v>
                </c:pt>
              </c:numCache>
            </c:numRef>
          </c:val>
          <c:extLst>
            <c:ext xmlns:c16="http://schemas.microsoft.com/office/drawing/2014/chart" uri="{C3380CC4-5D6E-409C-BE32-E72D297353CC}">
              <c16:uniqueId val="{0000000D-FDE1-4E90-A5F0-AA8640B1EE6B}"/>
            </c:ext>
          </c:extLst>
        </c:ser>
        <c:ser>
          <c:idx val="4"/>
          <c:order val="4"/>
          <c:tx>
            <c:strRef>
              <c:f>'IOC Charts'!$K$53</c:f>
              <c:strCache>
                <c:ptCount val="1"/>
                <c:pt idx="0">
                  <c:v>Brazil</c:v>
                </c:pt>
              </c:strCache>
            </c:strRef>
          </c:tx>
          <c:spPr>
            <a:solidFill>
              <a:schemeClr val="accent5">
                <a:lumMod val="60000"/>
              </a:schemeClr>
            </a:solidFill>
            <a:ln w="19050">
              <a:solidFill>
                <a:schemeClr val="lt1"/>
              </a:solidFill>
            </a:ln>
            <a:effectLst/>
          </c:spPr>
          <c:invertIfNegative val="0"/>
          <c:val>
            <c:numRef>
              <c:f>'IOC Charts'!$L$53</c:f>
              <c:numCache>
                <c:formatCode>General</c:formatCode>
                <c:ptCount val="1"/>
                <c:pt idx="0">
                  <c:v>3.22</c:v>
                </c:pt>
              </c:numCache>
            </c:numRef>
          </c:val>
          <c:extLst>
            <c:ext xmlns:c16="http://schemas.microsoft.com/office/drawing/2014/chart" uri="{C3380CC4-5D6E-409C-BE32-E72D297353CC}">
              <c16:uniqueId val="{0000000E-FDE1-4E90-A5F0-AA8640B1EE6B}"/>
            </c:ext>
          </c:extLst>
        </c:ser>
        <c:dLbls>
          <c:showLegendKey val="0"/>
          <c:showVal val="0"/>
          <c:showCatName val="0"/>
          <c:showSerName val="0"/>
          <c:showPercent val="0"/>
          <c:showBubbleSize val="0"/>
        </c:dLbls>
        <c:gapWidth val="100"/>
        <c:overlap val="100"/>
        <c:axId val="-321037808"/>
        <c:axId val="-321028560"/>
      </c:barChart>
      <c:catAx>
        <c:axId val="-321037808"/>
        <c:scaling>
          <c:orientation val="minMax"/>
        </c:scaling>
        <c:delete val="1"/>
        <c:axPos val="b"/>
        <c:majorTickMark val="out"/>
        <c:minorTickMark val="none"/>
        <c:tickLblPos val="nextTo"/>
        <c:crossAx val="-321028560"/>
        <c:crosses val="autoZero"/>
        <c:auto val="1"/>
        <c:lblAlgn val="ctr"/>
        <c:lblOffset val="100"/>
        <c:noMultiLvlLbl val="0"/>
      </c:catAx>
      <c:valAx>
        <c:axId val="-32102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37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dPt>
            <c:idx val="1"/>
            <c:invertIfNegative val="0"/>
            <c:bubble3D val="0"/>
            <c:spPr>
              <a:solidFill>
                <a:schemeClr val="bg1"/>
              </a:solidFill>
              <a:ln>
                <a:noFill/>
              </a:ln>
              <a:effectLst/>
            </c:spPr>
            <c:extLst>
              <c:ext xmlns:c16="http://schemas.microsoft.com/office/drawing/2014/chart" uri="{C3380CC4-5D6E-409C-BE32-E72D297353CC}">
                <c16:uniqueId val="{00000001-AD8F-441D-A7F7-82302340D0E1}"/>
              </c:ext>
            </c:extLst>
          </c:dPt>
          <c:dPt>
            <c:idx val="2"/>
            <c:invertIfNegative val="0"/>
            <c:bubble3D val="0"/>
            <c:spPr>
              <a:solidFill>
                <a:schemeClr val="bg1"/>
              </a:solidFill>
              <a:ln>
                <a:noFill/>
              </a:ln>
              <a:effectLst/>
            </c:spPr>
            <c:extLst>
              <c:ext xmlns:c16="http://schemas.microsoft.com/office/drawing/2014/chart" uri="{C3380CC4-5D6E-409C-BE32-E72D297353CC}">
                <c16:uniqueId val="{00000003-AD8F-441D-A7F7-82302340D0E1}"/>
              </c:ext>
            </c:extLst>
          </c:dPt>
          <c:dPt>
            <c:idx val="3"/>
            <c:invertIfNegative val="0"/>
            <c:bubble3D val="0"/>
            <c:spPr>
              <a:solidFill>
                <a:schemeClr val="bg1"/>
              </a:solidFill>
              <a:ln>
                <a:noFill/>
              </a:ln>
              <a:effectLst/>
            </c:spPr>
            <c:extLst>
              <c:ext xmlns:c16="http://schemas.microsoft.com/office/drawing/2014/chart" uri="{C3380CC4-5D6E-409C-BE32-E72D297353CC}">
                <c16:uniqueId val="{00000005-AD8F-441D-A7F7-82302340D0E1}"/>
              </c:ext>
            </c:extLst>
          </c:dPt>
          <c:dPt>
            <c:idx val="4"/>
            <c:invertIfNegative val="0"/>
            <c:bubble3D val="0"/>
            <c:spPr>
              <a:solidFill>
                <a:schemeClr val="bg1"/>
              </a:solidFill>
              <a:ln>
                <a:noFill/>
              </a:ln>
              <a:effectLst/>
            </c:spPr>
            <c:extLst>
              <c:ext xmlns:c16="http://schemas.microsoft.com/office/drawing/2014/chart" uri="{C3380CC4-5D6E-409C-BE32-E72D297353CC}">
                <c16:uniqueId val="{00000007-AD8F-441D-A7F7-82302340D0E1}"/>
              </c:ext>
            </c:extLst>
          </c:dPt>
          <c:dLbls>
            <c:dLbl>
              <c:idx val="0"/>
              <c:layout>
                <c:manualLayout>
                  <c:x val="-5.5555555555555558E-3"/>
                  <c:y val="-0.249999999999999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D8F-441D-A7F7-82302340D0E1}"/>
                </c:ext>
              </c:extLst>
            </c:dLbl>
            <c:dLbl>
              <c:idx val="1"/>
              <c:delete val="1"/>
              <c:extLst>
                <c:ext xmlns:c15="http://schemas.microsoft.com/office/drawing/2012/chart" uri="{CE6537A1-D6FC-4f65-9D91-7224C49458BB}"/>
                <c:ext xmlns:c16="http://schemas.microsoft.com/office/drawing/2014/chart" uri="{C3380CC4-5D6E-409C-BE32-E72D297353CC}">
                  <c16:uniqueId val="{00000001-AD8F-441D-A7F7-82302340D0E1}"/>
                </c:ext>
              </c:extLst>
            </c:dLbl>
            <c:dLbl>
              <c:idx val="2"/>
              <c:delete val="1"/>
              <c:extLst>
                <c:ext xmlns:c15="http://schemas.microsoft.com/office/drawing/2012/chart" uri="{CE6537A1-D6FC-4f65-9D91-7224C49458BB}"/>
                <c:ext xmlns:c16="http://schemas.microsoft.com/office/drawing/2014/chart" uri="{C3380CC4-5D6E-409C-BE32-E72D297353CC}">
                  <c16:uniqueId val="{00000003-AD8F-441D-A7F7-82302340D0E1}"/>
                </c:ext>
              </c:extLst>
            </c:dLbl>
            <c:dLbl>
              <c:idx val="3"/>
              <c:delete val="1"/>
              <c:extLst>
                <c:ext xmlns:c15="http://schemas.microsoft.com/office/drawing/2012/chart" uri="{CE6537A1-D6FC-4f65-9D91-7224C49458BB}"/>
                <c:ext xmlns:c16="http://schemas.microsoft.com/office/drawing/2014/chart" uri="{C3380CC4-5D6E-409C-BE32-E72D297353CC}">
                  <c16:uniqueId val="{00000005-AD8F-441D-A7F7-82302340D0E1}"/>
                </c:ext>
              </c:extLst>
            </c:dLbl>
            <c:dLbl>
              <c:idx val="4"/>
              <c:delete val="1"/>
              <c:extLst>
                <c:ext xmlns:c15="http://schemas.microsoft.com/office/drawing/2012/chart" uri="{CE6537A1-D6FC-4f65-9D91-7224C49458BB}"/>
                <c:ext xmlns:c16="http://schemas.microsoft.com/office/drawing/2014/chart" uri="{C3380CC4-5D6E-409C-BE32-E72D297353CC}">
                  <c16:uniqueId val="{00000007-AD8F-441D-A7F7-82302340D0E1}"/>
                </c:ext>
              </c:extLst>
            </c:dLbl>
            <c:dLbl>
              <c:idx val="5"/>
              <c:layout>
                <c:manualLayout>
                  <c:x val="0"/>
                  <c:y val="-0.379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D8F-441D-A7F7-82302340D0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'IOC Charts'!$O$48:$O$53</c:f>
              <c:strCache>
                <c:ptCount val="6"/>
                <c:pt idx="0">
                  <c:v>EU&amp;UK</c:v>
                </c:pt>
                <c:pt idx="1">
                  <c:v>United States</c:v>
                </c:pt>
                <c:pt idx="2">
                  <c:v>Brazil</c:v>
                </c:pt>
                <c:pt idx="3">
                  <c:v>Australia</c:v>
                </c:pt>
                <c:pt idx="4">
                  <c:v>New Zealand</c:v>
                </c:pt>
                <c:pt idx="5">
                  <c:v>Total TAM</c:v>
                </c:pt>
              </c:strCache>
            </c:strRef>
          </c:cat>
          <c:val>
            <c:numRef>
              <c:f>'IOC Charts'!$P$48:$P$53</c:f>
              <c:numCache>
                <c:formatCode>"$"#,##0.0</c:formatCode>
                <c:ptCount val="6"/>
                <c:pt idx="0">
                  <c:v>10.23</c:v>
                </c:pt>
                <c:pt idx="1">
                  <c:v>10.23</c:v>
                </c:pt>
                <c:pt idx="2">
                  <c:v>15.68</c:v>
                </c:pt>
                <c:pt idx="3">
                  <c:v>18.899999999999999</c:v>
                </c:pt>
                <c:pt idx="4">
                  <c:v>19.177699999999998</c:v>
                </c:pt>
                <c:pt idx="5">
                  <c:v>19.3</c:v>
                </c:pt>
              </c:numCache>
            </c:numRef>
          </c:val>
          <c:extLst>
            <c:ext xmlns:c16="http://schemas.microsoft.com/office/drawing/2014/chart" uri="{C3380CC4-5D6E-409C-BE32-E72D297353CC}">
              <c16:uniqueId val="{0000000A-AD8F-441D-A7F7-82302340D0E1}"/>
            </c:ext>
          </c:extLst>
        </c:ser>
        <c:ser>
          <c:idx val="1"/>
          <c:order val="1"/>
          <c:spPr>
            <a:solidFill>
              <a:schemeClr val="accent1"/>
            </a:solidFill>
            <a:ln>
              <a:noFill/>
            </a:ln>
            <a:effectLst/>
          </c:spPr>
          <c:invertIfNegative val="0"/>
          <c:dLbls>
            <c:dLbl>
              <c:idx val="1"/>
              <c:layout>
                <c:manualLayout>
                  <c:x val="-5.0925337632079971E-17"/>
                  <c:y val="-0.13888888888888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D8F-441D-A7F7-82302340D0E1}"/>
                </c:ext>
              </c:extLst>
            </c:dLbl>
            <c:dLbl>
              <c:idx val="2"/>
              <c:layout>
                <c:manualLayout>
                  <c:x val="-5.0925337632079971E-17"/>
                  <c:y val="-9.7222222222222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D8F-441D-A7F7-82302340D0E1}"/>
                </c:ext>
              </c:extLst>
            </c:dLbl>
            <c:dLbl>
              <c:idx val="3"/>
              <c:layout>
                <c:manualLayout>
                  <c:x val="0"/>
                  <c:y val="-6.4814814814814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D8F-441D-A7F7-82302340D0E1}"/>
                </c:ext>
              </c:extLst>
            </c:dLbl>
            <c:dLbl>
              <c:idx val="4"/>
              <c:layout>
                <c:manualLayout>
                  <c:x val="0"/>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D8F-441D-A7F7-82302340D0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'IOC Charts'!$O$48:$O$53</c:f>
              <c:strCache>
                <c:ptCount val="6"/>
                <c:pt idx="0">
                  <c:v>EU&amp;UK</c:v>
                </c:pt>
                <c:pt idx="1">
                  <c:v>United States</c:v>
                </c:pt>
                <c:pt idx="2">
                  <c:v>Brazil</c:v>
                </c:pt>
                <c:pt idx="3">
                  <c:v>Australia</c:v>
                </c:pt>
                <c:pt idx="4">
                  <c:v>New Zealand</c:v>
                </c:pt>
                <c:pt idx="5">
                  <c:v>Total TAM</c:v>
                </c:pt>
              </c:strCache>
            </c:strRef>
          </c:cat>
          <c:val>
            <c:numRef>
              <c:f>'IOC Charts'!$Q$48:$Q$53</c:f>
              <c:numCache>
                <c:formatCode>"$"#,##0.0</c:formatCode>
                <c:ptCount val="6"/>
                <c:pt idx="1">
                  <c:v>5.45</c:v>
                </c:pt>
                <c:pt idx="2">
                  <c:v>3.22</c:v>
                </c:pt>
                <c:pt idx="3">
                  <c:v>0.27700000000000002</c:v>
                </c:pt>
                <c:pt idx="4">
                  <c:v>0.12</c:v>
                </c:pt>
              </c:numCache>
            </c:numRef>
          </c:val>
          <c:extLst>
            <c:ext xmlns:c16="http://schemas.microsoft.com/office/drawing/2014/chart" uri="{C3380CC4-5D6E-409C-BE32-E72D297353CC}">
              <c16:uniqueId val="{0000000F-AD8F-441D-A7F7-82302340D0E1}"/>
            </c:ext>
          </c:extLst>
        </c:ser>
        <c:dLbls>
          <c:showLegendKey val="0"/>
          <c:showVal val="0"/>
          <c:showCatName val="0"/>
          <c:showSerName val="0"/>
          <c:showPercent val="0"/>
          <c:showBubbleSize val="0"/>
        </c:dLbls>
        <c:gapWidth val="150"/>
        <c:overlap val="100"/>
        <c:axId val="-321027472"/>
        <c:axId val="-321041616"/>
      </c:barChart>
      <c:catAx>
        <c:axId val="-321027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41616"/>
        <c:crosses val="autoZero"/>
        <c:auto val="1"/>
        <c:lblAlgn val="ctr"/>
        <c:lblOffset val="100"/>
        <c:noMultiLvlLbl val="0"/>
      </c:catAx>
      <c:valAx>
        <c:axId val="-321041616"/>
        <c:scaling>
          <c:orientation val="minMax"/>
        </c:scaling>
        <c:delete val="0"/>
        <c:axPos val="l"/>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274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'IOC Charts'!$A$99</c:f>
              <c:strCache>
                <c:ptCount val="1"/>
                <c:pt idx="0">
                  <c:v>Total customer additions</c:v>
                </c:pt>
              </c:strCache>
            </c:strRef>
          </c:tx>
          <c:spPr>
            <a:solidFill>
              <a:schemeClr val="accent1"/>
            </a:solidFill>
            <a:ln>
              <a:noFill/>
            </a:ln>
            <a:effectLst/>
          </c:spPr>
          <c:invertIfNegative val="0"/>
          <c:cat>
            <c:strRef>
              <c:f>'IOC Charts'!$C$98:$O$98</c:f>
              <c:strCache>
                <c:ptCount val="13"/>
                <c:pt idx="0">
                  <c:v>2Q18</c:v>
                </c:pt>
                <c:pt idx="1">
                  <c:v>3Q18</c:v>
                </c:pt>
                <c:pt idx="2">
                  <c:v>4Q18</c:v>
                </c:pt>
                <c:pt idx="3">
                  <c:v>1Q19</c:v>
                </c:pt>
                <c:pt idx="4">
                  <c:v>2Q19</c:v>
                </c:pt>
                <c:pt idx="5">
                  <c:v>3Q19</c:v>
                </c:pt>
                <c:pt idx="6">
                  <c:v>4Q19</c:v>
                </c:pt>
                <c:pt idx="7">
                  <c:v>1Q20</c:v>
                </c:pt>
                <c:pt idx="8">
                  <c:v>2Q20</c:v>
                </c:pt>
                <c:pt idx="9">
                  <c:v>3Q20</c:v>
                </c:pt>
                <c:pt idx="10">
                  <c:v>4Q20</c:v>
                </c:pt>
                <c:pt idx="11">
                  <c:v>1Q21</c:v>
                </c:pt>
                <c:pt idx="12">
                  <c:v>2Q21</c:v>
                </c:pt>
              </c:strCache>
            </c:strRef>
          </c:cat>
          <c:val>
            <c:numRef>
              <c:f>'IOC Charts'!$C$99:$O$99</c:f>
              <c:numCache>
                <c:formatCode>General</c:formatCode>
                <c:ptCount val="13"/>
                <c:pt idx="0">
                  <c:v>20000</c:v>
                </c:pt>
                <c:pt idx="1">
                  <c:v>19000</c:v>
                </c:pt>
                <c:pt idx="2">
                  <c:v>19000</c:v>
                </c:pt>
                <c:pt idx="3">
                  <c:v>32000</c:v>
                </c:pt>
                <c:pt idx="4">
                  <c:v>24000</c:v>
                </c:pt>
                <c:pt idx="5">
                  <c:v>25000</c:v>
                </c:pt>
                <c:pt idx="6">
                  <c:v>23000</c:v>
                </c:pt>
                <c:pt idx="7">
                  <c:v>31000</c:v>
                </c:pt>
                <c:pt idx="8">
                  <c:v>29000</c:v>
                </c:pt>
                <c:pt idx="9">
                  <c:v>25000</c:v>
                </c:pt>
                <c:pt idx="10">
                  <c:v>27000</c:v>
                </c:pt>
                <c:pt idx="11">
                  <c:v>72000</c:v>
                </c:pt>
                <c:pt idx="12">
                  <c:v>88000</c:v>
                </c:pt>
              </c:numCache>
            </c:numRef>
          </c:val>
          <c:extLst>
            <c:ext xmlns:c16="http://schemas.microsoft.com/office/drawing/2014/chart" uri="{C3380CC4-5D6E-409C-BE32-E72D297353CC}">
              <c16:uniqueId val="{00000000-C7E2-4792-80F4-7D1CFD371674}"/>
            </c:ext>
          </c:extLst>
        </c:ser>
        <c:dLbls>
          <c:showLegendKey val="0"/>
          <c:showVal val="0"/>
          <c:showCatName val="0"/>
          <c:showSerName val="0"/>
          <c:showPercent val="0"/>
          <c:showBubbleSize val="0"/>
        </c:dLbls>
        <c:gapWidth val="219"/>
        <c:overlap val="-27"/>
        <c:axId val="-321016048"/>
        <c:axId val="-321022032"/>
      </c:barChart>
      <c:lineChart>
        <c:grouping val="standard"/>
        <c:varyColors val="0"/>
        <c:ser>
          <c:idx val="1"/>
          <c:order val="1"/>
          <c:tx>
            <c:strRef>
              <c:f>'IOC Charts'!$A$100</c:f>
              <c:strCache>
                <c:ptCount val="1"/>
                <c:pt idx="0">
                  <c:v>Enterprise/direct additions</c:v>
                </c:pt>
              </c:strCache>
            </c:strRef>
          </c:tx>
          <c:spPr>
            <a:ln w="28575" cap="rnd">
              <a:solidFill>
                <a:schemeClr val="accent2"/>
              </a:solidFill>
              <a:round/>
            </a:ln>
            <a:effectLst/>
          </c:spPr>
          <c:marker>
            <c:symbol val="none"/>
          </c:marker>
          <c:cat>
            <c:strRef>
              <c:f>'IOC Charts'!$C$98:$O$98</c:f>
              <c:strCache>
                <c:ptCount val="13"/>
                <c:pt idx="0">
                  <c:v>2Q18</c:v>
                </c:pt>
                <c:pt idx="1">
                  <c:v>3Q18</c:v>
                </c:pt>
                <c:pt idx="2">
                  <c:v>4Q18</c:v>
                </c:pt>
                <c:pt idx="3">
                  <c:v>1Q19</c:v>
                </c:pt>
                <c:pt idx="4">
                  <c:v>2Q19</c:v>
                </c:pt>
                <c:pt idx="5">
                  <c:v>3Q19</c:v>
                </c:pt>
                <c:pt idx="6">
                  <c:v>4Q19</c:v>
                </c:pt>
                <c:pt idx="7">
                  <c:v>1Q20</c:v>
                </c:pt>
                <c:pt idx="8">
                  <c:v>2Q20</c:v>
                </c:pt>
                <c:pt idx="9">
                  <c:v>3Q20</c:v>
                </c:pt>
                <c:pt idx="10">
                  <c:v>4Q20</c:v>
                </c:pt>
                <c:pt idx="11">
                  <c:v>1Q21</c:v>
                </c:pt>
                <c:pt idx="12">
                  <c:v>2Q21</c:v>
                </c:pt>
              </c:strCache>
            </c:strRef>
          </c:cat>
          <c:val>
            <c:numRef>
              <c:f>'IOC Charts'!$C$100:$O$100</c:f>
              <c:numCache>
                <c:formatCode>General</c:formatCode>
                <c:ptCount val="13"/>
                <c:pt idx="0">
                  <c:v>3000</c:v>
                </c:pt>
                <c:pt idx="1">
                  <c:v>3000</c:v>
                </c:pt>
                <c:pt idx="2">
                  <c:v>3000</c:v>
                </c:pt>
                <c:pt idx="3">
                  <c:v>3000</c:v>
                </c:pt>
                <c:pt idx="4">
                  <c:v>4000</c:v>
                </c:pt>
                <c:pt idx="5">
                  <c:v>4000</c:v>
                </c:pt>
                <c:pt idx="6">
                  <c:v>3000</c:v>
                </c:pt>
                <c:pt idx="7">
                  <c:v>4000</c:v>
                </c:pt>
                <c:pt idx="8">
                  <c:v>4000</c:v>
                </c:pt>
                <c:pt idx="9">
                  <c:v>5000</c:v>
                </c:pt>
                <c:pt idx="10">
                  <c:v>6000</c:v>
                </c:pt>
                <c:pt idx="11">
                  <c:v>14000</c:v>
                </c:pt>
                <c:pt idx="12">
                  <c:v>10000</c:v>
                </c:pt>
              </c:numCache>
            </c:numRef>
          </c:val>
          <c:smooth val="0"/>
          <c:extLst>
            <c:ext xmlns:c16="http://schemas.microsoft.com/office/drawing/2014/chart" uri="{C3380CC4-5D6E-409C-BE32-E72D297353CC}">
              <c16:uniqueId val="{00000001-C7E2-4792-80F4-7D1CFD371674}"/>
            </c:ext>
          </c:extLst>
        </c:ser>
        <c:dLbls>
          <c:showLegendKey val="0"/>
          <c:showVal val="0"/>
          <c:showCatName val="0"/>
          <c:showSerName val="0"/>
          <c:showPercent val="0"/>
          <c:showBubbleSize val="0"/>
        </c:dLbls>
        <c:marker val="1"/>
        <c:smooth val="0"/>
        <c:axId val="-321040528"/>
        <c:axId val="-321036176"/>
      </c:lineChart>
      <c:catAx>
        <c:axId val="-32101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22032"/>
        <c:crosses val="autoZero"/>
        <c:auto val="1"/>
        <c:lblAlgn val="ctr"/>
        <c:lblOffset val="100"/>
        <c:noMultiLvlLbl val="0"/>
      </c:catAx>
      <c:valAx>
        <c:axId val="-32102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16048"/>
        <c:crosses val="autoZero"/>
        <c:crossBetween val="between"/>
      </c:valAx>
      <c:valAx>
        <c:axId val="-321036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40528"/>
        <c:crosses val="max"/>
        <c:crossBetween val="between"/>
      </c:valAx>
      <c:catAx>
        <c:axId val="-321040528"/>
        <c:scaling>
          <c:orientation val="minMax"/>
        </c:scaling>
        <c:delete val="1"/>
        <c:axPos val="b"/>
        <c:numFmt formatCode="General" sourceLinked="1"/>
        <c:majorTickMark val="out"/>
        <c:minorTickMark val="none"/>
        <c:tickLblPos val="nextTo"/>
        <c:crossAx val="-3210361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'IOC Charts'!$A$121</c:f>
              <c:strCache>
                <c:ptCount val="1"/>
                <c:pt idx="0">
                  <c:v>Customers &gt;$300k</c:v>
                </c:pt>
              </c:strCache>
            </c:strRef>
          </c:tx>
          <c:spPr>
            <a:solidFill>
              <a:schemeClr val="accent1"/>
            </a:solidFill>
            <a:ln>
              <a:noFill/>
            </a:ln>
            <a:effectLst/>
          </c:spPr>
          <c:invertIfNegative val="0"/>
          <c:cat>
            <c:strRef>
              <c:f>'IOC Charts'!$F$98:$O$98</c:f>
              <c:strCache>
                <c:ptCount val="10"/>
                <c:pt idx="0">
                  <c:v>1Q19</c:v>
                </c:pt>
                <c:pt idx="1">
                  <c:v>2Q19</c:v>
                </c:pt>
                <c:pt idx="2">
                  <c:v>3Q19</c:v>
                </c:pt>
                <c:pt idx="3">
                  <c:v>4Q19</c:v>
                </c:pt>
                <c:pt idx="4">
                  <c:v>1Q20</c:v>
                </c:pt>
                <c:pt idx="5">
                  <c:v>2Q20</c:v>
                </c:pt>
                <c:pt idx="6">
                  <c:v>3Q20</c:v>
                </c:pt>
                <c:pt idx="7">
                  <c:v>4Q20</c:v>
                </c:pt>
                <c:pt idx="8">
                  <c:v>1Q21</c:v>
                </c:pt>
                <c:pt idx="9">
                  <c:v>2Q21</c:v>
                </c:pt>
              </c:strCache>
            </c:strRef>
          </c:cat>
          <c:val>
            <c:numRef>
              <c:f>'IOC Charts'!$F$121:$O$121</c:f>
              <c:numCache>
                <c:formatCode>General</c:formatCode>
                <c:ptCount val="10"/>
                <c:pt idx="0">
                  <c:v>215</c:v>
                </c:pt>
                <c:pt idx="1">
                  <c:v>246</c:v>
                </c:pt>
                <c:pt idx="2">
                  <c:v>285</c:v>
                </c:pt>
                <c:pt idx="3">
                  <c:v>310</c:v>
                </c:pt>
                <c:pt idx="4">
                  <c:v>324</c:v>
                </c:pt>
                <c:pt idx="5">
                  <c:v>370</c:v>
                </c:pt>
                <c:pt idx="6">
                  <c:v>401</c:v>
                </c:pt>
                <c:pt idx="7">
                  <c:v>437</c:v>
                </c:pt>
                <c:pt idx="8">
                  <c:v>473</c:v>
                </c:pt>
                <c:pt idx="9">
                  <c:v>520</c:v>
                </c:pt>
              </c:numCache>
            </c:numRef>
          </c:val>
          <c:extLst>
            <c:ext xmlns:c16="http://schemas.microsoft.com/office/drawing/2014/chart" uri="{C3380CC4-5D6E-409C-BE32-E72D297353CC}">
              <c16:uniqueId val="{00000000-B242-4364-A3A0-7745EF287C6B}"/>
            </c:ext>
          </c:extLst>
        </c:ser>
        <c:dLbls>
          <c:showLegendKey val="0"/>
          <c:showVal val="0"/>
          <c:showCatName val="0"/>
          <c:showSerName val="0"/>
          <c:showPercent val="0"/>
          <c:showBubbleSize val="0"/>
        </c:dLbls>
        <c:gapWidth val="219"/>
        <c:overlap val="-27"/>
        <c:axId val="-321016592"/>
        <c:axId val="-321034544"/>
      </c:barChart>
      <c:lineChart>
        <c:grouping val="standard"/>
        <c:varyColors val="0"/>
        <c:ser>
          <c:idx val="1"/>
          <c:order val="1"/>
          <c:tx>
            <c:strRef>
              <c:f>'IOC Charts'!$A$122</c:f>
              <c:strCache>
                <c:ptCount val="1"/>
                <c:pt idx="0">
                  <c:v>y/y growth</c:v>
                </c:pt>
              </c:strCache>
            </c:strRef>
          </c:tx>
          <c:spPr>
            <a:ln w="28575" cap="rnd">
              <a:solidFill>
                <a:schemeClr val="accent2"/>
              </a:solidFill>
              <a:round/>
            </a:ln>
            <a:effectLst/>
          </c:spPr>
          <c:marker>
            <c:symbol val="none"/>
          </c:marker>
          <c:cat>
            <c:strRef>
              <c:f>'IOC Charts'!$F$98:$O$98</c:f>
              <c:strCache>
                <c:ptCount val="10"/>
                <c:pt idx="0">
                  <c:v>1Q19</c:v>
                </c:pt>
                <c:pt idx="1">
                  <c:v>2Q19</c:v>
                </c:pt>
                <c:pt idx="2">
                  <c:v>3Q19</c:v>
                </c:pt>
                <c:pt idx="3">
                  <c:v>4Q19</c:v>
                </c:pt>
                <c:pt idx="4">
                  <c:v>1Q20</c:v>
                </c:pt>
                <c:pt idx="5">
                  <c:v>2Q20</c:v>
                </c:pt>
                <c:pt idx="6">
                  <c:v>3Q20</c:v>
                </c:pt>
                <c:pt idx="7">
                  <c:v>4Q20</c:v>
                </c:pt>
                <c:pt idx="8">
                  <c:v>1Q21</c:v>
                </c:pt>
                <c:pt idx="9">
                  <c:v>2Q21</c:v>
                </c:pt>
              </c:strCache>
            </c:strRef>
          </c:cat>
          <c:val>
            <c:numRef>
              <c:f>'IOC Charts'!$F$122:$O$122</c:f>
              <c:numCache>
                <c:formatCode>General</c:formatCode>
                <c:ptCount val="10"/>
                <c:pt idx="4" formatCode="0%">
                  <c:v>0.50697674418604644</c:v>
                </c:pt>
                <c:pt idx="5" formatCode="0%">
                  <c:v>0.50406504065040658</c:v>
                </c:pt>
                <c:pt idx="6" formatCode="0%">
                  <c:v>0.40701754385964906</c:v>
                </c:pt>
                <c:pt idx="7" formatCode="0%">
                  <c:v>0.4096774193548387</c:v>
                </c:pt>
                <c:pt idx="8" formatCode="0%">
                  <c:v>0.45987654320987659</c:v>
                </c:pt>
                <c:pt idx="9" formatCode="0%">
                  <c:v>0.40540540540540548</c:v>
                </c:pt>
              </c:numCache>
            </c:numRef>
          </c:val>
          <c:smooth val="0"/>
          <c:extLst>
            <c:ext xmlns:c16="http://schemas.microsoft.com/office/drawing/2014/chart" uri="{C3380CC4-5D6E-409C-BE32-E72D297353CC}">
              <c16:uniqueId val="{00000001-B242-4364-A3A0-7745EF287C6B}"/>
            </c:ext>
          </c:extLst>
        </c:ser>
        <c:dLbls>
          <c:showLegendKey val="0"/>
          <c:showVal val="0"/>
          <c:showCatName val="0"/>
          <c:showSerName val="0"/>
          <c:showPercent val="0"/>
          <c:showBubbleSize val="0"/>
        </c:dLbls>
        <c:marker val="1"/>
        <c:smooth val="0"/>
        <c:axId val="-321039984"/>
        <c:axId val="-321030736"/>
      </c:lineChart>
      <c:catAx>
        <c:axId val="-32101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34544"/>
        <c:crosses val="autoZero"/>
        <c:auto val="1"/>
        <c:lblAlgn val="ctr"/>
        <c:lblOffset val="100"/>
        <c:noMultiLvlLbl val="0"/>
      </c:catAx>
      <c:valAx>
        <c:axId val="-32103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16592"/>
        <c:crosses val="autoZero"/>
        <c:crossBetween val="between"/>
      </c:valAx>
      <c:valAx>
        <c:axId val="-321030736"/>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39984"/>
        <c:crosses val="max"/>
        <c:crossBetween val="between"/>
      </c:valAx>
      <c:catAx>
        <c:axId val="-321039984"/>
        <c:scaling>
          <c:orientation val="minMax"/>
        </c:scaling>
        <c:delete val="1"/>
        <c:axPos val="b"/>
        <c:numFmt formatCode="General" sourceLinked="1"/>
        <c:majorTickMark val="none"/>
        <c:minorTickMark val="none"/>
        <c:tickLblPos val="nextTo"/>
        <c:crossAx val="-321030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'IOC Charts'!$E$98:$O$98</c:f>
              <c:strCache>
                <c:ptCount val="11"/>
                <c:pt idx="0">
                  <c:v>4Q18</c:v>
                </c:pt>
                <c:pt idx="1">
                  <c:v>1Q19</c:v>
                </c:pt>
                <c:pt idx="2">
                  <c:v>2Q19</c:v>
                </c:pt>
                <c:pt idx="3">
                  <c:v>3Q19</c:v>
                </c:pt>
                <c:pt idx="4">
                  <c:v>4Q19</c:v>
                </c:pt>
                <c:pt idx="5">
                  <c:v>1Q20</c:v>
                </c:pt>
                <c:pt idx="6">
                  <c:v>2Q20</c:v>
                </c:pt>
                <c:pt idx="7">
                  <c:v>3Q20</c:v>
                </c:pt>
                <c:pt idx="8">
                  <c:v>4Q20</c:v>
                </c:pt>
                <c:pt idx="9">
                  <c:v>1Q21</c:v>
                </c:pt>
                <c:pt idx="10">
                  <c:v>2Q21</c:v>
                </c:pt>
              </c:strCache>
            </c:strRef>
          </c:cat>
          <c:val>
            <c:numRef>
              <c:f>'IOC Charts'!$E$102:$O$102</c:f>
              <c:numCache>
                <c:formatCode>0%</c:formatCode>
                <c:ptCount val="11"/>
                <c:pt idx="0">
                  <c:v>1.1499999999999999</c:v>
                </c:pt>
                <c:pt idx="1">
                  <c:v>1.1399999999999999</c:v>
                </c:pt>
                <c:pt idx="2">
                  <c:v>1.1499999999999999</c:v>
                </c:pt>
                <c:pt idx="3">
                  <c:v>1.1399999999999999</c:v>
                </c:pt>
                <c:pt idx="4">
                  <c:v>1.1200000000000001</c:v>
                </c:pt>
                <c:pt idx="5">
                  <c:v>1.1200000000000001</c:v>
                </c:pt>
                <c:pt idx="6">
                  <c:v>1.1299999999999999</c:v>
                </c:pt>
                <c:pt idx="7">
                  <c:v>1.17</c:v>
                </c:pt>
                <c:pt idx="8">
                  <c:v>1.17</c:v>
                </c:pt>
                <c:pt idx="9">
                  <c:v>1.19</c:v>
                </c:pt>
                <c:pt idx="10">
                  <c:v>1.2</c:v>
                </c:pt>
              </c:numCache>
            </c:numRef>
          </c:val>
          <c:smooth val="0"/>
          <c:extLst>
            <c:ext xmlns:c16="http://schemas.microsoft.com/office/drawing/2014/chart" uri="{C3380CC4-5D6E-409C-BE32-E72D297353CC}">
              <c16:uniqueId val="{00000000-97D2-466F-95FB-9ACCF8EF570F}"/>
            </c:ext>
          </c:extLst>
        </c:ser>
        <c:dLbls>
          <c:showLegendKey val="0"/>
          <c:showVal val="0"/>
          <c:showCatName val="0"/>
          <c:showSerName val="0"/>
          <c:showPercent val="0"/>
          <c:showBubbleSize val="0"/>
        </c:dLbls>
        <c:smooth val="0"/>
        <c:axId val="-321022576"/>
        <c:axId val="-321020944"/>
      </c:lineChart>
      <c:catAx>
        <c:axId val="-32102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20944"/>
        <c:crosses val="autoZero"/>
        <c:auto val="1"/>
        <c:lblAlgn val="ctr"/>
        <c:lblOffset val="100"/>
        <c:noMultiLvlLbl val="0"/>
      </c:catAx>
      <c:valAx>
        <c:axId val="-321020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225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1.png"/><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695324</xdr:colOff>
      <xdr:row>62</xdr:row>
      <xdr:rowOff>35983</xdr:rowOff>
    </xdr:from>
    <xdr:to>
      <xdr:col>21</xdr:col>
      <xdr:colOff>85724</xdr:colOff>
      <xdr:row>79</xdr:row>
      <xdr:rowOff>80433</xdr:rowOff>
    </xdr:to>
    <xdr:graphicFrame macro="">
      <xdr:nvGraphicFramePr>
        <xdr:cNvPr id="2" name="Chart 1">
          <a:extLst>
            <a:ext uri="{FF2B5EF4-FFF2-40B4-BE49-F238E27FC236}">
              <a16:creationId xmlns:a16="http://schemas.microsoft.com/office/drawing/2014/main" id="{77B2ACDE-2ADA-46E3-865D-47C9D0B51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314325</xdr:colOff>
      <xdr:row>70</xdr:row>
      <xdr:rowOff>66675</xdr:rowOff>
    </xdr:from>
    <xdr:to>
      <xdr:col>35</xdr:col>
      <xdr:colOff>247650</xdr:colOff>
      <xdr:row>87</xdr:row>
      <xdr:rowOff>57150</xdr:rowOff>
    </xdr:to>
    <xdr:graphicFrame macro="">
      <xdr:nvGraphicFramePr>
        <xdr:cNvPr id="3" name="Chart 2">
          <a:extLst>
            <a:ext uri="{FF2B5EF4-FFF2-40B4-BE49-F238E27FC236}">
              <a16:creationId xmlns:a16="http://schemas.microsoft.com/office/drawing/2014/main" id="{DA8D4F2E-E9A9-4EC5-824B-9055D259C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65</xdr:row>
      <xdr:rowOff>0</xdr:rowOff>
    </xdr:from>
    <xdr:to>
      <xdr:col>22</xdr:col>
      <xdr:colOff>560390</xdr:colOff>
      <xdr:row>93</xdr:row>
      <xdr:rowOff>142875</xdr:rowOff>
    </xdr:to>
    <xdr:graphicFrame macro="">
      <xdr:nvGraphicFramePr>
        <xdr:cNvPr id="3" name="Chart 2">
          <a:extLst>
            <a:ext uri="{FF2B5EF4-FFF2-40B4-BE49-F238E27FC236}">
              <a16:creationId xmlns:a16="http://schemas.microsoft.com/office/drawing/2014/main" id="{3079384F-EDED-483E-BD4D-DE98C6EC8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31</xdr:row>
      <xdr:rowOff>28575</xdr:rowOff>
    </xdr:from>
    <xdr:to>
      <xdr:col>18</xdr:col>
      <xdr:colOff>333375</xdr:colOff>
      <xdr:row>49</xdr:row>
      <xdr:rowOff>85725</xdr:rowOff>
    </xdr:to>
    <xdr:graphicFrame macro="">
      <xdr:nvGraphicFramePr>
        <xdr:cNvPr id="4" name="Chart 3">
          <a:extLst>
            <a:ext uri="{FF2B5EF4-FFF2-40B4-BE49-F238E27FC236}">
              <a16:creationId xmlns:a16="http://schemas.microsoft.com/office/drawing/2014/main" id="{2B9D9AA9-C0C6-40E2-8878-07527CE83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4</xdr:row>
      <xdr:rowOff>42862</xdr:rowOff>
    </xdr:from>
    <xdr:to>
      <xdr:col>12</xdr:col>
      <xdr:colOff>19050</xdr:colOff>
      <xdr:row>19</xdr:row>
      <xdr:rowOff>71437</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803275</xdr:colOff>
      <xdr:row>73</xdr:row>
      <xdr:rowOff>171451</xdr:rowOff>
    </xdr:from>
    <xdr:to>
      <xdr:col>7</xdr:col>
      <xdr:colOff>795867</xdr:colOff>
      <xdr:row>93</xdr:row>
      <xdr:rowOff>29634</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180975</xdr:colOff>
      <xdr:row>21</xdr:row>
      <xdr:rowOff>133350</xdr:rowOff>
    </xdr:from>
    <xdr:to>
      <xdr:col>14</xdr:col>
      <xdr:colOff>647214</xdr:colOff>
      <xdr:row>42</xdr:row>
      <xdr:rowOff>285261</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3"/>
        <a:stretch>
          <a:fillRect/>
        </a:stretch>
      </xdr:blipFill>
      <xdr:spPr>
        <a:xfrm>
          <a:off x="9534525" y="3933825"/>
          <a:ext cx="3885714" cy="3914286"/>
        </a:xfrm>
        <a:prstGeom prst="rect">
          <a:avLst/>
        </a:prstGeom>
      </xdr:spPr>
    </xdr:pic>
    <xdr:clientData/>
  </xdr:twoCellAnchor>
  <xdr:twoCellAnchor>
    <xdr:from>
      <xdr:col>16</xdr:col>
      <xdr:colOff>123824</xdr:colOff>
      <xdr:row>20</xdr:row>
      <xdr:rowOff>176212</xdr:rowOff>
    </xdr:from>
    <xdr:to>
      <xdr:col>24</xdr:col>
      <xdr:colOff>133349</xdr:colOff>
      <xdr:row>42</xdr:row>
      <xdr:rowOff>304800</xdr:rowOff>
    </xdr:to>
    <xdr:graphicFrame macro="">
      <xdr:nvGraphicFramePr>
        <xdr:cNvPr id="7" name="Chart 6">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561975</xdr:colOff>
      <xdr:row>45</xdr:row>
      <xdr:rowOff>9525</xdr:rowOff>
    </xdr:from>
    <xdr:to>
      <xdr:col>24</xdr:col>
      <xdr:colOff>333375</xdr:colOff>
      <xdr:row>59</xdr:row>
      <xdr:rowOff>152400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819150</xdr:colOff>
      <xdr:row>102</xdr:row>
      <xdr:rowOff>76200</xdr:rowOff>
    </xdr:from>
    <xdr:to>
      <xdr:col>7</xdr:col>
      <xdr:colOff>752475</xdr:colOff>
      <xdr:row>117</xdr:row>
      <xdr:rowOff>104775</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581025</xdr:colOff>
      <xdr:row>122</xdr:row>
      <xdr:rowOff>123825</xdr:rowOff>
    </xdr:from>
    <xdr:to>
      <xdr:col>7</xdr:col>
      <xdr:colOff>771525</xdr:colOff>
      <xdr:row>137</xdr:row>
      <xdr:rowOff>152400</xdr:rowOff>
    </xdr:to>
    <xdr:graphicFrame macro="">
      <xdr:nvGraphicFramePr>
        <xdr:cNvPr id="8" name="Chart 7">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104775</xdr:colOff>
      <xdr:row>102</xdr:row>
      <xdr:rowOff>133350</xdr:rowOff>
    </xdr:from>
    <xdr:to>
      <xdr:col>16</xdr:col>
      <xdr:colOff>361950</xdr:colOff>
      <xdr:row>117</xdr:row>
      <xdr:rowOff>161925</xdr:rowOff>
    </xdr:to>
    <xdr:graphicFrame macro="">
      <xdr:nvGraphicFramePr>
        <xdr:cNvPr id="9" name="Chart 8">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Users\DREA616\Mercator\MCTR_Md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Hamilton%20Personal\Repadre\Old%20model\goldfields%20operating%20resul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ublic\SAAS\ET\RBC%20ET%20Mode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Documents%20and%20Settings\rdolan\Desktop\MIRAMAR\MiramarMode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public\Security\SYMC\RBC%20SYMC%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HOME\research\GOLDRES\MODELS\GLG\GLAMIS_Q2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HOME\RESEARCH\STEWALK\ABX\ABX.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K:\EQR-DATA\EQR-FUNDAMENTAL\Goldres\MODELS\EGU\EGU_Curren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HOME\RESEARCH\STEWALK\AGE\AG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public\Content%20Mgmt\STEL\RBC%20STEL%20Mode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public\SAAS\BCOV\RBC%20BCOV%20Mode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K:\My%20Documents\A%20list\Placer%20Dome\pdg%20dec9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public\Security\IMPV\RBC%20IMPV%20Mode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Software%20Enterprise\PFPT\PFPT-%203Q1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public\Infrastructure\TIBX\RBC%20TIBX%20Mod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public\SAAS\FLTX\RBC%20FLTX%20Mod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K:\Common\Internet%20SS\Public%20Companies\YHOO\twppageview.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atofps109\eqr$\EQR-DATA\EQR-FUNDAMENTAL\Goldres\MODELS\ABX\ABX_625.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T-NYFLOOR-10\msue\Universe\RBOCs\SBC\Models\1-SB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K:\public\infrastructure\BEAS\Company%20info\White%20papers\AIM%20forecast%20070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K:\MODELS\FRG\FIU.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EQR-DATA\EQR-FUNDAMENTAL\Goldres\MODELS\NG\NG%20Model%20-%20LP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K:\Software\rob\comp%20sheet%20and%20valuation\Comp%20Exter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public\Content%20Mgmt\IWOV\RBC%20IWOV%20Mode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K:\public\Security\SCUR\RBC%20SCUR%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Meisner\COMPANY\RATL\Models\Old\RATLQPL%20(old).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EMP\OMK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public\Infrastructure\TDC\RBC%20TDC%20Mode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Anyc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K:\HOME\research\GOLDRES\MODELS\AGE\AgeRockFal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ODELS\FRG\FRG%20-%20LPN.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K:\Users\RBreza\Desktop\From%20Desktop\RBC%20CHKP%20mode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K:\EQR-DATA\EQR-FUNDAMENTAL\Goldres\PROSPECTOR\Canadian%20Shield\20110129%20-%20RBC%20Prospector%20Figures%20-%20Canadian%20Shield.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public\SAAS\LOCK\RBC%20LOCK%20Model.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public\Security\WBSN\RBC%20WBSN%20Mode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K:\Work\Market%20Stats\hwcp-la\10524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public\Infrastructure\ADBE\RBC%20ADBE%20Mode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atofps109\eqr$\EQR-DATA\EQR-FUNDAMENTAL\Goldres\MODELS\ABX\ABX_$425_Q10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resny04d\Projects\sherlund\COMPANY\BAANF\BAANFQP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Y:\Software%20Enterprise\PFPT\FTN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public\Infrastructure\QLIK\RBC%20QLIK%20Mode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K:\Meisner\COMPANY\BEAS\Reports\Fy2001q3\Old\BEASQPL%20(archive).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K:\rmacdona\BLKB\BLKB-Pre3Q17.xlsm"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rmacdonald/Downloads/PAYC-1Q18%20(1).xlsm" TargetMode="External"/><Relationship Id="rId1" Type="http://schemas.openxmlformats.org/officeDocument/2006/relationships/externalLinkPath" Target="/Users/rmacdonald/Downloads/PAYC-1Q18%20(1).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K:\HOME\research\GOLDRES\MODELS\NEM\NemNdyFn_POB.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nymail.thinkequity.com/Documents%20and%20Settings/tmadda/Local%20Settings/Temporary%20Internet%20Files/OLK2/Companies/cmrc/Model/cmrc.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public\Infrastructure\ADSK\RBC%20ADSK%20Mode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G:\XLDATA\PRICES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K:\MODELS\FRG\AXU.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K:\Documents%20and%20Settings\jwilson\Desktop\RBC%20SNWL%20Mode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y%20Documents\New%20CPWR\CAQPL.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public\Infrastructure\AVCT\AVCT_Model_Curlin_mockup.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K:\public\Content%20Mgmt\VIGN\RBC%20VIGN%20Model.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K:\MODELS\CRJ\CRJ_Model%20-%20LP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K:\public\Security\CHKP\RBC%20CHKP%20mod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K:\DOCUME~1\jallen\LOCALS~1\Temp\2Q02PCQSJAM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K:\SemiManufGroup%20(SMG)\'01%20Market%20Share\Pub%20Systems\Table%20Generator_04010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mplfile01\Users\Documents%20and%20Settings\admin\My%20Documents\Stew's%20Portfolio\Suresh\XPRT\AMAT%20-%20XPRT.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mplfile01\Users\Research\Sbalaraman\Stks\NVL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sheetName val="Balance Sheet"/>
      <sheetName val="Valuation"/>
      <sheetName val="Salesforce"/>
      <sheetName val="Misc."/>
      <sheetName val="LINKS"/>
      <sheetName val="TSFW"/>
      <sheetName val="TSFW+BRAId"/>
      <sheetName val="PV Valuation"/>
      <sheetName val="Valuation  (2)"/>
      <sheetName val="Income Statement - All"/>
      <sheetName val="Sheet1"/>
      <sheetName val="Novera"/>
      <sheetName val="BRAID"/>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sheetName val="MODEL"/>
      <sheetName val="goldfields operating results"/>
      <sheetName val="Assumptions"/>
    </sheetNames>
    <sheetDataSet>
      <sheetData sheetId="0"/>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Upside_Downside"/>
      <sheetName val="QUICK SUMMARY"/>
      <sheetName val="guidance"/>
      <sheetName val="EXHIBITS"/>
      <sheetName val="Job Postings"/>
      <sheetName val="SENSITIVITY"/>
      <sheetName val="WACC"/>
      <sheetName val="DCF"/>
      <sheetName val="LINKS&amp;INPUTS"/>
      <sheetName val="RBC ET Model"/>
    </sheetNames>
    <sheetDataSet>
      <sheetData sheetId="0"/>
      <sheetData sheetId="1" refreshError="1">
        <row r="10">
          <cell r="A10" t="str">
            <v>Cost of Subscription</v>
          </cell>
          <cell r="AD10">
            <v>2.5010000000000003</v>
          </cell>
          <cell r="AE10">
            <v>2.7054</v>
          </cell>
          <cell r="AF10">
            <v>3.0270000000000001</v>
          </cell>
          <cell r="AG10">
            <v>3.6805000000000003</v>
          </cell>
          <cell r="AH10">
            <v>3.7949999999999999</v>
          </cell>
          <cell r="AI10">
            <v>4.391</v>
          </cell>
          <cell r="AJ10">
            <v>4.726</v>
          </cell>
          <cell r="AK10">
            <v>5.4640000000000004</v>
          </cell>
          <cell r="AL10">
            <v>5.7059999999999995</v>
          </cell>
          <cell r="AM10">
            <v>5.9290000000000003</v>
          </cell>
          <cell r="AN10">
            <v>6.0510000000000002</v>
          </cell>
          <cell r="AO10">
            <v>7.282</v>
          </cell>
          <cell r="AP10">
            <v>8.3710000000000004</v>
          </cell>
          <cell r="AQ10">
            <v>8.9870000000000001</v>
          </cell>
          <cell r="AR10">
            <v>10.107000000000001</v>
          </cell>
          <cell r="AS10">
            <v>11.513000000000002</v>
          </cell>
          <cell r="AT10">
            <v>12.313000000000001</v>
          </cell>
          <cell r="AU10">
            <v>12.538000000000002</v>
          </cell>
          <cell r="AV10">
            <v>13.358000000000002</v>
          </cell>
          <cell r="AW10">
            <v>16.968</v>
          </cell>
          <cell r="AX10">
            <v>17.749999999999996</v>
          </cell>
          <cell r="AY10">
            <v>18.374999999999989</v>
          </cell>
          <cell r="AZ10">
            <v>19.000000000000011</v>
          </cell>
          <cell r="BA10">
            <v>20.25</v>
          </cell>
          <cell r="BB10">
            <v>21.999999999999996</v>
          </cell>
          <cell r="BC10">
            <v>23.374999999999996</v>
          </cell>
          <cell r="BD10">
            <v>24.875000000000039</v>
          </cell>
          <cell r="BE10">
            <v>26.625</v>
          </cell>
          <cell r="BF10">
            <v>25.027199999999993</v>
          </cell>
          <cell r="BG10">
            <v>26.591399999999993</v>
          </cell>
          <cell r="BH10">
            <v>28.297800000000041</v>
          </cell>
          <cell r="BI10">
            <v>30.288599999999999</v>
          </cell>
          <cell r="BJ10">
            <v>29.282879999999995</v>
          </cell>
          <cell r="BK10">
            <v>31.113059999999994</v>
          </cell>
          <cell r="BL10">
            <v>33.109620000000049</v>
          </cell>
          <cell r="BM10">
            <v>35.438939999999995</v>
          </cell>
          <cell r="BN10">
            <v>33.532619999999994</v>
          </cell>
          <cell r="BO10">
            <v>36.402939374999995</v>
          </cell>
          <cell r="BP10">
            <v>37.914723750000057</v>
          </cell>
          <cell r="BQ10">
            <v>40.582091249999991</v>
          </cell>
          <cell r="BY10">
            <v>11.9139</v>
          </cell>
          <cell r="BZ10">
            <v>18.375999999999998</v>
          </cell>
          <cell r="CA10">
            <v>24.968</v>
          </cell>
          <cell r="CB10">
            <v>38.978000000000009</v>
          </cell>
          <cell r="CC10">
            <v>55.177000000000007</v>
          </cell>
          <cell r="CD10">
            <v>75.375</v>
          </cell>
          <cell r="CE10">
            <v>96.875000000000028</v>
          </cell>
          <cell r="CF10">
            <v>110.20500000000003</v>
          </cell>
          <cell r="CG10">
            <v>128.94450000000003</v>
          </cell>
          <cell r="CH10">
            <v>148.43237437500005</v>
          </cell>
        </row>
        <row r="12">
          <cell r="A12" t="str">
            <v>Total Cost of Sales</v>
          </cell>
          <cell r="AD12">
            <v>4.1290000000000004</v>
          </cell>
          <cell r="AE12">
            <v>4.4847999999999999</v>
          </cell>
          <cell r="AF12">
            <v>5.1680000000000001</v>
          </cell>
          <cell r="AG12">
            <v>6.0975000000000001</v>
          </cell>
          <cell r="AH12">
            <v>6.383</v>
          </cell>
          <cell r="AI12">
            <v>7.2720000000000002</v>
          </cell>
          <cell r="AJ12">
            <v>7.7</v>
          </cell>
          <cell r="AK12">
            <v>9.0010000000000012</v>
          </cell>
          <cell r="AL12">
            <v>9.27</v>
          </cell>
          <cell r="AM12">
            <v>10.015000000000001</v>
          </cell>
          <cell r="AN12">
            <v>11.068999999999999</v>
          </cell>
          <cell r="AO12">
            <v>12.626000000000001</v>
          </cell>
          <cell r="AP12">
            <v>14.361000000000001</v>
          </cell>
          <cell r="AQ12">
            <v>16.28</v>
          </cell>
          <cell r="AR12">
            <v>17.931000000000001</v>
          </cell>
          <cell r="AS12">
            <v>20.268000000000001</v>
          </cell>
          <cell r="AT12">
            <v>23.444000000000003</v>
          </cell>
          <cell r="AU12">
            <v>23.382000000000001</v>
          </cell>
          <cell r="AV12">
            <v>24.333000000000002</v>
          </cell>
          <cell r="AW12">
            <v>30.038</v>
          </cell>
          <cell r="AX12">
            <v>30.949999999999996</v>
          </cell>
          <cell r="AY12">
            <v>32.17499999999999</v>
          </cell>
          <cell r="AZ12">
            <v>33.400000000000013</v>
          </cell>
          <cell r="BA12">
            <v>35.25</v>
          </cell>
          <cell r="BB12">
            <v>37.599999999999994</v>
          </cell>
          <cell r="BC12">
            <v>39.575000000000003</v>
          </cell>
          <cell r="BD12">
            <v>41.67500000000004</v>
          </cell>
          <cell r="BE12">
            <v>44.025000000000006</v>
          </cell>
          <cell r="BF12">
            <v>44.332199999999986</v>
          </cell>
          <cell r="BG12">
            <v>46.638899999999992</v>
          </cell>
          <cell r="BH12">
            <v>49.087800000000044</v>
          </cell>
          <cell r="BI12">
            <v>51.821099999999994</v>
          </cell>
          <cell r="BJ12">
            <v>51.897517499999992</v>
          </cell>
          <cell r="BK12">
            <v>54.597491249999997</v>
          </cell>
          <cell r="BL12">
            <v>57.463845000000049</v>
          </cell>
          <cell r="BM12">
            <v>60.662958749999994</v>
          </cell>
          <cell r="BN12">
            <v>59.460404999999994</v>
          </cell>
          <cell r="BO12">
            <v>63.327946875000002</v>
          </cell>
          <cell r="BP12">
            <v>65.836953750000049</v>
          </cell>
          <cell r="BQ12">
            <v>69.501543749999996</v>
          </cell>
          <cell r="BY12">
            <v>19.879300000000001</v>
          </cell>
          <cell r="BZ12">
            <v>30.356000000000002</v>
          </cell>
          <cell r="CA12">
            <v>42.980000000000004</v>
          </cell>
          <cell r="CB12">
            <v>68.84</v>
          </cell>
          <cell r="CC12">
            <v>101.197</v>
          </cell>
          <cell r="CD12">
            <v>131.77500000000001</v>
          </cell>
          <cell r="CE12">
            <v>162.87500000000006</v>
          </cell>
          <cell r="CF12">
            <v>191.88000000000002</v>
          </cell>
          <cell r="CG12">
            <v>224.62181250000003</v>
          </cell>
          <cell r="CH12">
            <v>258.12684937500001</v>
          </cell>
        </row>
        <row r="14">
          <cell r="A14" t="str">
            <v>Gross Profit Subscription</v>
          </cell>
          <cell r="AD14">
            <v>10.898</v>
          </cell>
          <cell r="AE14">
            <v>12.264600000000002</v>
          </cell>
          <cell r="AF14">
            <v>13.416399999999999</v>
          </cell>
          <cell r="AG14">
            <v>14.0235</v>
          </cell>
          <cell r="AH14">
            <v>14.497000000000002</v>
          </cell>
          <cell r="AI14">
            <v>16.136499999999998</v>
          </cell>
          <cell r="AJ14">
            <v>16.577999999999999</v>
          </cell>
          <cell r="AK14">
            <v>17.545999999999999</v>
          </cell>
          <cell r="AL14">
            <v>19.475000000000001</v>
          </cell>
          <cell r="AM14">
            <v>21.823999999999998</v>
          </cell>
          <cell r="AN14">
            <v>23.579000000000001</v>
          </cell>
          <cell r="AO14">
            <v>25.706999999999997</v>
          </cell>
          <cell r="AP14">
            <v>28.851999999999997</v>
          </cell>
          <cell r="AQ14">
            <v>31.589999999999996</v>
          </cell>
          <cell r="AR14">
            <v>35.08</v>
          </cell>
          <cell r="AS14">
            <v>36.195999999999998</v>
          </cell>
          <cell r="AT14">
            <v>38.833999999999996</v>
          </cell>
          <cell r="AU14">
            <v>42.564999999999998</v>
          </cell>
          <cell r="AV14">
            <v>45.83</v>
          </cell>
          <cell r="AW14">
            <v>53.338999999999999</v>
          </cell>
          <cell r="AX14">
            <v>53.249999999999986</v>
          </cell>
          <cell r="AY14">
            <v>55.124999999999972</v>
          </cell>
          <cell r="AZ14">
            <v>57.000000000000028</v>
          </cell>
          <cell r="BA14">
            <v>60.75</v>
          </cell>
          <cell r="BB14">
            <v>65.999999999999986</v>
          </cell>
          <cell r="BC14">
            <v>70.124999999999986</v>
          </cell>
          <cell r="BD14">
            <v>74.625000000000114</v>
          </cell>
          <cell r="BE14">
            <v>79.875</v>
          </cell>
          <cell r="BF14">
            <v>80.572799999999987</v>
          </cell>
          <cell r="BG14">
            <v>85.608599999999981</v>
          </cell>
          <cell r="BH14">
            <v>91.102200000000138</v>
          </cell>
          <cell r="BI14">
            <v>97.511399999999995</v>
          </cell>
          <cell r="BJ14">
            <v>94.797119999999993</v>
          </cell>
          <cell r="BK14">
            <v>100.72193999999999</v>
          </cell>
          <cell r="BL14">
            <v>107.18538000000017</v>
          </cell>
          <cell r="BM14">
            <v>114.72605999999999</v>
          </cell>
          <cell r="BN14">
            <v>109.15937999999998</v>
          </cell>
          <cell r="BO14">
            <v>118.50318562499999</v>
          </cell>
          <cell r="BP14">
            <v>123.42452625000018</v>
          </cell>
          <cell r="BQ14">
            <v>132.10765874999998</v>
          </cell>
          <cell r="BY14">
            <v>50.602499999999999</v>
          </cell>
          <cell r="BZ14">
            <v>64.757499999999993</v>
          </cell>
          <cell r="CA14">
            <v>90.584999999999994</v>
          </cell>
          <cell r="CB14">
            <v>131.71799999999999</v>
          </cell>
          <cell r="CC14">
            <v>180.56799999999998</v>
          </cell>
          <cell r="CD14">
            <v>226.125</v>
          </cell>
          <cell r="CE14">
            <v>290.62500000000011</v>
          </cell>
          <cell r="CF14">
            <v>354.79500000000007</v>
          </cell>
          <cell r="CG14">
            <v>417.43050000000017</v>
          </cell>
          <cell r="CH14">
            <v>483.19475062500015</v>
          </cell>
        </row>
        <row r="15">
          <cell r="A15" t="str">
            <v>Gross Profit Professional Services</v>
          </cell>
          <cell r="AD15">
            <v>0.66799999999999993</v>
          </cell>
          <cell r="AE15">
            <v>0.33960000000000012</v>
          </cell>
          <cell r="AF15">
            <v>0.59540000000000015</v>
          </cell>
          <cell r="AG15">
            <v>0.25700000000000012</v>
          </cell>
          <cell r="AH15">
            <v>0.20599999999999996</v>
          </cell>
          <cell r="AI15">
            <v>-0.21949999999999958</v>
          </cell>
          <cell r="AJ15">
            <v>0.31799999999999962</v>
          </cell>
          <cell r="AK15">
            <v>2.4999999999999911E-2</v>
          </cell>
          <cell r="AL15">
            <v>8.8999999999999968E-2</v>
          </cell>
          <cell r="AM15">
            <v>0.17599999999999927</v>
          </cell>
          <cell r="AN15">
            <v>-0.22199999999999953</v>
          </cell>
          <cell r="AO15">
            <v>0.65799999999999947</v>
          </cell>
          <cell r="AP15">
            <v>0.81299999999999972</v>
          </cell>
          <cell r="AQ15">
            <v>0.96600000000000019</v>
          </cell>
          <cell r="AR15">
            <v>2.1120000000000001</v>
          </cell>
          <cell r="AS15">
            <v>3.0439999999999987</v>
          </cell>
          <cell r="AT15">
            <v>1.7789999999999999</v>
          </cell>
          <cell r="AU15">
            <v>3.3710000000000004</v>
          </cell>
          <cell r="AV15">
            <v>4.4920000000000009</v>
          </cell>
          <cell r="AW15">
            <v>2.3879999999999999</v>
          </cell>
          <cell r="AX15">
            <v>3.2999999999999989</v>
          </cell>
          <cell r="AY15">
            <v>3.4499999999999993</v>
          </cell>
          <cell r="AZ15">
            <v>3.5999999999999996</v>
          </cell>
          <cell r="BA15">
            <v>3.75</v>
          </cell>
          <cell r="BB15">
            <v>3.8999999999999986</v>
          </cell>
          <cell r="BC15">
            <v>4.0500000000000007</v>
          </cell>
          <cell r="BD15">
            <v>4.1999999999999993</v>
          </cell>
          <cell r="BE15">
            <v>4.3499999999999979</v>
          </cell>
          <cell r="BF15">
            <v>4.0950000000000024</v>
          </cell>
          <cell r="BG15">
            <v>4.2525000000000013</v>
          </cell>
          <cell r="BH15">
            <v>4.41</v>
          </cell>
          <cell r="BI15">
            <v>4.5675000000000026</v>
          </cell>
          <cell r="BJ15">
            <v>4.8803625000000004</v>
          </cell>
          <cell r="BK15">
            <v>5.0680687500000019</v>
          </cell>
          <cell r="BL15">
            <v>5.2557749999999999</v>
          </cell>
          <cell r="BM15">
            <v>5.4434812500000014</v>
          </cell>
          <cell r="BN15">
            <v>5.6914649999999973</v>
          </cell>
          <cell r="BO15">
            <v>5.9103674999999996</v>
          </cell>
          <cell r="BP15">
            <v>6.1292699999999982</v>
          </cell>
          <cell r="BQ15">
            <v>6.3481724999999969</v>
          </cell>
          <cell r="BY15">
            <v>1.8600000000000003</v>
          </cell>
          <cell r="BZ15">
            <v>0.3294999999999999</v>
          </cell>
          <cell r="CA15">
            <v>0.70099999999999918</v>
          </cell>
          <cell r="CB15">
            <v>6.9349999999999987</v>
          </cell>
          <cell r="CC15">
            <v>12.030000000000001</v>
          </cell>
          <cell r="CD15">
            <v>14.099999999999998</v>
          </cell>
          <cell r="CE15">
            <v>16.499999999999996</v>
          </cell>
          <cell r="CF15">
            <v>17.325000000000006</v>
          </cell>
          <cell r="CG15">
            <v>20.647687500000004</v>
          </cell>
          <cell r="CH15">
            <v>24.079274999999992</v>
          </cell>
        </row>
        <row r="16">
          <cell r="A16" t="str">
            <v>Total Gross Profit</v>
          </cell>
          <cell r="AD16">
            <v>11.565999999999999</v>
          </cell>
          <cell r="AE16">
            <v>12.604200000000002</v>
          </cell>
          <cell r="AF16">
            <v>14.011800000000001</v>
          </cell>
          <cell r="AG16">
            <v>14.2805</v>
          </cell>
          <cell r="AH16">
            <v>14.703000000000003</v>
          </cell>
          <cell r="AI16">
            <v>15.917</v>
          </cell>
          <cell r="AJ16">
            <v>16.895999999999997</v>
          </cell>
          <cell r="AK16">
            <v>17.571000000000002</v>
          </cell>
          <cell r="AL16">
            <v>19.564</v>
          </cell>
          <cell r="AM16">
            <v>22</v>
          </cell>
          <cell r="AN16">
            <v>23.357000000000003</v>
          </cell>
          <cell r="AO16">
            <v>26.364999999999998</v>
          </cell>
          <cell r="AP16">
            <v>29.664999999999996</v>
          </cell>
          <cell r="AQ16">
            <v>32.555999999999997</v>
          </cell>
          <cell r="AR16">
            <v>37.191999999999993</v>
          </cell>
          <cell r="AS16">
            <v>39.24</v>
          </cell>
          <cell r="AT16">
            <v>40.613</v>
          </cell>
          <cell r="AU16">
            <v>45.935999999999993</v>
          </cell>
          <cell r="AV16">
            <v>50.322000000000003</v>
          </cell>
          <cell r="AW16">
            <v>55.727000000000004</v>
          </cell>
          <cell r="AX16">
            <v>56.54999999999999</v>
          </cell>
          <cell r="AY16">
            <v>58.574999999999967</v>
          </cell>
          <cell r="AZ16">
            <v>60.60000000000003</v>
          </cell>
          <cell r="BA16">
            <v>64.5</v>
          </cell>
          <cell r="BB16">
            <v>69.899999999999991</v>
          </cell>
          <cell r="BC16">
            <v>74.174999999999983</v>
          </cell>
          <cell r="BD16">
            <v>78.825000000000117</v>
          </cell>
          <cell r="BE16">
            <v>84.224999999999994</v>
          </cell>
          <cell r="BF16">
            <v>84.667799999999986</v>
          </cell>
          <cell r="BG16">
            <v>89.861099999999979</v>
          </cell>
          <cell r="BH16">
            <v>95.512200000000121</v>
          </cell>
          <cell r="BI16">
            <v>102.0789</v>
          </cell>
          <cell r="BJ16">
            <v>99.677482499999996</v>
          </cell>
          <cell r="BK16">
            <v>105.79000875</v>
          </cell>
          <cell r="BL16">
            <v>112.44115500000015</v>
          </cell>
          <cell r="BM16">
            <v>120.16954124999998</v>
          </cell>
          <cell r="BN16">
            <v>114.85084499999998</v>
          </cell>
          <cell r="BO16">
            <v>124.41355312499996</v>
          </cell>
          <cell r="BP16">
            <v>129.5537962500002</v>
          </cell>
          <cell r="BQ16">
            <v>138.45583124999996</v>
          </cell>
          <cell r="BY16">
            <v>52.462500000000006</v>
          </cell>
          <cell r="BZ16">
            <v>65.087000000000003</v>
          </cell>
          <cell r="CA16">
            <v>91.286000000000001</v>
          </cell>
          <cell r="CB16">
            <v>138.65299999999999</v>
          </cell>
          <cell r="CC16">
            <v>192.59799999999998</v>
          </cell>
          <cell r="CD16">
            <v>240.22499999999999</v>
          </cell>
          <cell r="CE16">
            <v>307.12500000000011</v>
          </cell>
          <cell r="CF16">
            <v>372.12000000000012</v>
          </cell>
          <cell r="CG16">
            <v>438.07818750000013</v>
          </cell>
          <cell r="CH16">
            <v>507.27402562500015</v>
          </cell>
        </row>
        <row r="24">
          <cell r="A24" t="str">
            <v>Operating Income</v>
          </cell>
          <cell r="AD24">
            <v>1.6189999999999998</v>
          </cell>
          <cell r="AE24">
            <v>1.5652000000000026</v>
          </cell>
          <cell r="AF24">
            <v>2.0668000000000006</v>
          </cell>
          <cell r="AG24">
            <v>2.2444999999999986</v>
          </cell>
          <cell r="AH24">
            <v>1.1690000000000023</v>
          </cell>
          <cell r="AI24">
            <v>0.121000000000001</v>
          </cell>
          <cell r="AJ24">
            <v>0.12699999999999656</v>
          </cell>
          <cell r="AK24">
            <v>-0.73999999999999844</v>
          </cell>
          <cell r="AL24">
            <v>-1.0740000000000016</v>
          </cell>
          <cell r="AM24">
            <v>-0.81299999999999883</v>
          </cell>
          <cell r="AN24">
            <v>-4.0659999999999989</v>
          </cell>
          <cell r="AO24">
            <v>-6.9910000000000032</v>
          </cell>
          <cell r="AP24">
            <v>-3.360000000000003</v>
          </cell>
          <cell r="AQ24">
            <v>-3.6490000000000009</v>
          </cell>
          <cell r="AR24">
            <v>-5.284000000000006</v>
          </cell>
          <cell r="AS24">
            <v>-3.2419999999999973</v>
          </cell>
          <cell r="AT24">
            <v>-1.9309999999999974</v>
          </cell>
          <cell r="AU24">
            <v>0.57699999999999108</v>
          </cell>
          <cell r="AV24">
            <v>2.3190000000000026</v>
          </cell>
          <cell r="AW24">
            <v>-6.5649999999999977</v>
          </cell>
          <cell r="AX24">
            <v>-5.6999999999999957</v>
          </cell>
          <cell r="AY24">
            <v>-6.4250000000000327</v>
          </cell>
          <cell r="AZ24">
            <v>-6.1499999999999986</v>
          </cell>
          <cell r="BA24">
            <v>-3</v>
          </cell>
          <cell r="BB24">
            <v>-2.6000000000000085</v>
          </cell>
          <cell r="BC24">
            <v>-2.3250000000000171</v>
          </cell>
          <cell r="BD24">
            <v>-1.6749999999998977</v>
          </cell>
          <cell r="BE24">
            <v>-0.2750000000000199</v>
          </cell>
          <cell r="BF24">
            <v>0.63479999999998427</v>
          </cell>
          <cell r="BG24">
            <v>1.2005999999999943</v>
          </cell>
          <cell r="BH24">
            <v>2.2380000000001274</v>
          </cell>
          <cell r="BI24">
            <v>4.2185999999999808</v>
          </cell>
          <cell r="BJ24">
            <v>4.4249324999999686</v>
          </cell>
          <cell r="BK24">
            <v>5.3028337499999765</v>
          </cell>
          <cell r="BL24">
            <v>6.7517850000001545</v>
          </cell>
          <cell r="BM24">
            <v>9.3428362499999764</v>
          </cell>
          <cell r="BN24">
            <v>9.3195712499999814</v>
          </cell>
          <cell r="BO24">
            <v>11.106400141483476</v>
          </cell>
          <cell r="BP24">
            <v>12.505008000000203</v>
          </cell>
          <cell r="BQ24">
            <v>15.788140124999956</v>
          </cell>
          <cell r="BY24">
            <v>7.4955000000000016</v>
          </cell>
          <cell r="BZ24">
            <v>0.67700000000000138</v>
          </cell>
          <cell r="CA24">
            <v>-12.944000000000003</v>
          </cell>
          <cell r="CB24">
            <v>-15.535000000000007</v>
          </cell>
          <cell r="CC24">
            <v>-5.6000000000000014</v>
          </cell>
          <cell r="CD24">
            <v>-21.275000000000027</v>
          </cell>
          <cell r="CE24">
            <v>-6.8749999999999432</v>
          </cell>
          <cell r="CF24">
            <v>8.2920000000000869</v>
          </cell>
          <cell r="CG24">
            <v>25.822387500000076</v>
          </cell>
          <cell r="CH24">
            <v>48.719119516483616</v>
          </cell>
        </row>
        <row r="32">
          <cell r="A32" t="str">
            <v>Stock based comp exp</v>
          </cell>
          <cell r="AD32">
            <v>0.159</v>
          </cell>
          <cell r="AE32">
            <v>0.24199999999999999</v>
          </cell>
          <cell r="AF32">
            <v>0.24099999999999999</v>
          </cell>
          <cell r="AG32">
            <v>0.34099999999999997</v>
          </cell>
          <cell r="AH32">
            <v>0.498</v>
          </cell>
          <cell r="AI32">
            <v>1.609</v>
          </cell>
          <cell r="AJ32">
            <v>0.61699999999999999</v>
          </cell>
          <cell r="AK32">
            <v>0.622</v>
          </cell>
          <cell r="AL32">
            <v>0.81899999999999995</v>
          </cell>
          <cell r="AM32">
            <v>0.99299999999999988</v>
          </cell>
          <cell r="AN32">
            <v>1.1600000000000001</v>
          </cell>
          <cell r="AO32">
            <v>1.4529999999999998</v>
          </cell>
          <cell r="AP32">
            <v>1.3230000000000002</v>
          </cell>
          <cell r="AQ32">
            <v>1.6890000000000001</v>
          </cell>
          <cell r="AR32">
            <v>1.9300000000000002</v>
          </cell>
          <cell r="AS32">
            <v>2.012</v>
          </cell>
          <cell r="AT32">
            <v>2.1779999999999999</v>
          </cell>
          <cell r="AU32">
            <v>2.7749999999999999</v>
          </cell>
          <cell r="AV32">
            <v>2.7709999999999999</v>
          </cell>
          <cell r="AW32">
            <v>3.4580000000000002</v>
          </cell>
          <cell r="AX32">
            <v>4.25</v>
          </cell>
          <cell r="AY32">
            <v>4.3650000000000002</v>
          </cell>
          <cell r="AZ32">
            <v>4.4800000000000004</v>
          </cell>
          <cell r="BA32">
            <v>4.6000000000000005</v>
          </cell>
          <cell r="BB32">
            <v>4.7200000000000006</v>
          </cell>
          <cell r="BC32">
            <v>4.8400000000000007</v>
          </cell>
          <cell r="BD32">
            <v>4.9600000000000009</v>
          </cell>
          <cell r="BE32">
            <v>5.080000000000001</v>
          </cell>
          <cell r="BF32">
            <v>5.2000000000000011</v>
          </cell>
          <cell r="BG32">
            <v>5.3200000000000012</v>
          </cell>
          <cell r="BH32">
            <v>5.4400000000000013</v>
          </cell>
          <cell r="BI32">
            <v>5.5600000000000014</v>
          </cell>
          <cell r="BJ32">
            <v>5.6800000000000015</v>
          </cell>
          <cell r="BK32">
            <v>5.8000000000000016</v>
          </cell>
          <cell r="BL32">
            <v>5.9200000000000017</v>
          </cell>
          <cell r="BM32">
            <v>6.0400000000000018</v>
          </cell>
          <cell r="BN32">
            <v>6.1600000000000019</v>
          </cell>
          <cell r="BO32">
            <v>6.280000000000002</v>
          </cell>
          <cell r="BP32">
            <v>6.4000000000000021</v>
          </cell>
          <cell r="BQ32">
            <v>6.5200000000000022</v>
          </cell>
          <cell r="BY32">
            <v>0.98299999999999998</v>
          </cell>
          <cell r="BZ32">
            <v>3.3460000000000001</v>
          </cell>
          <cell r="CA32">
            <v>4.4249999999999998</v>
          </cell>
          <cell r="CB32">
            <v>6.9540000000000006</v>
          </cell>
          <cell r="CC32">
            <v>11.181999999999999</v>
          </cell>
          <cell r="CD32">
            <v>17.695</v>
          </cell>
          <cell r="CE32">
            <v>19.600000000000005</v>
          </cell>
          <cell r="CF32">
            <v>21.520000000000007</v>
          </cell>
          <cell r="CG32">
            <v>23.440000000000008</v>
          </cell>
          <cell r="CH32">
            <v>25.36000000000001</v>
          </cell>
        </row>
        <row r="41">
          <cell r="A41" t="str">
            <v>Other</v>
          </cell>
          <cell r="AH41">
            <v>0</v>
          </cell>
          <cell r="AI41">
            <v>0</v>
          </cell>
          <cell r="AJ41">
            <v>0</v>
          </cell>
          <cell r="AK41">
            <v>0</v>
          </cell>
          <cell r="AL41">
            <v>0</v>
          </cell>
          <cell r="AM41">
            <v>0</v>
          </cell>
          <cell r="AN41">
            <v>0</v>
          </cell>
          <cell r="AO41">
            <v>0</v>
          </cell>
          <cell r="AP41">
            <v>0</v>
          </cell>
          <cell r="AQ41">
            <v>0</v>
          </cell>
          <cell r="AR41">
            <v>0</v>
          </cell>
          <cell r="AS41">
            <v>0</v>
          </cell>
          <cell r="AT41">
            <v>0.32100000000000001</v>
          </cell>
          <cell r="AU41">
            <v>-7.4999999999999997E-2</v>
          </cell>
          <cell r="AV41">
            <v>0</v>
          </cell>
          <cell r="AW41">
            <v>0</v>
          </cell>
          <cell r="AX41">
            <v>0</v>
          </cell>
          <cell r="AY41">
            <v>0</v>
          </cell>
          <cell r="AZ41">
            <v>0</v>
          </cell>
          <cell r="BA41">
            <v>0</v>
          </cell>
          <cell r="CA41">
            <v>0</v>
          </cell>
          <cell r="CB41">
            <v>0</v>
          </cell>
          <cell r="CC41">
            <v>0.246</v>
          </cell>
          <cell r="CD41">
            <v>0</v>
          </cell>
        </row>
        <row r="87">
          <cell r="A87" t="str">
            <v>Key Metrics</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1</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row>
        <row r="94">
          <cell r="A94" t="str">
            <v>Mgmt Rev guidance #3</v>
          </cell>
          <cell r="CC94" t="str">
            <v>287-288</v>
          </cell>
        </row>
        <row r="106">
          <cell r="A106" t="str">
            <v xml:space="preserve">     Total Cash/Share</v>
          </cell>
          <cell r="AD106">
            <v>0.38953540232334199</v>
          </cell>
          <cell r="AE106">
            <v>0.49744184173707007</v>
          </cell>
          <cell r="AF106">
            <v>0.55744055963518946</v>
          </cell>
          <cell r="AG106">
            <v>0.56667990592748552</v>
          </cell>
          <cell r="AH106">
            <v>0.44656840412763804</v>
          </cell>
          <cell r="AI106">
            <v>2.4841294265879181</v>
          </cell>
          <cell r="AJ106">
            <v>2.7367856245809499</v>
          </cell>
          <cell r="AK106">
            <v>3.9172546959262693</v>
          </cell>
          <cell r="AL106">
            <v>3.135446307192979</v>
          </cell>
          <cell r="AM106">
            <v>2.7105504437509738</v>
          </cell>
          <cell r="AN106">
            <v>2.0130368316844329</v>
          </cell>
          <cell r="AO106">
            <v>2.6011611462903339</v>
          </cell>
          <cell r="AP106">
            <v>5.1941095403208495</v>
          </cell>
          <cell r="AQ106">
            <v>4.0300659734951676</v>
          </cell>
          <cell r="AR106">
            <v>3.3706504066338963</v>
          </cell>
          <cell r="AS106">
            <v>4.1203524369130635</v>
          </cell>
          <cell r="AT106">
            <v>14.357940083064079</v>
          </cell>
          <cell r="AU106">
            <v>3.207380728016525</v>
          </cell>
          <cell r="AV106">
            <v>3.1960686572209394</v>
          </cell>
          <cell r="AW106">
            <v>1.6062930972149476</v>
          </cell>
          <cell r="AX106">
            <v>1.5438213371676246</v>
          </cell>
          <cell r="AY106">
            <v>1.4532044673526132</v>
          </cell>
          <cell r="AZ106">
            <v>1.3574666766696146</v>
          </cell>
          <cell r="BA106">
            <v>1.3080650984824957</v>
          </cell>
          <cell r="BB106">
            <v>1.271988794846892</v>
          </cell>
          <cell r="BC106">
            <v>1.2224982142595791</v>
          </cell>
          <cell r="BD106">
            <v>1.1891993836486945</v>
          </cell>
          <cell r="BE106">
            <v>1.2112146450655468</v>
          </cell>
          <cell r="BF106">
            <v>1.0110198201185405</v>
          </cell>
          <cell r="BG106">
            <v>1.0622463201497134</v>
          </cell>
          <cell r="BH106">
            <v>1.3073078745392388</v>
          </cell>
          <cell r="BI106">
            <v>1.521924421605511</v>
          </cell>
          <cell r="BJ106">
            <v>1.2652043269593065</v>
          </cell>
          <cell r="BK106">
            <v>1.3537206714695338</v>
          </cell>
          <cell r="BL106">
            <v>1.6884884496775927</v>
          </cell>
          <cell r="BM106">
            <v>2.1819641649988037</v>
          </cell>
          <cell r="BN106">
            <v>1.9573175119320447</v>
          </cell>
          <cell r="BO106">
            <v>2.2015456195742038</v>
          </cell>
          <cell r="BP106">
            <v>2.7313830892947903</v>
          </cell>
          <cell r="BQ106">
            <v>3.2639040539556645</v>
          </cell>
          <cell r="BY106" t="e">
            <v>#NAME?</v>
          </cell>
          <cell r="BZ106">
            <v>3.9172546959262693</v>
          </cell>
          <cell r="CA106">
            <v>2.6011611462903339</v>
          </cell>
          <cell r="CB106">
            <v>5.9176003036541465</v>
          </cell>
          <cell r="CC106">
            <v>2.0341734502157407</v>
          </cell>
          <cell r="CD106">
            <v>1.3358962707906339</v>
          </cell>
          <cell r="CE106">
            <v>1.2187066944164677</v>
          </cell>
          <cell r="CF106">
            <v>1.5311856249824209</v>
          </cell>
          <cell r="CG106">
            <v>2.1950298186814314</v>
          </cell>
          <cell r="CH106">
            <v>3.2831412094799615</v>
          </cell>
        </row>
        <row r="116">
          <cell r="BQ116">
            <v>-10</v>
          </cell>
        </row>
        <row r="128">
          <cell r="A128" t="str">
            <v>EPS TTM</v>
          </cell>
          <cell r="AD128">
            <v>0.11052995749672569</v>
          </cell>
          <cell r="AE128">
            <v>0.2261016323529515</v>
          </cell>
          <cell r="AF128">
            <v>0.37744440594083151</v>
          </cell>
          <cell r="AG128">
            <v>0.51814482139202966</v>
          </cell>
          <cell r="AH128">
            <v>0.5118711911935574</v>
          </cell>
          <cell r="AI128">
            <v>0.49063210132163737</v>
          </cell>
          <cell r="AJ128">
            <v>0.36084780241578085</v>
          </cell>
          <cell r="AK128">
            <v>0.17440691951753745</v>
          </cell>
          <cell r="AL128">
            <v>2.2356936707283767E-2</v>
          </cell>
          <cell r="AM128">
            <v>-2.6121114826367857E-2</v>
          </cell>
          <cell r="AN128">
            <v>-0.33934636073556118</v>
          </cell>
          <cell r="AO128">
            <v>-0.78363344479102781</v>
          </cell>
          <cell r="AP128">
            <v>-0.9255315532801166</v>
          </cell>
          <cell r="AQ128">
            <v>-1.169062470984461</v>
          </cell>
          <cell r="AR128">
            <v>-3.172403692362165</v>
          </cell>
          <cell r="AS128">
            <v>-2.9415229262007956</v>
          </cell>
          <cell r="AT128">
            <v>-2.9001380574250595</v>
          </cell>
          <cell r="AU128">
            <v>-2.6951995646477234</v>
          </cell>
          <cell r="AV128">
            <v>-0.36523393515136637</v>
          </cell>
          <cell r="AW128">
            <v>-0.20568674738909015</v>
          </cell>
          <cell r="AX128">
            <v>-0.14301753332315775</v>
          </cell>
          <cell r="AY128">
            <v>-0.24490821327537543</v>
          </cell>
          <cell r="AZ128">
            <v>-0.36914754030770369</v>
          </cell>
          <cell r="BA128">
            <v>-0.31370072050661496</v>
          </cell>
          <cell r="BB128">
            <v>-0.26636179453391684</v>
          </cell>
          <cell r="BC128">
            <v>-0.20594809913840303</v>
          </cell>
          <cell r="BD128">
            <v>-0.14168698512924383</v>
          </cell>
          <cell r="BE128">
            <v>-0.10318994505638435</v>
          </cell>
          <cell r="BF128">
            <v>-5.8009557216601219E-2</v>
          </cell>
          <cell r="BG128">
            <v>-9.1388546252776249E-3</v>
          </cell>
          <cell r="BH128">
            <v>4.4613165501011839E-2</v>
          </cell>
          <cell r="BI128">
            <v>0.10563987094786538</v>
          </cell>
          <cell r="BJ128">
            <v>0.15680285007525913</v>
          </cell>
          <cell r="BK128">
            <v>0.21179814018366</v>
          </cell>
          <cell r="BL128">
            <v>0.27181550096993501</v>
          </cell>
          <cell r="BM128">
            <v>0.33924660002694129</v>
          </cell>
          <cell r="BN128">
            <v>0.4033439019487261</v>
          </cell>
          <cell r="BO128">
            <v>0.4789342569550713</v>
          </cell>
          <cell r="BP128">
            <v>0.5532705240696203</v>
          </cell>
          <cell r="BQ128">
            <v>0.63579580264828239</v>
          </cell>
          <cell r="BY128">
            <v>0</v>
          </cell>
          <cell r="BZ128" t="e">
            <v>#NAME?</v>
          </cell>
          <cell r="CA128">
            <v>0.17440691951753745</v>
          </cell>
          <cell r="CB128">
            <v>-0.78363344479102781</v>
          </cell>
          <cell r="CC128">
            <v>-2.6645529478639736</v>
          </cell>
          <cell r="CD128">
            <v>-0.11473356269851054</v>
          </cell>
          <cell r="CE128">
            <v>-0.31278014184397201</v>
          </cell>
          <cell r="CF128">
            <v>-0.10296907216494769</v>
          </cell>
          <cell r="CG128">
            <v>0.10596348884381461</v>
          </cell>
          <cell r="CH128">
            <v>0.33967248835662128</v>
          </cell>
        </row>
        <row r="203">
          <cell r="A203" t="str">
            <v>Number of Shares Repurchased</v>
          </cell>
          <cell r="AD203">
            <v>8</v>
          </cell>
          <cell r="AE203">
            <v>0</v>
          </cell>
          <cell r="AF203">
            <v>0</v>
          </cell>
          <cell r="AG203">
            <v>0</v>
          </cell>
          <cell r="CE203">
            <v>0</v>
          </cell>
          <cell r="CF203">
            <v>0</v>
          </cell>
          <cell r="CG203">
            <v>0</v>
          </cell>
          <cell r="CH203">
            <v>0</v>
          </cell>
        </row>
        <row r="205">
          <cell r="A205" t="str">
            <v>Number of Shares Repurchased</v>
          </cell>
          <cell r="AD205">
            <v>8</v>
          </cell>
          <cell r="AE205">
            <v>0</v>
          </cell>
          <cell r="AF205">
            <v>0</v>
          </cell>
          <cell r="AG205">
            <v>0</v>
          </cell>
        </row>
        <row r="357">
          <cell r="A357" t="str">
            <v>--Y/Y FX impact to Growth ($)</v>
          </cell>
          <cell r="AD357" t="e">
            <v>#DIV/0!</v>
          </cell>
          <cell r="AE357" t="e">
            <v>#DIV/0!</v>
          </cell>
          <cell r="AF357" t="e">
            <v>#DIV/0!</v>
          </cell>
          <cell r="AG357" t="e">
            <v>#DIV/0!</v>
          </cell>
          <cell r="AH357">
            <v>-0.1601439845369903</v>
          </cell>
          <cell r="AI357">
            <v>-0.62462602872669137</v>
          </cell>
          <cell r="AJ357">
            <v>-0.87413557334431147</v>
          </cell>
          <cell r="AK357">
            <v>-0.3114682816710399</v>
          </cell>
          <cell r="AL357">
            <v>0.7299060943118505</v>
          </cell>
          <cell r="AM357">
            <v>0.63117820105943423</v>
          </cell>
          <cell r="AN357">
            <v>-0.14613925730314037</v>
          </cell>
          <cell r="AO357">
            <v>-0.93397833787400941</v>
          </cell>
          <cell r="AP357">
            <v>-0.1527221350934056</v>
          </cell>
          <cell r="AQ357">
            <v>6.9545645442659065E-3</v>
          </cell>
          <cell r="AR357">
            <v>0.75306203269585836</v>
          </cell>
          <cell r="AS357">
            <v>0.86035189884548657</v>
          </cell>
          <cell r="AT357">
            <v>0.36473612227025853</v>
          </cell>
          <cell r="AU357">
            <v>-6.3084172646071579E-2</v>
          </cell>
          <cell r="AV357">
            <v>-0.89351347896099753</v>
          </cell>
          <cell r="AW357">
            <v>-1.4382311437997117</v>
          </cell>
          <cell r="AX357">
            <v>-0.80913995117425941</v>
          </cell>
          <cell r="AY357">
            <v>-0.68509579390105557</v>
          </cell>
          <cell r="AZ357">
            <v>-0.51109456758277361</v>
          </cell>
          <cell r="BA357">
            <v>6.8091294425645259</v>
          </cell>
          <cell r="BB357">
            <v>4.4472151199574768</v>
          </cell>
          <cell r="BC357">
            <v>-1.1120859531296219</v>
          </cell>
          <cell r="BD357">
            <v>-1.308524791091159</v>
          </cell>
          <cell r="BE357">
            <v>-27.717418275611891</v>
          </cell>
          <cell r="BF357">
            <v>-12.451518635437878</v>
          </cell>
          <cell r="BG357" t="e">
            <v>#DIV/0!</v>
          </cell>
          <cell r="BH357" t="e">
            <v>#DIV/0!</v>
          </cell>
          <cell r="BI357" t="e">
            <v>#DIV/0!</v>
          </cell>
          <cell r="BJ357" t="e">
            <v>#DIV/0!</v>
          </cell>
          <cell r="BK357" t="e">
            <v>#DIV/0!</v>
          </cell>
          <cell r="BL357" t="e">
            <v>#DIV/0!</v>
          </cell>
          <cell r="BM357" t="e">
            <v>#DIV/0!</v>
          </cell>
          <cell r="BN357" t="e">
            <v>#DIV/0!</v>
          </cell>
          <cell r="BO357">
            <v>6.5562851646637625</v>
          </cell>
          <cell r="BP357">
            <v>4.1490414218674516</v>
          </cell>
          <cell r="BQ357" t="e">
            <v>#DIV/0!</v>
          </cell>
        </row>
        <row r="358">
          <cell r="A358" t="str">
            <v>FX % contribution to the reported growth number (10%, 50% of the growth, etc)</v>
          </cell>
          <cell r="AD358" t="e">
            <v>#DIV/0!</v>
          </cell>
          <cell r="AE358" t="e">
            <v>#DIV/0!</v>
          </cell>
          <cell r="AF358" t="e">
            <v>#DIV/0!</v>
          </cell>
          <cell r="AG358" t="e">
            <v>#DIV/0!</v>
          </cell>
          <cell r="AH358">
            <v>-2.9705803104616992E-2</v>
          </cell>
          <cell r="AI358">
            <v>-0.10239770962732649</v>
          </cell>
          <cell r="AJ358">
            <v>-0.16139277968766147</v>
          </cell>
          <cell r="AK358">
            <v>-5.0285482995001581E-2</v>
          </cell>
          <cell r="AL358">
            <v>9.4205742683511923E-2</v>
          </cell>
          <cell r="AM358">
            <v>7.1513505671814429E-2</v>
          </cell>
          <cell r="AN358">
            <v>-1.4866658932160751E-2</v>
          </cell>
          <cell r="AO358">
            <v>-7.5205599313472066E-2</v>
          </cell>
          <cell r="AP358">
            <v>-1.0052799835005639E-2</v>
          </cell>
          <cell r="AQ358">
            <v>4.1344536854324401E-4</v>
          </cell>
          <cell r="AR358">
            <v>3.6385081543018734E-2</v>
          </cell>
          <cell r="AS358">
            <v>4.1933611095456763E-2</v>
          </cell>
          <cell r="AT358">
            <v>1.8208582810157178E-2</v>
          </cell>
          <cell r="AU358">
            <v>-3.0799810880808311E-3</v>
          </cell>
          <cell r="AV358">
            <v>-4.5746133471277768E-2</v>
          </cell>
          <cell r="AW358">
            <v>-5.4775151152062759E-2</v>
          </cell>
          <cell r="AX358">
            <v>-3.4515205015324832E-2</v>
          </cell>
          <cell r="AY358">
            <v>-3.1966022485118345E-2</v>
          </cell>
          <cell r="AZ358">
            <v>-2.6419982816374903E-2</v>
          </cell>
          <cell r="BA358">
            <v>0.48688805452731687</v>
          </cell>
          <cell r="BB358">
            <v>0.22236075599787383</v>
          </cell>
          <cell r="BC358">
            <v>-4.8351563179548751E-2</v>
          </cell>
          <cell r="BD358">
            <v>-4.9378294003439752E-2</v>
          </cell>
          <cell r="BE358">
            <v>-0.97254099212673306</v>
          </cell>
          <cell r="BF358">
            <v>-0.57914040164827385</v>
          </cell>
          <cell r="BG358" t="e">
            <v>#DIV/0!</v>
          </cell>
          <cell r="BH358" t="e">
            <v>#DIV/0!</v>
          </cell>
          <cell r="BI358" t="e">
            <v>#DIV/0!</v>
          </cell>
          <cell r="BJ358" t="e">
            <v>#DIV/0!</v>
          </cell>
          <cell r="BK358" t="e">
            <v>#DIV/0!</v>
          </cell>
          <cell r="BL358" t="e">
            <v>#DIV/0!</v>
          </cell>
          <cell r="BM358" t="e">
            <v>#DIV/0!</v>
          </cell>
          <cell r="BN358" t="e">
            <v>#DIV/0!</v>
          </cell>
          <cell r="BO358">
            <v>0.23968286775841802</v>
          </cell>
          <cell r="BP358">
            <v>0.16279848236239636</v>
          </cell>
          <cell r="BQ358" t="e">
            <v>#DIV/0!</v>
          </cell>
        </row>
        <row r="359">
          <cell r="A359" t="str">
            <v>Reported Y/Y Growth (%)</v>
          </cell>
          <cell r="AD359" t="e">
            <v>#DIV/0!</v>
          </cell>
          <cell r="AE359" t="e">
            <v>#DIV/0!</v>
          </cell>
          <cell r="AF359" t="e">
            <v>#DIV/0!</v>
          </cell>
          <cell r="AG359" t="e">
            <v>#DIV/0!</v>
          </cell>
          <cell r="AH359">
            <v>0.34348518636508468</v>
          </cell>
          <cell r="AI359">
            <v>0.35695476622388655</v>
          </cell>
          <cell r="AJ359">
            <v>0.28239084870540865</v>
          </cell>
          <cell r="AK359">
            <v>0.30395524585337141</v>
          </cell>
          <cell r="AL359">
            <v>0.36744759556103579</v>
          </cell>
          <cell r="AM359">
            <v>0.38061149683039375</v>
          </cell>
          <cell r="AN359">
            <v>0.39965848105383045</v>
          </cell>
          <cell r="AO359">
            <v>0.4673716694264638</v>
          </cell>
          <cell r="AP359">
            <v>0.52687799126031742</v>
          </cell>
          <cell r="AQ359">
            <v>0.52540996407933771</v>
          </cell>
          <cell r="AR359">
            <v>0.60120257944576727</v>
          </cell>
          <cell r="AS359">
            <v>0.5261983534661846</v>
          </cell>
          <cell r="AT359">
            <v>0.45498114750374796</v>
          </cell>
          <cell r="AU359">
            <v>0.4194037185682693</v>
          </cell>
          <cell r="AV359">
            <v>0.35433485115106222</v>
          </cell>
          <cell r="AW359">
            <v>0.44123479196074472</v>
          </cell>
          <cell r="AX359">
            <v>0.3659709321385638</v>
          </cell>
          <cell r="AY359">
            <v>0.30918376179347318</v>
          </cell>
          <cell r="AZ359">
            <v>0.25912530975822168</v>
          </cell>
          <cell r="BA359">
            <v>0.16306185506908411</v>
          </cell>
          <cell r="BB359">
            <v>0.22857142857142862</v>
          </cell>
          <cell r="BC359">
            <v>0.25344352617079913</v>
          </cell>
          <cell r="BD359">
            <v>0.28191489361702238</v>
          </cell>
          <cell r="BE359">
            <v>0.2857142857142857</v>
          </cell>
          <cell r="BF359">
            <v>0.1999999999999999</v>
          </cell>
          <cell r="BG359">
            <v>0.1999999999999999</v>
          </cell>
          <cell r="BH359">
            <v>0.19999999999999982</v>
          </cell>
          <cell r="BI359">
            <v>0.20000000000000004</v>
          </cell>
          <cell r="BJ359">
            <v>0.17500000000000018</v>
          </cell>
          <cell r="BK359">
            <v>0.17500000000000016</v>
          </cell>
          <cell r="BL359">
            <v>0.17500000000000004</v>
          </cell>
          <cell r="BM359">
            <v>0.17499999999999985</v>
          </cell>
          <cell r="BN359">
            <v>0.14999999999999991</v>
          </cell>
          <cell r="BO359">
            <v>0.17054945054945048</v>
          </cell>
          <cell r="BP359">
            <v>0.15000000000000013</v>
          </cell>
          <cell r="BQ359">
            <v>0.14999999999999988</v>
          </cell>
        </row>
        <row r="395">
          <cell r="A395" t="str">
            <v>Deferred Income Taxes, Long Term</v>
          </cell>
          <cell r="AD395">
            <v>2.323</v>
          </cell>
          <cell r="AE395">
            <v>2.2160000000000002</v>
          </cell>
          <cell r="AF395">
            <v>2.2160000000000002</v>
          </cell>
          <cell r="AG395">
            <v>2.351</v>
          </cell>
          <cell r="AH395">
            <v>2.1890000000000001</v>
          </cell>
          <cell r="AI395">
            <v>2.0150000000000001</v>
          </cell>
          <cell r="AJ395">
            <v>2.0150000000000001</v>
          </cell>
          <cell r="AK395">
            <v>3.15</v>
          </cell>
          <cell r="AL395">
            <v>3.996</v>
          </cell>
          <cell r="AM395">
            <v>5.1539999999999999</v>
          </cell>
          <cell r="AN395">
            <v>6.4640000000000004</v>
          </cell>
          <cell r="AO395">
            <v>9.5719999999999992</v>
          </cell>
          <cell r="AP395">
            <v>11.117000000000001</v>
          </cell>
          <cell r="AQ395">
            <v>14.164</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cell r="BM395">
            <v>0</v>
          </cell>
          <cell r="BN395">
            <v>0</v>
          </cell>
          <cell r="BO395">
            <v>0</v>
          </cell>
          <cell r="BP395">
            <v>0</v>
          </cell>
          <cell r="BQ395">
            <v>0</v>
          </cell>
          <cell r="BY395">
            <v>2.351</v>
          </cell>
          <cell r="BZ395">
            <v>3.15</v>
          </cell>
          <cell r="CA395">
            <v>9.5719999999999992</v>
          </cell>
          <cell r="CB395">
            <v>0</v>
          </cell>
          <cell r="CC395">
            <v>0</v>
          </cell>
          <cell r="CD395">
            <v>0</v>
          </cell>
          <cell r="CE395">
            <v>0</v>
          </cell>
          <cell r="CF395">
            <v>0</v>
          </cell>
          <cell r="CG395">
            <v>0</v>
          </cell>
          <cell r="CH395">
            <v>0</v>
          </cell>
        </row>
        <row r="398">
          <cell r="A398" t="str">
            <v>Other Non Current Assets</v>
          </cell>
          <cell r="AD398">
            <v>0.185</v>
          </cell>
          <cell r="AE398">
            <v>0.16700000000000001</v>
          </cell>
          <cell r="AF398">
            <v>0.14899999999999999</v>
          </cell>
          <cell r="AG398">
            <v>0.13100000000000001</v>
          </cell>
          <cell r="AH398">
            <v>0.113</v>
          </cell>
          <cell r="AI398">
            <v>9.5000000000000001E-2</v>
          </cell>
          <cell r="AJ398">
            <v>7.6999999999999999E-2</v>
          </cell>
          <cell r="AK398">
            <v>4.2000000000000003E-2</v>
          </cell>
          <cell r="AL398">
            <v>2.4E-2</v>
          </cell>
          <cell r="AM398">
            <v>6.0000000000000001E-3</v>
          </cell>
          <cell r="AN398">
            <v>0</v>
          </cell>
          <cell r="AO398">
            <v>0.79100000000000004</v>
          </cell>
          <cell r="AP398">
            <v>0.83699999999999997</v>
          </cell>
          <cell r="AQ398">
            <v>0.95</v>
          </cell>
          <cell r="AR398">
            <v>0.92700000000000005</v>
          </cell>
          <cell r="AS398">
            <v>1.6639999999999999</v>
          </cell>
          <cell r="AT398">
            <v>4.8499999999999996</v>
          </cell>
          <cell r="AU398">
            <v>4.7119999999999997</v>
          </cell>
          <cell r="AV398">
            <v>4.9169999999999998</v>
          </cell>
          <cell r="AW398">
            <v>3.6309999999999998</v>
          </cell>
          <cell r="AX398">
            <v>3.302</v>
          </cell>
          <cell r="AY398">
            <v>3.302</v>
          </cell>
          <cell r="AZ398">
            <v>3.302</v>
          </cell>
          <cell r="BA398">
            <v>3.302</v>
          </cell>
          <cell r="BB398">
            <v>3.302</v>
          </cell>
          <cell r="BC398">
            <v>3.302</v>
          </cell>
          <cell r="BD398">
            <v>3.302</v>
          </cell>
          <cell r="BE398">
            <v>3.302</v>
          </cell>
          <cell r="BF398">
            <v>3.302</v>
          </cell>
          <cell r="BG398">
            <v>3.302</v>
          </cell>
          <cell r="BH398">
            <v>3.302</v>
          </cell>
          <cell r="BI398">
            <v>3.302</v>
          </cell>
          <cell r="BJ398">
            <v>3.302</v>
          </cell>
          <cell r="BK398">
            <v>3.302</v>
          </cell>
          <cell r="BL398">
            <v>3.302</v>
          </cell>
          <cell r="BM398">
            <v>3.302</v>
          </cell>
          <cell r="BN398">
            <v>3.302</v>
          </cell>
          <cell r="BO398">
            <v>3.302</v>
          </cell>
          <cell r="BP398">
            <v>3.302</v>
          </cell>
          <cell r="BQ398">
            <v>3.302</v>
          </cell>
          <cell r="BY398">
            <v>0.13100000000000001</v>
          </cell>
          <cell r="BZ398">
            <v>4.2000000000000003E-2</v>
          </cell>
          <cell r="CA398">
            <v>0.79100000000000004</v>
          </cell>
          <cell r="CB398">
            <v>1.6639999999999999</v>
          </cell>
          <cell r="CC398">
            <v>3.6309999999999998</v>
          </cell>
          <cell r="CD398">
            <v>3.302</v>
          </cell>
          <cell r="CE398">
            <v>3.302</v>
          </cell>
          <cell r="CF398">
            <v>3.302</v>
          </cell>
          <cell r="CG398">
            <v>3.302</v>
          </cell>
          <cell r="CH398">
            <v>3.302</v>
          </cell>
        </row>
        <row r="402">
          <cell r="A402" t="str">
            <v>Accrued Liabilities</v>
          </cell>
          <cell r="AD402">
            <v>1.389</v>
          </cell>
          <cell r="AE402">
            <v>1.5509999999999999</v>
          </cell>
          <cell r="AF402">
            <v>2.181</v>
          </cell>
          <cell r="AG402">
            <v>1.7509999999999999</v>
          </cell>
          <cell r="AH402">
            <v>1.827</v>
          </cell>
          <cell r="AI402">
            <v>1.629</v>
          </cell>
          <cell r="AJ402">
            <v>3.0419999999999998</v>
          </cell>
          <cell r="AK402">
            <v>2.4980000000000002</v>
          </cell>
          <cell r="AL402">
            <v>5.992</v>
          </cell>
          <cell r="AM402">
            <v>5.5419999999999998</v>
          </cell>
          <cell r="AN402">
            <v>7.2889999999999997</v>
          </cell>
          <cell r="AO402">
            <v>8.1989999999999998</v>
          </cell>
          <cell r="AP402">
            <v>6.8470000000000004</v>
          </cell>
          <cell r="AQ402">
            <v>4.9290000000000003</v>
          </cell>
          <cell r="AR402">
            <v>12.066000000000001</v>
          </cell>
          <cell r="AS402">
            <v>10.725</v>
          </cell>
          <cell r="AT402">
            <v>9.6460000000000008</v>
          </cell>
          <cell r="AU402">
            <v>12.098000000000001</v>
          </cell>
          <cell r="AV402">
            <v>15.856</v>
          </cell>
          <cell r="AW402">
            <v>12.874000000000001</v>
          </cell>
          <cell r="AX402">
            <v>12.874000000000001</v>
          </cell>
          <cell r="AY402">
            <v>12.874000000000001</v>
          </cell>
          <cell r="AZ402">
            <v>12.874000000000001</v>
          </cell>
          <cell r="BA402">
            <v>12.874000000000001</v>
          </cell>
          <cell r="BB402">
            <v>12.874000000000001</v>
          </cell>
          <cell r="BC402">
            <v>12.874000000000001</v>
          </cell>
          <cell r="BD402">
            <v>12.874000000000001</v>
          </cell>
          <cell r="BE402">
            <v>12.874000000000001</v>
          </cell>
          <cell r="BF402">
            <v>12.874000000000001</v>
          </cell>
          <cell r="BG402">
            <v>12.874000000000001</v>
          </cell>
          <cell r="BH402">
            <v>12.874000000000001</v>
          </cell>
          <cell r="BI402">
            <v>12.874000000000001</v>
          </cell>
          <cell r="BJ402">
            <v>12.874000000000001</v>
          </cell>
          <cell r="BK402">
            <v>12.874000000000001</v>
          </cell>
          <cell r="BL402">
            <v>12.874000000000001</v>
          </cell>
          <cell r="BM402">
            <v>12.874000000000001</v>
          </cell>
          <cell r="BN402">
            <v>12.874000000000001</v>
          </cell>
          <cell r="BO402">
            <v>12.874000000000001</v>
          </cell>
          <cell r="BP402">
            <v>12.874000000000001</v>
          </cell>
          <cell r="BQ402">
            <v>12.874000000000001</v>
          </cell>
          <cell r="BY402">
            <v>1.7509999999999999</v>
          </cell>
          <cell r="BZ402">
            <v>2.4980000000000002</v>
          </cell>
          <cell r="CA402">
            <v>8.1989999999999998</v>
          </cell>
          <cell r="CB402">
            <v>10.725</v>
          </cell>
          <cell r="CC402">
            <v>12.874000000000001</v>
          </cell>
          <cell r="CD402">
            <v>12.874000000000001</v>
          </cell>
          <cell r="CE402">
            <v>12.874000000000001</v>
          </cell>
          <cell r="CF402">
            <v>12.874000000000001</v>
          </cell>
          <cell r="CG402">
            <v>12.874000000000001</v>
          </cell>
          <cell r="CH402">
            <v>12.874000000000001</v>
          </cell>
        </row>
        <row r="403">
          <cell r="A403" t="str">
            <v>Accrued Compensation and Related Expenses</v>
          </cell>
          <cell r="AD403">
            <v>3.0649999999999999</v>
          </cell>
          <cell r="AE403">
            <v>3.3109999999999999</v>
          </cell>
          <cell r="AF403">
            <v>4.093</v>
          </cell>
          <cell r="AG403">
            <v>4.8390000000000004</v>
          </cell>
          <cell r="AH403">
            <v>3.6549999999999998</v>
          </cell>
          <cell r="AI403">
            <v>4.2720000000000002</v>
          </cell>
          <cell r="AJ403">
            <v>5.6289999999999996</v>
          </cell>
          <cell r="AK403">
            <v>5.9589999999999996</v>
          </cell>
          <cell r="AL403">
            <v>4.1909999999999998</v>
          </cell>
          <cell r="AM403">
            <v>4.8559999999999999</v>
          </cell>
          <cell r="AN403">
            <v>6.1790000000000003</v>
          </cell>
          <cell r="AO403">
            <v>10.143000000000001</v>
          </cell>
          <cell r="AP403">
            <v>8.2680000000000007</v>
          </cell>
          <cell r="AQ403">
            <v>10.592000000000001</v>
          </cell>
          <cell r="AR403">
            <v>13.505000000000001</v>
          </cell>
          <cell r="AS403">
            <v>14.167</v>
          </cell>
          <cell r="AT403">
            <v>9.9350000000000005</v>
          </cell>
          <cell r="AU403">
            <v>12.224</v>
          </cell>
          <cell r="AV403">
            <v>13.282</v>
          </cell>
          <cell r="AW403">
            <v>18.503</v>
          </cell>
          <cell r="AX403">
            <v>14.294303035300876</v>
          </cell>
          <cell r="AY403">
            <v>19.129669827202207</v>
          </cell>
          <cell r="AZ403">
            <v>25.203177276498426</v>
          </cell>
          <cell r="BA403">
            <v>24.601395604395606</v>
          </cell>
          <cell r="BB403">
            <v>15.922274447641213</v>
          </cell>
          <cell r="BC403">
            <v>18.256623205928463</v>
          </cell>
          <cell r="BD403">
            <v>19.394772137139267</v>
          </cell>
          <cell r="BE403">
            <v>27.156846153846153</v>
          </cell>
          <cell r="BF403">
            <v>20.274572351823693</v>
          </cell>
          <cell r="BG403">
            <v>26.315691520933008</v>
          </cell>
          <cell r="BH403">
            <v>33.23196441408615</v>
          </cell>
          <cell r="BI403">
            <v>32.814802197802194</v>
          </cell>
          <cell r="BJ403">
            <v>21.427923892380896</v>
          </cell>
          <cell r="BK403">
            <v>24.748008895008141</v>
          </cell>
          <cell r="BL403">
            <v>26.725908446560325</v>
          </cell>
          <cell r="BM403">
            <v>35.139450549450572</v>
          </cell>
          <cell r="BN403">
            <v>25.554770407931564</v>
          </cell>
          <cell r="BO403">
            <v>32.714624732888922</v>
          </cell>
          <cell r="BP403">
            <v>40.353299653751677</v>
          </cell>
          <cell r="BQ403">
            <v>40.446522984920293</v>
          </cell>
          <cell r="BY403">
            <v>4.8390000000000004</v>
          </cell>
          <cell r="BZ403">
            <v>5.9589999999999996</v>
          </cell>
          <cell r="CA403">
            <v>10.143000000000001</v>
          </cell>
          <cell r="CB403">
            <v>14.167</v>
          </cell>
          <cell r="CC403">
            <v>18.503</v>
          </cell>
          <cell r="CD403">
            <v>24.601395604395606</v>
          </cell>
          <cell r="CE403">
            <v>27.156846153846153</v>
          </cell>
          <cell r="CF403">
            <v>32.814802197802194</v>
          </cell>
          <cell r="CG403">
            <v>35.139450549450572</v>
          </cell>
          <cell r="CH403">
            <v>40.446522984920293</v>
          </cell>
        </row>
        <row r="408">
          <cell r="A408" t="str">
            <v>Long-Term Obligations and Other, Less Current Portion</v>
          </cell>
          <cell r="AD408">
            <v>0.35</v>
          </cell>
          <cell r="AE408">
            <v>0.53900000000000003</v>
          </cell>
          <cell r="AF408">
            <v>0.498</v>
          </cell>
          <cell r="AG408">
            <v>0.48599999999999999</v>
          </cell>
          <cell r="AH408">
            <v>0.53600000000000003</v>
          </cell>
          <cell r="AI408">
            <v>0.55800000000000005</v>
          </cell>
          <cell r="AJ408">
            <v>0.84799999999999998</v>
          </cell>
          <cell r="AK408">
            <v>0.86599999999999999</v>
          </cell>
          <cell r="AL408">
            <v>0.91600000000000004</v>
          </cell>
          <cell r="AM408">
            <v>0.80500000000000005</v>
          </cell>
          <cell r="AN408">
            <v>0.99199999999999999</v>
          </cell>
          <cell r="AO408">
            <v>1.7030000000000001</v>
          </cell>
          <cell r="AP408">
            <v>1.7589999999999999</v>
          </cell>
          <cell r="AQ408">
            <v>1.554</v>
          </cell>
          <cell r="AR408">
            <v>2.4430000000000001</v>
          </cell>
          <cell r="AS408">
            <v>2.3069999999999999</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0</v>
          </cell>
          <cell r="BN408">
            <v>0</v>
          </cell>
          <cell r="BO408">
            <v>0</v>
          </cell>
          <cell r="BP408">
            <v>0</v>
          </cell>
          <cell r="BQ408">
            <v>0</v>
          </cell>
          <cell r="BY408">
            <v>0.48599999999999999</v>
          </cell>
          <cell r="BZ408">
            <v>0.86599999999999999</v>
          </cell>
          <cell r="CA408">
            <v>1.7030000000000001</v>
          </cell>
          <cell r="CB408">
            <v>2.3069999999999999</v>
          </cell>
          <cell r="CC408">
            <v>0</v>
          </cell>
          <cell r="CD408">
            <v>0</v>
          </cell>
          <cell r="CE408">
            <v>0</v>
          </cell>
          <cell r="CF408">
            <v>0</v>
          </cell>
          <cell r="CG408">
            <v>0</v>
          </cell>
          <cell r="CH408">
            <v>0</v>
          </cell>
        </row>
        <row r="410">
          <cell r="A410" t="str">
            <v>Long-Term Debt</v>
          </cell>
          <cell r="AD410">
            <v>0</v>
          </cell>
          <cell r="AE410">
            <v>0</v>
          </cell>
          <cell r="AF410">
            <v>0</v>
          </cell>
          <cell r="AG410">
            <v>0</v>
          </cell>
          <cell r="AH410">
            <v>0</v>
          </cell>
          <cell r="AI410">
            <v>0</v>
          </cell>
          <cell r="AJ410">
            <v>0</v>
          </cell>
          <cell r="AK410">
            <v>0</v>
          </cell>
          <cell r="AL410">
            <v>0</v>
          </cell>
          <cell r="AM410">
            <v>0</v>
          </cell>
          <cell r="AN410">
            <v>0</v>
          </cell>
          <cell r="AO410">
            <v>6.6669999999999998</v>
          </cell>
          <cell r="AP410">
            <v>5.8330000000000002</v>
          </cell>
          <cell r="AQ410">
            <v>5</v>
          </cell>
          <cell r="AR410">
            <v>14.167</v>
          </cell>
          <cell r="AS410">
            <v>13.333</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cell r="BM410">
            <v>0</v>
          </cell>
          <cell r="BN410">
            <v>0</v>
          </cell>
          <cell r="BO410">
            <v>0</v>
          </cell>
          <cell r="BP410">
            <v>0</v>
          </cell>
          <cell r="BQ410">
            <v>0</v>
          </cell>
          <cell r="BY410">
            <v>0</v>
          </cell>
          <cell r="BZ410">
            <v>0</v>
          </cell>
          <cell r="CA410">
            <v>6.6669999999999998</v>
          </cell>
          <cell r="CB410">
            <v>13.333</v>
          </cell>
          <cell r="CC410">
            <v>0</v>
          </cell>
          <cell r="CD410">
            <v>0</v>
          </cell>
          <cell r="CE410">
            <v>0</v>
          </cell>
          <cell r="CF410">
            <v>0</v>
          </cell>
          <cell r="CG410">
            <v>0</v>
          </cell>
          <cell r="CH410">
            <v>0</v>
          </cell>
        </row>
        <row r="412">
          <cell r="A412" t="str">
            <v>Long-Term Debt</v>
          </cell>
          <cell r="AD412">
            <v>0</v>
          </cell>
          <cell r="AE412">
            <v>0</v>
          </cell>
          <cell r="AF412">
            <v>0</v>
          </cell>
          <cell r="AG412">
            <v>0</v>
          </cell>
          <cell r="AH412">
            <v>0</v>
          </cell>
          <cell r="AI412">
            <v>0</v>
          </cell>
          <cell r="AJ412">
            <v>0</v>
          </cell>
          <cell r="AK412">
            <v>0</v>
          </cell>
          <cell r="AL412">
            <v>0</v>
          </cell>
          <cell r="AM412">
            <v>0</v>
          </cell>
          <cell r="AN412">
            <v>0</v>
          </cell>
          <cell r="AO412">
            <v>6.6669999999999998</v>
          </cell>
          <cell r="AP412">
            <v>5.8330000000000002</v>
          </cell>
          <cell r="AQ412">
            <v>5</v>
          </cell>
          <cell r="AR412">
            <v>14.167</v>
          </cell>
          <cell r="AS412">
            <v>13.333</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cell r="BM412">
            <v>0</v>
          </cell>
          <cell r="BN412">
            <v>0</v>
          </cell>
          <cell r="BO412">
            <v>0</v>
          </cell>
          <cell r="BP412">
            <v>0</v>
          </cell>
          <cell r="BQ412">
            <v>0</v>
          </cell>
          <cell r="BY412">
            <v>0</v>
          </cell>
          <cell r="BZ412">
            <v>0</v>
          </cell>
          <cell r="CA412">
            <v>6.6669999999999998</v>
          </cell>
          <cell r="CB412">
            <v>13.333</v>
          </cell>
          <cell r="CC412">
            <v>0</v>
          </cell>
          <cell r="CD412">
            <v>0</v>
          </cell>
          <cell r="CE412">
            <v>0</v>
          </cell>
          <cell r="CF412">
            <v>0</v>
          </cell>
          <cell r="CG412">
            <v>0</v>
          </cell>
          <cell r="CH412">
            <v>0</v>
          </cell>
        </row>
        <row r="415">
          <cell r="A415" t="str">
            <v>Redeemable Preferred, Preferred and Common Stock</v>
          </cell>
          <cell r="AD415">
            <v>20.641999999999999</v>
          </cell>
          <cell r="AE415">
            <v>20.882000000000001</v>
          </cell>
          <cell r="AF415">
            <v>20.882000000000001</v>
          </cell>
          <cell r="AG415">
            <v>20.882000000000001</v>
          </cell>
          <cell r="AH415">
            <v>20.882000000000001</v>
          </cell>
          <cell r="AI415">
            <v>84.406000000000006</v>
          </cell>
          <cell r="AJ415">
            <v>88.625</v>
          </cell>
          <cell r="AK415">
            <v>153.76900000000001</v>
          </cell>
          <cell r="AL415">
            <v>157.96299999999999</v>
          </cell>
          <cell r="AM415">
            <v>157.96299999999999</v>
          </cell>
          <cell r="AN415">
            <v>157.964</v>
          </cell>
          <cell r="AO415">
            <v>157.96299999999999</v>
          </cell>
          <cell r="AP415">
            <v>187.96299999999999</v>
          </cell>
          <cell r="AQ415">
            <v>187.92599999999999</v>
          </cell>
          <cell r="AR415">
            <v>187.92599999999999</v>
          </cell>
          <cell r="AS415">
            <v>227.899</v>
          </cell>
          <cell r="AT415">
            <v>3.3000000000000002E-2</v>
          </cell>
          <cell r="AU415">
            <v>3.3000000000000002E-2</v>
          </cell>
          <cell r="AV415">
            <v>3.4000000000000002E-2</v>
          </cell>
          <cell r="AW415">
            <v>3.4000000000000002E-2</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O415">
            <v>0</v>
          </cell>
          <cell r="BP415">
            <v>0</v>
          </cell>
          <cell r="BQ415">
            <v>0</v>
          </cell>
          <cell r="BY415">
            <v>20.882000000000001</v>
          </cell>
          <cell r="BZ415">
            <v>153.76900000000001</v>
          </cell>
          <cell r="CA415">
            <v>157.96299999999999</v>
          </cell>
          <cell r="CB415">
            <v>227.899</v>
          </cell>
          <cell r="CC415">
            <v>3.4000000000000002E-2</v>
          </cell>
          <cell r="CD415">
            <v>0</v>
          </cell>
          <cell r="CE415">
            <v>0</v>
          </cell>
          <cell r="CF415">
            <v>0</v>
          </cell>
          <cell r="CG415">
            <v>0</v>
          </cell>
          <cell r="CH415">
            <v>0</v>
          </cell>
        </row>
        <row r="417">
          <cell r="A417" t="str">
            <v>Accumulated Other Comprehensive Income</v>
          </cell>
          <cell r="AD417">
            <v>0</v>
          </cell>
          <cell r="AE417">
            <v>0</v>
          </cell>
          <cell r="AF417">
            <v>0</v>
          </cell>
          <cell r="AG417">
            <v>0</v>
          </cell>
          <cell r="AH417">
            <v>0</v>
          </cell>
          <cell r="AI417">
            <v>0</v>
          </cell>
          <cell r="AJ417">
            <v>-8.1000000000000003E-2</v>
          </cell>
          <cell r="AK417">
            <v>-8.5999999999999993E-2</v>
          </cell>
          <cell r="AL417">
            <v>-0.32400000000000001</v>
          </cell>
          <cell r="AM417">
            <v>-0.39500000000000002</v>
          </cell>
          <cell r="AN417">
            <v>-0.11799999999999999</v>
          </cell>
          <cell r="AO417">
            <v>-0.10299999999999999</v>
          </cell>
          <cell r="AP417">
            <v>-7.0000000000000001E-3</v>
          </cell>
          <cell r="AQ417">
            <v>0.16</v>
          </cell>
          <cell r="AR417">
            <v>-1.014</v>
          </cell>
          <cell r="AS417">
            <v>-1.0509999999999999</v>
          </cell>
          <cell r="AT417">
            <v>-0.79300000000000004</v>
          </cell>
          <cell r="AU417">
            <v>-1.413</v>
          </cell>
          <cell r="AV417">
            <v>-1.0549999999999999</v>
          </cell>
          <cell r="AW417">
            <v>-1.1220000000000001</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Y417">
            <v>0</v>
          </cell>
          <cell r="BZ417">
            <v>-8.5999999999999993E-2</v>
          </cell>
          <cell r="CA417">
            <v>-0.10299999999999999</v>
          </cell>
          <cell r="CB417">
            <v>-1.0509999999999999</v>
          </cell>
          <cell r="CC417">
            <v>-1.1220000000000001</v>
          </cell>
          <cell r="CD417">
            <v>0</v>
          </cell>
          <cell r="CE417">
            <v>0</v>
          </cell>
          <cell r="CF417">
            <v>0</v>
          </cell>
          <cell r="CG417">
            <v>0</v>
          </cell>
          <cell r="CH417">
            <v>0</v>
          </cell>
        </row>
        <row r="418">
          <cell r="A418" t="str">
            <v>Accumulated Deficit</v>
          </cell>
          <cell r="AD418">
            <v>-9.6129999999999995</v>
          </cell>
          <cell r="AE418">
            <v>-8.7319999999999993</v>
          </cell>
          <cell r="AF418">
            <v>-7.64</v>
          </cell>
          <cell r="AG418">
            <v>-6.9740000000000002</v>
          </cell>
          <cell r="AH418">
            <v>-6.5570000000000004</v>
          </cell>
          <cell r="AI418">
            <v>-45.16</v>
          </cell>
          <cell r="AJ418">
            <v>-47.557000000000002</v>
          </cell>
          <cell r="AK418">
            <v>-98.613</v>
          </cell>
          <cell r="AL418">
            <v>-99.977000000000004</v>
          </cell>
          <cell r="AM418">
            <v>-100.741</v>
          </cell>
          <cell r="AN418">
            <v>-104.67700000000001</v>
          </cell>
          <cell r="AO418">
            <v>-110.702</v>
          </cell>
          <cell r="AP418">
            <v>-113.964</v>
          </cell>
          <cell r="AQ418">
            <v>-117.67</v>
          </cell>
          <cell r="AR418">
            <v>-139.99299999999999</v>
          </cell>
          <cell r="AS418">
            <v>-146.13800000000001</v>
          </cell>
          <cell r="AT418">
            <v>-150.821</v>
          </cell>
          <cell r="AU418">
            <v>-153.423</v>
          </cell>
          <cell r="AV418">
            <v>-154.14400000000001</v>
          </cell>
          <cell r="AW418">
            <v>-167.096</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cell r="BM418">
            <v>0</v>
          </cell>
          <cell r="BN418">
            <v>0</v>
          </cell>
          <cell r="BO418">
            <v>0</v>
          </cell>
          <cell r="BP418">
            <v>0</v>
          </cell>
          <cell r="BQ418">
            <v>0</v>
          </cell>
          <cell r="BY418">
            <v>-6.9740000000000002</v>
          </cell>
          <cell r="BZ418">
            <v>-98.613</v>
          </cell>
          <cell r="CA418">
            <v>-110.702</v>
          </cell>
          <cell r="CB418">
            <v>-146.13800000000001</v>
          </cell>
          <cell r="CC418">
            <v>-167.096</v>
          </cell>
          <cell r="CD418">
            <v>0</v>
          </cell>
          <cell r="CE418">
            <v>0</v>
          </cell>
          <cell r="CF418">
            <v>0</v>
          </cell>
          <cell r="CG418">
            <v>0</v>
          </cell>
          <cell r="CH418">
            <v>0</v>
          </cell>
        </row>
        <row r="430">
          <cell r="A430" t="str">
            <v>Payable Turnover</v>
          </cell>
          <cell r="AD430">
            <v>3.7434270172257484</v>
          </cell>
          <cell r="AE430">
            <v>1.3343647723891698</v>
          </cell>
          <cell r="AF430">
            <v>2.0738362760834672</v>
          </cell>
          <cell r="AG430">
            <v>4.6298405466970394</v>
          </cell>
          <cell r="AH430">
            <v>2.5717163577759869</v>
          </cell>
          <cell r="AI430">
            <v>2.750378214826021</v>
          </cell>
          <cell r="AJ430">
            <v>2.489492402198513</v>
          </cell>
          <cell r="AK430">
            <v>2.0991138059701493</v>
          </cell>
          <cell r="AL430">
            <v>2.2192961455590137</v>
          </cell>
          <cell r="AM430">
            <v>2.1344842284739984</v>
          </cell>
          <cell r="AN430">
            <v>3.5262822554953805</v>
          </cell>
          <cell r="AO430">
            <v>4.41777466759972</v>
          </cell>
          <cell r="AP430">
            <v>4.014816885658373</v>
          </cell>
          <cell r="AQ430">
            <v>2.2845916362615775</v>
          </cell>
          <cell r="AR430">
            <v>2.1389717284981513</v>
          </cell>
          <cell r="AS430">
            <v>2.4948301329394384</v>
          </cell>
          <cell r="AT430">
            <v>3.538716981132076</v>
          </cell>
          <cell r="AU430">
            <v>4.1057067603160666</v>
          </cell>
          <cell r="AV430">
            <v>3.1987642960431182</v>
          </cell>
          <cell r="AW430">
            <v>3.3117971334068357</v>
          </cell>
          <cell r="AX430">
            <v>3.3117971334068357</v>
          </cell>
          <cell r="AY430">
            <v>3.3117971334068357</v>
          </cell>
          <cell r="AZ430">
            <v>3.3117971334068357</v>
          </cell>
          <cell r="BA430">
            <v>3.3117971334068357</v>
          </cell>
          <cell r="BB430">
            <v>3.3117971334068357</v>
          </cell>
          <cell r="BC430">
            <v>3.3117971334068357</v>
          </cell>
          <cell r="BD430">
            <v>3.3117971334068357</v>
          </cell>
          <cell r="BE430">
            <v>3.3117971334068357</v>
          </cell>
          <cell r="BF430">
            <v>3.5442820334010303</v>
          </cell>
          <cell r="BG430">
            <v>3.2534731658478289</v>
          </cell>
          <cell r="BH430">
            <v>2.9903325728387355</v>
          </cell>
          <cell r="BI430">
            <v>3.1075553832899865</v>
          </cell>
          <cell r="BJ430">
            <v>3.5442820334010303</v>
          </cell>
          <cell r="BK430">
            <v>3.2534731658478289</v>
          </cell>
          <cell r="BL430">
            <v>2.9903325728387355</v>
          </cell>
          <cell r="BM430">
            <v>3.1075553832899865</v>
          </cell>
          <cell r="BN430">
            <v>3.5442820334010303</v>
          </cell>
          <cell r="BO430">
            <v>3.2534731658478289</v>
          </cell>
          <cell r="BP430">
            <v>2.9903325728387355</v>
          </cell>
          <cell r="BQ430">
            <v>3.1075553832899865</v>
          </cell>
        </row>
        <row r="431">
          <cell r="A431" t="str">
            <v>Difference ($)</v>
          </cell>
          <cell r="AD431" t="e">
            <v>#DIV/0!</v>
          </cell>
          <cell r="AE431" t="e">
            <v>#DIV/0!</v>
          </cell>
          <cell r="AF431" t="e">
            <v>#DIV/0!</v>
          </cell>
          <cell r="AG431" t="e">
            <v>#DIV/0!</v>
          </cell>
          <cell r="AH431">
            <v>-0.1601439845369903</v>
          </cell>
          <cell r="AI431">
            <v>-0.62462602872669137</v>
          </cell>
          <cell r="AJ431">
            <v>-0.87413557334431147</v>
          </cell>
          <cell r="AK431">
            <v>-0.3114682816710399</v>
          </cell>
          <cell r="AL431">
            <v>0.7299060943118505</v>
          </cell>
          <cell r="AM431">
            <v>0.63117820105943423</v>
          </cell>
          <cell r="AN431">
            <v>-0.14613925730314037</v>
          </cell>
          <cell r="AO431">
            <v>-0.93397833787400941</v>
          </cell>
          <cell r="AP431">
            <v>-0.57025494942269717</v>
          </cell>
          <cell r="AQ431">
            <v>6.9545645442659065E-3</v>
          </cell>
          <cell r="AR431">
            <v>0.64060063558142133</v>
          </cell>
          <cell r="AS431">
            <v>0.73186795947086125</v>
          </cell>
          <cell r="AT431">
            <v>0.36473612227025853</v>
          </cell>
          <cell r="AU431">
            <v>-6.3084172646071579E-2</v>
          </cell>
          <cell r="AV431">
            <v>-0.99121869277618657</v>
          </cell>
          <cell r="AW431">
            <v>-1.5155174060143821</v>
          </cell>
          <cell r="AX431">
            <v>-1.2050526823720844</v>
          </cell>
          <cell r="AY431">
            <v>-0.62023177526499751</v>
          </cell>
          <cell r="AZ431">
            <v>-0.26987059954032588</v>
          </cell>
          <cell r="BA431">
            <v>6.3147028344488376E-2</v>
          </cell>
          <cell r="BB431">
            <v>0.1201931196978876</v>
          </cell>
          <cell r="BC431" t="e">
            <v>#DIV/0!</v>
          </cell>
          <cell r="BD431" t="e">
            <v>#DIV/0!</v>
          </cell>
          <cell r="BE431" t="e">
            <v>#DIV/0!</v>
          </cell>
          <cell r="BF431" t="e">
            <v>#DIV/0!</v>
          </cell>
          <cell r="BG431" t="e">
            <v>#DIV/0!</v>
          </cell>
          <cell r="BH431" t="e">
            <v>#DIV/0!</v>
          </cell>
          <cell r="BI431" t="e">
            <v>#DIV/0!</v>
          </cell>
          <cell r="BJ431" t="e">
            <v>#DIV/0!</v>
          </cell>
          <cell r="BK431">
            <v>6.3237388853065966</v>
          </cell>
          <cell r="BL431">
            <v>4.0730750516503633</v>
          </cell>
          <cell r="BM431" t="e">
            <v>#DIV/0!</v>
          </cell>
          <cell r="BN431" t="e">
            <v>#DIV/0!</v>
          </cell>
          <cell r="BO431" t="e">
            <v>#DIV/0!</v>
          </cell>
          <cell r="BP431" t="e">
            <v>#DIV/0!</v>
          </cell>
          <cell r="BQ431" t="e">
            <v>#DIV/0!</v>
          </cell>
          <cell r="BY431">
            <v>44.966999999999999</v>
          </cell>
          <cell r="BZ431">
            <v>64.41</v>
          </cell>
          <cell r="CA431">
            <v>104.22999999999999</v>
          </cell>
          <cell r="CB431">
            <v>154.18799999999999</v>
          </cell>
          <cell r="CC431">
            <v>198.19800000000001</v>
          </cell>
          <cell r="CD431">
            <v>261.5</v>
          </cell>
          <cell r="CE431">
            <v>314</v>
          </cell>
          <cell r="CF431">
            <v>363.82799999999997</v>
          </cell>
          <cell r="CG431">
            <v>412.25580000000008</v>
          </cell>
          <cell r="CH431">
            <v>458.55490610851655</v>
          </cell>
        </row>
        <row r="445">
          <cell r="A445" t="str">
            <v>Q/A Change in LT Deferred Revenue</v>
          </cell>
          <cell r="AD445" t="str">
            <v>NA</v>
          </cell>
          <cell r="AE445" t="str">
            <v>NA</v>
          </cell>
          <cell r="AF445" t="str">
            <v>NA</v>
          </cell>
          <cell r="AG445" t="str">
            <v>NA</v>
          </cell>
          <cell r="AH445" t="str">
            <v>NA</v>
          </cell>
          <cell r="AI445" t="str">
            <v>NA</v>
          </cell>
          <cell r="AJ445" t="str">
            <v>NA</v>
          </cell>
          <cell r="AK445" t="str">
            <v>NA</v>
          </cell>
          <cell r="AL445" t="str">
            <v>NA</v>
          </cell>
          <cell r="AM445" t="str">
            <v>NA</v>
          </cell>
          <cell r="AN445" t="str">
            <v>NA</v>
          </cell>
          <cell r="AO445" t="str">
            <v>NA</v>
          </cell>
          <cell r="AP445" t="str">
            <v>NA</v>
          </cell>
          <cell r="AQ445" t="str">
            <v>NA</v>
          </cell>
          <cell r="AR445" t="str">
            <v>NA</v>
          </cell>
          <cell r="AS445" t="str">
            <v>NA</v>
          </cell>
          <cell r="AT445" t="str">
            <v>NA</v>
          </cell>
          <cell r="AU445" t="str">
            <v>NA</v>
          </cell>
          <cell r="AV445" t="str">
            <v>NA</v>
          </cell>
          <cell r="AW445" t="str">
            <v>NA</v>
          </cell>
          <cell r="AX445" t="str">
            <v>NA</v>
          </cell>
          <cell r="AY445" t="str">
            <v>NA</v>
          </cell>
          <cell r="AZ445" t="str">
            <v>NA</v>
          </cell>
          <cell r="BA445" t="str">
            <v>NA</v>
          </cell>
          <cell r="BB445" t="str">
            <v>NA</v>
          </cell>
          <cell r="BC445" t="str">
            <v>NA</v>
          </cell>
          <cell r="BD445" t="str">
            <v>NA</v>
          </cell>
          <cell r="BE445" t="str">
            <v>NA</v>
          </cell>
          <cell r="BF445" t="str">
            <v>NA</v>
          </cell>
          <cell r="BG445" t="str">
            <v>NA</v>
          </cell>
          <cell r="BH445" t="str">
            <v>NA</v>
          </cell>
          <cell r="BI445" t="str">
            <v>NA</v>
          </cell>
          <cell r="BJ445" t="str">
            <v>NA</v>
          </cell>
          <cell r="BK445" t="str">
            <v>NA</v>
          </cell>
          <cell r="BL445" t="str">
            <v>NA</v>
          </cell>
          <cell r="BM445" t="str">
            <v>NA</v>
          </cell>
          <cell r="BN445" t="str">
            <v>NA</v>
          </cell>
          <cell r="BO445" t="str">
            <v>NA</v>
          </cell>
          <cell r="BP445" t="str">
            <v>NA</v>
          </cell>
          <cell r="BQ445" t="str">
            <v>NA</v>
          </cell>
        </row>
        <row r="446">
          <cell r="A446" t="str">
            <v>Difference ($)</v>
          </cell>
          <cell r="AD446" t="e">
            <v>#DIV/0!</v>
          </cell>
          <cell r="AE446">
            <v>0</v>
          </cell>
          <cell r="AF446">
            <v>0</v>
          </cell>
          <cell r="AG446">
            <v>0</v>
          </cell>
          <cell r="AH446">
            <v>-0.54518247719417445</v>
          </cell>
          <cell r="AI446">
            <v>-0.13383331049185898</v>
          </cell>
          <cell r="AJ446">
            <v>8.9503392389836733E-2</v>
          </cell>
          <cell r="AK446">
            <v>0.38981536386364013</v>
          </cell>
          <cell r="AL446">
            <v>0.31745326866215251</v>
          </cell>
          <cell r="AM446">
            <v>-0.32950779488795234</v>
          </cell>
          <cell r="AN446">
            <v>-0.77818197167847813</v>
          </cell>
          <cell r="AO446">
            <v>-6.5913148070684713E-2</v>
          </cell>
          <cell r="AP446">
            <v>0.74702865565087961</v>
          </cell>
          <cell r="AQ446">
            <v>5.1204782329641318E-2</v>
          </cell>
          <cell r="AR446">
            <v>0.24823623392395433</v>
          </cell>
          <cell r="AS446">
            <v>6.5201472644353942E-2</v>
          </cell>
          <cell r="AT446">
            <v>-0.24528172945852589</v>
          </cell>
          <cell r="AU446">
            <v>-0.38117491624306865</v>
          </cell>
          <cell r="AV446">
            <v>-0.27849146556266646</v>
          </cell>
          <cell r="AW446">
            <v>-0.27322631781595419</v>
          </cell>
          <cell r="AX446">
            <v>-4.2109644366078669E-2</v>
          </cell>
          <cell r="AY446">
            <v>7.0171562772088691E-2</v>
          </cell>
          <cell r="AZ446">
            <v>3.2046135216205585E-2</v>
          </cell>
          <cell r="BA446">
            <v>0</v>
          </cell>
          <cell r="BB446">
            <v>0</v>
          </cell>
          <cell r="BC446" t="e">
            <v>#DIV/0!</v>
          </cell>
          <cell r="BD446" t="e">
            <v>#DIV/0!</v>
          </cell>
          <cell r="BE446" t="e">
            <v>#DIV/0!</v>
          </cell>
          <cell r="BF446" t="e">
            <v>#DIV/0!</v>
          </cell>
          <cell r="BG446" t="e">
            <v>#DIV/0!</v>
          </cell>
          <cell r="BH446">
            <v>3.9555690388910421</v>
          </cell>
          <cell r="BI446">
            <v>2.7745927929756249</v>
          </cell>
          <cell r="BJ446">
            <v>0.22831579239894495</v>
          </cell>
          <cell r="BK446">
            <v>-0.85886378091697679</v>
          </cell>
          <cell r="BL446">
            <v>1.8287094852531993</v>
          </cell>
          <cell r="BM446" t="e">
            <v>#DIV/0!</v>
          </cell>
          <cell r="BN446" t="e">
            <v>#DIV/0!</v>
          </cell>
          <cell r="BO446" t="e">
            <v>#DIV/0!</v>
          </cell>
          <cell r="BP446" t="e">
            <v>#DIV/0!</v>
          </cell>
          <cell r="BQ446" t="e">
            <v>#DIV/0!</v>
          </cell>
        </row>
        <row r="462">
          <cell r="A462" t="str">
            <v>Accounts Receivables Turnover</v>
          </cell>
          <cell r="AD462">
            <v>1.2047129260055265</v>
          </cell>
          <cell r="AE462">
            <v>2.4697905680277232</v>
          </cell>
          <cell r="AF462">
            <v>3.7554238635542387</v>
          </cell>
          <cell r="AG462">
            <v>5.2815799080090535</v>
          </cell>
          <cell r="AH462">
            <v>5.5573047363717603</v>
          </cell>
          <cell r="AI462">
            <v>5.5466984253010443</v>
          </cell>
          <cell r="AJ462">
            <v>5.6586989601826021</v>
          </cell>
          <cell r="AK462">
            <v>5.5710366565491496</v>
          </cell>
          <cell r="AL462">
            <v>6.0586542977923905</v>
          </cell>
          <cell r="AM462">
            <v>5.9855726842822401</v>
          </cell>
          <cell r="AN462">
            <v>5.9983262362468306</v>
          </cell>
          <cell r="AO462">
            <v>5.576293712102335</v>
          </cell>
          <cell r="AP462">
            <v>6.5449847824658978</v>
          </cell>
          <cell r="AQ462">
            <v>6.8788499327748474</v>
          </cell>
          <cell r="AR462">
            <v>6.307806490790095</v>
          </cell>
          <cell r="AS462">
            <v>5.8474263410784992</v>
          </cell>
          <cell r="AT462">
            <v>6.591745976561934</v>
          </cell>
          <cell r="AU462">
            <v>7.0856832661923939</v>
          </cell>
          <cell r="AV462">
            <v>6.0831050124486996</v>
          </cell>
          <cell r="AW462">
            <v>5.9178576104581486</v>
          </cell>
          <cell r="AX462">
            <v>6.6124848157802409</v>
          </cell>
          <cell r="AY462">
            <v>7.1626670802549217</v>
          </cell>
          <cell r="AZ462">
            <v>6.2664714067755556</v>
          </cell>
          <cell r="BA462">
            <v>5.8146502091919405</v>
          </cell>
          <cell r="BB462">
            <v>6.5790209790209806</v>
          </cell>
          <cell r="BC462">
            <v>7.0246379537333112</v>
          </cell>
          <cell r="BD462">
            <v>6.1748251748251723</v>
          </cell>
          <cell r="BE462">
            <v>5.7085020242914988</v>
          </cell>
          <cell r="BF462">
            <v>6.8014606957524526</v>
          </cell>
          <cell r="BG462">
            <v>7.1132713440405784</v>
          </cell>
          <cell r="BH462">
            <v>6.0922293474160645</v>
          </cell>
          <cell r="BI462">
            <v>5.5355171144644846</v>
          </cell>
          <cell r="BJ462">
            <v>6.8420208500400976</v>
          </cell>
          <cell r="BK462">
            <v>7.1176436295799714</v>
          </cell>
          <cell r="BL462">
            <v>6.0644584346830674</v>
          </cell>
          <cell r="BM462">
            <v>5.4824949198814918</v>
          </cell>
          <cell r="BN462">
            <v>6.8835242637297824</v>
          </cell>
          <cell r="BO462">
            <v>7.0874614449948616</v>
          </cell>
          <cell r="BP462">
            <v>6.0631091382804145</v>
          </cell>
          <cell r="BQ462">
            <v>5.4517151555095271</v>
          </cell>
        </row>
        <row r="483">
          <cell r="A483" t="str">
            <v>Net Cash &amp; Investments Per Diluted Share</v>
          </cell>
          <cell r="AD483" t="e">
            <v>#REF!</v>
          </cell>
          <cell r="AE483" t="e">
            <v>#REF!</v>
          </cell>
          <cell r="AF483" t="e">
            <v>#REF!</v>
          </cell>
          <cell r="AG483" t="e">
            <v>#REF!</v>
          </cell>
          <cell r="AH483" t="e">
            <v>#REF!</v>
          </cell>
          <cell r="AI483" t="e">
            <v>#REF!</v>
          </cell>
          <cell r="AJ483" t="e">
            <v>#REF!</v>
          </cell>
          <cell r="AK483" t="e">
            <v>#REF!</v>
          </cell>
          <cell r="AL483" t="e">
            <v>#REF!</v>
          </cell>
          <cell r="AM483" t="e">
            <v>#REF!</v>
          </cell>
          <cell r="AN483" t="e">
            <v>#REF!</v>
          </cell>
          <cell r="AO483" t="e">
            <v>#REF!</v>
          </cell>
          <cell r="AP483" t="e">
            <v>#REF!</v>
          </cell>
          <cell r="AQ483" t="e">
            <v>#REF!</v>
          </cell>
          <cell r="AR483" t="e">
            <v>#REF!</v>
          </cell>
          <cell r="AS483" t="e">
            <v>#REF!</v>
          </cell>
          <cell r="AT483">
            <v>9.9350000000000005</v>
          </cell>
          <cell r="AU483">
            <v>12.224</v>
          </cell>
          <cell r="AV483">
            <v>13.282</v>
          </cell>
          <cell r="AW483">
            <v>17.200340511064425</v>
          </cell>
          <cell r="AX483">
            <v>14.483520744598584</v>
          </cell>
          <cell r="AY483">
            <v>19.359823146875236</v>
          </cell>
          <cell r="AZ483">
            <v>25.333873555640206</v>
          </cell>
          <cell r="BA483">
            <v>24.586031236538268</v>
          </cell>
          <cell r="BB483">
            <v>16.072477376091705</v>
          </cell>
          <cell r="BC483">
            <v>18.372835168005828</v>
          </cell>
          <cell r="BD483">
            <v>19.680772986184945</v>
          </cell>
          <cell r="BE483">
            <v>24.683177673864122</v>
          </cell>
          <cell r="BF483">
            <v>19.967104132656694</v>
          </cell>
          <cell r="BG483">
            <v>26.002985250403341</v>
          </cell>
          <cell r="BH483">
            <v>32.701222996219471</v>
          </cell>
          <cell r="BI483">
            <v>32.395841663987902</v>
          </cell>
          <cell r="BJ483">
            <v>21.545919400411009</v>
          </cell>
          <cell r="BK483">
            <v>24.825614406132388</v>
          </cell>
          <cell r="BL483">
            <v>26.967079294332059</v>
          </cell>
          <cell r="BM483">
            <v>32.270269216297002</v>
          </cell>
          <cell r="BN483">
            <v>25.21327034895382</v>
          </cell>
          <cell r="BO483">
            <v>32.360084434472064</v>
          </cell>
          <cell r="BP483">
            <v>39.774980407924367</v>
          </cell>
          <cell r="BQ483">
            <v>39.645591774711612</v>
          </cell>
          <cell r="BY483">
            <v>4.8390000000000004</v>
          </cell>
          <cell r="BZ483">
            <v>5.9589999999999996</v>
          </cell>
          <cell r="CA483">
            <v>10.143000000000001</v>
          </cell>
          <cell r="CB483">
            <v>14.167</v>
          </cell>
          <cell r="CC483">
            <v>17.200340511064425</v>
          </cell>
          <cell r="CD483">
            <v>24.586031236538268</v>
          </cell>
          <cell r="CE483">
            <v>24.683177673864122</v>
          </cell>
          <cell r="CF483">
            <v>32.395841663987902</v>
          </cell>
          <cell r="CG483">
            <v>32.270269216297002</v>
          </cell>
          <cell r="CH483">
            <v>39.645591774711612</v>
          </cell>
        </row>
        <row r="484">
          <cell r="A484" t="str">
            <v>Shareholders' Equity Per Diluted Share</v>
          </cell>
          <cell r="AD484" t="e">
            <v>#REF!</v>
          </cell>
          <cell r="AE484" t="e">
            <v>#REF!</v>
          </cell>
          <cell r="AF484" t="e">
            <v>#REF!</v>
          </cell>
          <cell r="AG484" t="e">
            <v>#REF!</v>
          </cell>
          <cell r="AH484" t="e">
            <v>#REF!</v>
          </cell>
          <cell r="AI484" t="e">
            <v>#REF!</v>
          </cell>
          <cell r="AJ484" t="e">
            <v>#REF!</v>
          </cell>
          <cell r="AK484" t="e">
            <v>#REF!</v>
          </cell>
          <cell r="AL484" t="e">
            <v>#REF!</v>
          </cell>
          <cell r="AM484" t="e">
            <v>#REF!</v>
          </cell>
          <cell r="AN484" t="e">
            <v>#REF!</v>
          </cell>
          <cell r="AO484" t="e">
            <v>#REF!</v>
          </cell>
          <cell r="AP484" t="e">
            <v>#REF!</v>
          </cell>
          <cell r="AQ484" t="e">
            <v>#REF!</v>
          </cell>
          <cell r="AR484" t="e">
            <v>#REF!</v>
          </cell>
          <cell r="AS484" t="e">
            <v>#REF!</v>
          </cell>
          <cell r="AT484">
            <v>1.476</v>
          </cell>
          <cell r="AU484">
            <v>1.4550000000000001</v>
          </cell>
          <cell r="AV484">
            <v>1.446</v>
          </cell>
          <cell r="AW484">
            <v>1.446</v>
          </cell>
          <cell r="AX484">
            <v>1.446</v>
          </cell>
          <cell r="AY484">
            <v>1.446</v>
          </cell>
          <cell r="AZ484">
            <v>1.446</v>
          </cell>
          <cell r="BA484">
            <v>1.446</v>
          </cell>
          <cell r="BB484">
            <v>1.446</v>
          </cell>
          <cell r="BC484">
            <v>1.446</v>
          </cell>
          <cell r="BD484">
            <v>1.446</v>
          </cell>
          <cell r="BE484">
            <v>1.446</v>
          </cell>
          <cell r="BF484">
            <v>1.446</v>
          </cell>
          <cell r="BG484">
            <v>1.446</v>
          </cell>
          <cell r="BH484">
            <v>1.446</v>
          </cell>
          <cell r="BI484">
            <v>1.446</v>
          </cell>
          <cell r="BJ484">
            <v>1.446</v>
          </cell>
          <cell r="BK484">
            <v>1.446</v>
          </cell>
          <cell r="BL484">
            <v>1.446</v>
          </cell>
          <cell r="BM484">
            <v>1.446</v>
          </cell>
          <cell r="BN484">
            <v>1.446</v>
          </cell>
          <cell r="BO484">
            <v>1.446</v>
          </cell>
          <cell r="BP484">
            <v>1.446</v>
          </cell>
          <cell r="BQ484">
            <v>1.446</v>
          </cell>
          <cell r="BY484">
            <v>0.188</v>
          </cell>
          <cell r="BZ484">
            <v>0.4</v>
          </cell>
          <cell r="CA484">
            <v>3.86</v>
          </cell>
          <cell r="CB484">
            <v>4.7869999999999999</v>
          </cell>
          <cell r="CC484">
            <v>1.446</v>
          </cell>
          <cell r="CD484">
            <v>1.446</v>
          </cell>
          <cell r="CE484">
            <v>1.446</v>
          </cell>
          <cell r="CF484">
            <v>1.446</v>
          </cell>
          <cell r="CG484">
            <v>1.446</v>
          </cell>
          <cell r="CH484">
            <v>1.446</v>
          </cell>
        </row>
        <row r="485">
          <cell r="A485" t="str">
            <v>Tangible Book Value Per Diluted Share</v>
          </cell>
          <cell r="AD485" t="e">
            <v>#REF!</v>
          </cell>
          <cell r="AE485" t="e">
            <v>#REF!</v>
          </cell>
          <cell r="AF485" t="e">
            <v>#REF!</v>
          </cell>
          <cell r="AG485" t="e">
            <v>#REF!</v>
          </cell>
          <cell r="AH485" t="e">
            <v>#REF!</v>
          </cell>
          <cell r="AI485" t="e">
            <v>#REF!</v>
          </cell>
          <cell r="AJ485" t="e">
            <v>#REF!</v>
          </cell>
          <cell r="AK485" t="e">
            <v>#REF!</v>
          </cell>
          <cell r="AL485" t="e">
            <v>#REF!</v>
          </cell>
          <cell r="AM485" t="e">
            <v>#REF!</v>
          </cell>
          <cell r="AN485" t="e">
            <v>#REF!</v>
          </cell>
          <cell r="AO485" t="e">
            <v>#REF!</v>
          </cell>
          <cell r="AP485" t="e">
            <v>#REF!</v>
          </cell>
          <cell r="AQ485" t="e">
            <v>#REF!</v>
          </cell>
          <cell r="AR485" t="e">
            <v>#REF!</v>
          </cell>
          <cell r="AS485" t="e">
            <v>#REF!</v>
          </cell>
          <cell r="AT485">
            <v>43.847999999999999</v>
          </cell>
          <cell r="AU485">
            <v>44.286000000000001</v>
          </cell>
          <cell r="AV485">
            <v>48.829000000000001</v>
          </cell>
          <cell r="AW485">
            <v>54.688480000000006</v>
          </cell>
          <cell r="AX485">
            <v>55.782249600000007</v>
          </cell>
          <cell r="AY485">
            <v>54.108782112000007</v>
          </cell>
          <cell r="AZ485">
            <v>59.519660323200014</v>
          </cell>
          <cell r="BA485">
            <v>66.662019561984025</v>
          </cell>
          <cell r="BB485">
            <v>67.995259953223709</v>
          </cell>
          <cell r="BC485">
            <v>65.955402154626995</v>
          </cell>
          <cell r="BD485">
            <v>72.5509423700897</v>
          </cell>
          <cell r="BE485">
            <v>81.257055454500474</v>
          </cell>
          <cell r="BF485">
            <v>82.882196563590483</v>
          </cell>
          <cell r="BG485">
            <v>80.395730666682766</v>
          </cell>
          <cell r="BH485">
            <v>88.435303733351049</v>
          </cell>
          <cell r="BI485">
            <v>99.047540181353185</v>
          </cell>
          <cell r="BJ485">
            <v>101.02849098498025</v>
          </cell>
          <cell r="BK485">
            <v>97.997636255430848</v>
          </cell>
          <cell r="BL485">
            <v>107.79739988097394</v>
          </cell>
          <cell r="BM485">
            <v>120.73308786669082</v>
          </cell>
          <cell r="BN485">
            <v>123.14774962402464</v>
          </cell>
          <cell r="BO485">
            <v>119.45331713530391</v>
          </cell>
          <cell r="BP485">
            <v>131.39864884883431</v>
          </cell>
          <cell r="BQ485">
            <v>147.16648671069444</v>
          </cell>
          <cell r="BY485">
            <v>17.135999999999999</v>
          </cell>
          <cell r="BZ485">
            <v>23.835000000000001</v>
          </cell>
          <cell r="CA485">
            <v>31.6</v>
          </cell>
          <cell r="CB485">
            <v>39.273000000000003</v>
          </cell>
          <cell r="CC485">
            <v>54.688480000000006</v>
          </cell>
          <cell r="CD485">
            <v>66.662019561984025</v>
          </cell>
          <cell r="CE485">
            <v>81.257055454500474</v>
          </cell>
          <cell r="CF485">
            <v>99.047540181353185</v>
          </cell>
          <cell r="CG485">
            <v>120.73308786669082</v>
          </cell>
          <cell r="CH485">
            <v>147.16648671069444</v>
          </cell>
        </row>
        <row r="486">
          <cell r="A486" t="str">
            <v>Total Current Liabilities</v>
          </cell>
          <cell r="AD486">
            <v>21.877000000000002</v>
          </cell>
          <cell r="AE486">
            <v>25.157</v>
          </cell>
          <cell r="AF486">
            <v>25.288000000000004</v>
          </cell>
          <cell r="AG486">
            <v>25.231000000000002</v>
          </cell>
          <cell r="AH486">
            <v>26.836000000000002</v>
          </cell>
          <cell r="AI486">
            <v>27.878999999999998</v>
          </cell>
          <cell r="AJ486">
            <v>32.926000000000002</v>
          </cell>
          <cell r="AK486">
            <v>36.980000000000004</v>
          </cell>
          <cell r="AL486">
            <v>39.503</v>
          </cell>
          <cell r="AM486">
            <v>40.134</v>
          </cell>
          <cell r="AN486">
            <v>44.265999999999998</v>
          </cell>
          <cell r="AO486">
            <v>56.660000000000004</v>
          </cell>
          <cell r="AP486">
            <v>54.951000000000001</v>
          </cell>
          <cell r="AQ486">
            <v>57.872</v>
          </cell>
          <cell r="AR486">
            <v>74.25200000000001</v>
          </cell>
          <cell r="AS486">
            <v>77.075999999999993</v>
          </cell>
          <cell r="AT486">
            <v>71.53</v>
          </cell>
          <cell r="AU486">
            <v>75.75800000000001</v>
          </cell>
          <cell r="AV486">
            <v>87.02000000000001</v>
          </cell>
          <cell r="AW486">
            <v>98.155219680916076</v>
          </cell>
          <cell r="AX486">
            <v>96.896372654219277</v>
          </cell>
          <cell r="AY486">
            <v>100.70569176690961</v>
          </cell>
          <cell r="AZ486">
            <v>112.7221142429548</v>
          </cell>
          <cell r="BA486">
            <v>119.74812501871709</v>
          </cell>
          <cell r="BB486">
            <v>113.14128299980405</v>
          </cell>
          <cell r="BC486">
            <v>113.99357401765604</v>
          </cell>
          <cell r="BD486">
            <v>122.56136056693127</v>
          </cell>
          <cell r="BE486">
            <v>137.065318088336</v>
          </cell>
          <cell r="BF486">
            <v>132.8813763104524</v>
          </cell>
          <cell r="BG486">
            <v>138.27937496254123</v>
          </cell>
          <cell r="BH486">
            <v>155.17060331270497</v>
          </cell>
          <cell r="BI486">
            <v>165.97168180615878</v>
          </cell>
          <cell r="BJ486">
            <v>154.7788965446239</v>
          </cell>
          <cell r="BK486">
            <v>157.19165758382351</v>
          </cell>
          <cell r="BL486">
            <v>171.65363958637059</v>
          </cell>
          <cell r="BM486">
            <v>190.47099120221347</v>
          </cell>
          <cell r="BN486">
            <v>182.73722346551875</v>
          </cell>
          <cell r="BO486">
            <v>188.91072620189698</v>
          </cell>
          <cell r="BP486">
            <v>210.91687971924677</v>
          </cell>
          <cell r="BQ486">
            <v>227.21799913757013</v>
          </cell>
          <cell r="BY486">
            <v>25.231000000000002</v>
          </cell>
          <cell r="BZ486">
            <v>36.980000000000004</v>
          </cell>
          <cell r="CA486">
            <v>56.660000000000004</v>
          </cell>
          <cell r="CB486">
            <v>77.075999999999993</v>
          </cell>
          <cell r="CC486">
            <v>98.155219680916076</v>
          </cell>
          <cell r="CD486">
            <v>119.74812501871709</v>
          </cell>
          <cell r="CE486">
            <v>137.065318088336</v>
          </cell>
          <cell r="CF486">
            <v>165.97168180615878</v>
          </cell>
          <cell r="CG486">
            <v>190.47099120221347</v>
          </cell>
          <cell r="CH486">
            <v>227.21799913757013</v>
          </cell>
        </row>
        <row r="490">
          <cell r="A490" t="str">
            <v>Total Shares Outstanding</v>
          </cell>
          <cell r="AD490">
            <v>0</v>
          </cell>
          <cell r="AE490">
            <v>0</v>
          </cell>
          <cell r="AF490">
            <v>0</v>
          </cell>
          <cell r="AG490">
            <v>0</v>
          </cell>
          <cell r="AH490">
            <v>0</v>
          </cell>
          <cell r="AI490">
            <v>0</v>
          </cell>
          <cell r="AJ490">
            <v>0</v>
          </cell>
          <cell r="AK490">
            <v>0</v>
          </cell>
          <cell r="AL490">
            <v>0</v>
          </cell>
          <cell r="AM490">
            <v>0</v>
          </cell>
          <cell r="AN490">
            <v>0</v>
          </cell>
          <cell r="AO490">
            <v>6.6669999999999998</v>
          </cell>
          <cell r="AP490">
            <v>5.8330000000000002</v>
          </cell>
          <cell r="AQ490">
            <v>5</v>
          </cell>
          <cell r="AR490">
            <v>14.167</v>
          </cell>
          <cell r="AS490">
            <v>13.333</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Y490">
            <v>0</v>
          </cell>
          <cell r="BZ490">
            <v>0</v>
          </cell>
          <cell r="CA490">
            <v>6.6669999999999998</v>
          </cell>
          <cell r="CB490">
            <v>13.333</v>
          </cell>
          <cell r="CC490">
            <v>0</v>
          </cell>
          <cell r="CD490">
            <v>0</v>
          </cell>
          <cell r="CE490">
            <v>0</v>
          </cell>
          <cell r="CF490">
            <v>0</v>
          </cell>
          <cell r="CG490">
            <v>0</v>
          </cell>
          <cell r="CH490">
            <v>0</v>
          </cell>
        </row>
        <row r="491">
          <cell r="A491" t="str">
            <v>Period Ending Stock Price</v>
          </cell>
          <cell r="AD491">
            <v>0.47199999999999998</v>
          </cell>
          <cell r="AE491">
            <v>0.65500000000000003</v>
          </cell>
          <cell r="AF491">
            <v>0.63600000000000001</v>
          </cell>
          <cell r="AG491">
            <v>1.4279999999999999</v>
          </cell>
          <cell r="AH491">
            <v>1.4410000000000001</v>
          </cell>
          <cell r="AI491">
            <v>1.4260000000000002</v>
          </cell>
          <cell r="AJ491">
            <v>1.67</v>
          </cell>
          <cell r="AK491">
            <v>2.2759999999999998</v>
          </cell>
          <cell r="AL491">
            <v>2.266</v>
          </cell>
          <cell r="AM491">
            <v>2.0950000000000002</v>
          </cell>
          <cell r="AN491">
            <v>2.4089999999999998</v>
          </cell>
          <cell r="AO491">
            <v>9.8940000000000001</v>
          </cell>
          <cell r="AP491">
            <v>9.109</v>
          </cell>
          <cell r="AQ491">
            <v>8.7629999999999999</v>
          </cell>
          <cell r="AR491">
            <v>18.788</v>
          </cell>
          <cell r="AS491">
            <v>18.466999999999999</v>
          </cell>
          <cell r="AT491">
            <v>4.7489999999999997</v>
          </cell>
          <cell r="AU491">
            <v>5.4790000000000001</v>
          </cell>
          <cell r="AV491">
            <v>5.5540000000000003</v>
          </cell>
          <cell r="AW491">
            <v>5.5540000000000003</v>
          </cell>
          <cell r="AX491">
            <v>5.5540000000000003</v>
          </cell>
          <cell r="AY491">
            <v>5.5540000000000003</v>
          </cell>
          <cell r="AZ491">
            <v>5.5540000000000003</v>
          </cell>
          <cell r="BA491">
            <v>5.5540000000000003</v>
          </cell>
          <cell r="BB491">
            <v>5.5540000000000003</v>
          </cell>
          <cell r="BC491">
            <v>5.5540000000000003</v>
          </cell>
          <cell r="BD491">
            <v>5.5540000000000003</v>
          </cell>
          <cell r="BE491">
            <v>5.5540000000000003</v>
          </cell>
          <cell r="BF491">
            <v>5.5540000000000003</v>
          </cell>
          <cell r="BG491">
            <v>5.5540000000000003</v>
          </cell>
          <cell r="BH491">
            <v>5.5540000000000003</v>
          </cell>
          <cell r="BI491">
            <v>5.5540000000000003</v>
          </cell>
          <cell r="BJ491">
            <v>5.5540000000000003</v>
          </cell>
          <cell r="BK491">
            <v>5.5540000000000003</v>
          </cell>
          <cell r="BL491">
            <v>5.5540000000000003</v>
          </cell>
          <cell r="BM491">
            <v>5.5540000000000003</v>
          </cell>
          <cell r="BN491">
            <v>5.5540000000000003</v>
          </cell>
          <cell r="BO491">
            <v>5.5540000000000003</v>
          </cell>
          <cell r="BP491">
            <v>5.5540000000000003</v>
          </cell>
          <cell r="BQ491">
            <v>5.5540000000000003</v>
          </cell>
          <cell r="BY491">
            <v>1.4279999999999999</v>
          </cell>
          <cell r="BZ491">
            <v>2.2759999999999998</v>
          </cell>
          <cell r="CA491">
            <v>9.8940000000000001</v>
          </cell>
          <cell r="CB491">
            <v>18.466999999999999</v>
          </cell>
          <cell r="CC491">
            <v>5.5540000000000003</v>
          </cell>
          <cell r="CD491">
            <v>5.5540000000000003</v>
          </cell>
          <cell r="CE491">
            <v>5.5540000000000003</v>
          </cell>
          <cell r="CF491">
            <v>5.5540000000000003</v>
          </cell>
          <cell r="CG491">
            <v>5.5540000000000003</v>
          </cell>
          <cell r="CH491">
            <v>5.5540000000000003</v>
          </cell>
        </row>
        <row r="499">
          <cell r="A499" t="str">
            <v>Net Income (Loss)</v>
          </cell>
          <cell r="AD499">
            <v>0.80900000000000005</v>
          </cell>
          <cell r="AE499">
            <v>0.77100000000000002</v>
          </cell>
          <cell r="AF499">
            <v>1.0860000000000001</v>
          </cell>
          <cell r="AG499">
            <v>0.89300000000000002</v>
          </cell>
          <cell r="AH499">
            <v>0.41599999999999998</v>
          </cell>
          <cell r="AI499">
            <v>-0.78200000000000003</v>
          </cell>
          <cell r="AJ499">
            <v>-0.45500000000000002</v>
          </cell>
          <cell r="AK499">
            <v>-1.1739999999999999</v>
          </cell>
          <cell r="AL499">
            <v>-1.365</v>
          </cell>
          <cell r="AM499">
            <v>-0.76400000000000001</v>
          </cell>
          <cell r="AN499">
            <v>-3.8929999999999998</v>
          </cell>
          <cell r="AO499">
            <v>-6.0679999999999996</v>
          </cell>
          <cell r="AP499">
            <v>-3.262</v>
          </cell>
          <cell r="AQ499">
            <v>-3.706</v>
          </cell>
          <cell r="AR499">
            <v>-22.321999999999999</v>
          </cell>
          <cell r="AS499">
            <v>-6.1449999999999996</v>
          </cell>
          <cell r="AT499" t="str">
            <v>R</v>
          </cell>
          <cell r="AU499" t="str">
            <v>R</v>
          </cell>
          <cell r="AV499" t="str">
            <v>R</v>
          </cell>
          <cell r="AW499" t="str">
            <v>R</v>
          </cell>
          <cell r="AX499">
            <v>-10.425499999999996</v>
          </cell>
          <cell r="AY499">
            <v>-11.255500000000033</v>
          </cell>
          <cell r="AZ499">
            <v>-11.0855</v>
          </cell>
          <cell r="BA499">
            <v>-8.0455000000000005</v>
          </cell>
          <cell r="BB499">
            <v>-7.7590000000000092</v>
          </cell>
          <cell r="BC499">
            <v>-7.5940000000000181</v>
          </cell>
          <cell r="BD499">
            <v>-7.0539999999998981</v>
          </cell>
          <cell r="BE499">
            <v>-5.7640000000000216</v>
          </cell>
          <cell r="BF499">
            <v>-4.9642000000000159</v>
          </cell>
          <cell r="BG499">
            <v>-4.5084000000000071</v>
          </cell>
          <cell r="BH499">
            <v>-3.5809999999998734</v>
          </cell>
          <cell r="BI499">
            <v>-1.7104000000000212</v>
          </cell>
          <cell r="BJ499">
            <v>-1.614067500000032</v>
          </cell>
          <cell r="BK499">
            <v>-0.84616625000002532</v>
          </cell>
          <cell r="BL499">
            <v>0.49278500000015324</v>
          </cell>
          <cell r="BM499">
            <v>2.9738362499999749</v>
          </cell>
          <cell r="BN499">
            <v>2.8405712499999805</v>
          </cell>
          <cell r="BO499">
            <v>4.5174001414834741</v>
          </cell>
          <cell r="BP499">
            <v>5.806008000000201</v>
          </cell>
          <cell r="BQ499">
            <v>8.9791401249999527</v>
          </cell>
          <cell r="BY499">
            <v>3.5590000000000002</v>
          </cell>
          <cell r="BZ499">
            <v>-1.9950000000000001</v>
          </cell>
          <cell r="CA499">
            <v>-12.09</v>
          </cell>
          <cell r="CB499">
            <v>-35.435000000000002</v>
          </cell>
          <cell r="CC499">
            <v>-20.957999999999998</v>
          </cell>
          <cell r="CD499">
            <v>-40.812000000000026</v>
          </cell>
          <cell r="CE499">
            <v>-28.170999999999946</v>
          </cell>
          <cell r="CF499">
            <v>-14.763999999999918</v>
          </cell>
          <cell r="CG499">
            <v>1.0063875000000708</v>
          </cell>
          <cell r="CH499">
            <v>22.143119516483608</v>
          </cell>
        </row>
        <row r="500">
          <cell r="A500" t="str">
            <v>Depreciation and Amortization</v>
          </cell>
          <cell r="AD500">
            <v>0.88100000000000001</v>
          </cell>
          <cell r="AE500">
            <v>1.077</v>
          </cell>
          <cell r="AF500">
            <v>1.2689999999999999</v>
          </cell>
          <cell r="AG500">
            <v>1.5249999999999999</v>
          </cell>
          <cell r="AH500">
            <v>1.569</v>
          </cell>
          <cell r="AI500">
            <v>1.754</v>
          </cell>
          <cell r="AJ500">
            <v>1.8149999999999999</v>
          </cell>
          <cell r="AK500">
            <v>2.085</v>
          </cell>
          <cell r="AL500">
            <v>2.3029999999999999</v>
          </cell>
          <cell r="AM500">
            <v>2.5760000000000001</v>
          </cell>
          <cell r="AN500">
            <v>2.8220000000000001</v>
          </cell>
          <cell r="AO500">
            <v>3.2690000000000001</v>
          </cell>
          <cell r="AP500">
            <v>3.6669999999999998</v>
          </cell>
          <cell r="AQ500">
            <v>3.9340000000000002</v>
          </cell>
          <cell r="AR500">
            <v>4.6319999999999997</v>
          </cell>
          <cell r="AS500">
            <v>4.3899999999999997</v>
          </cell>
          <cell r="AT500">
            <v>5.2149999999999999</v>
          </cell>
          <cell r="AU500">
            <v>5.2840000000000007</v>
          </cell>
          <cell r="AV500">
            <v>5.6159999999999979</v>
          </cell>
          <cell r="AW500">
            <v>7.2410000000000014</v>
          </cell>
          <cell r="AX500">
            <v>4.8557747183458222</v>
          </cell>
          <cell r="AY500">
            <v>5.4710450115919995</v>
          </cell>
          <cell r="AZ500">
            <v>5.7087720877884065</v>
          </cell>
          <cell r="BA500">
            <v>6.2915452476427864</v>
          </cell>
          <cell r="BB500">
            <v>6.8266262390476102</v>
          </cell>
          <cell r="BC500">
            <v>7.361707230452434</v>
          </cell>
          <cell r="BD500">
            <v>7.8967882218572578</v>
          </cell>
          <cell r="BE500">
            <v>8.4318692132620825</v>
          </cell>
          <cell r="BF500">
            <v>8.9984255571024825</v>
          </cell>
          <cell r="BG500">
            <v>9.5649819009428843</v>
          </cell>
          <cell r="BH500">
            <v>10.131538244783286</v>
          </cell>
          <cell r="BI500">
            <v>10.698094588623688</v>
          </cell>
          <cell r="BJ500">
            <v>11.296126284899668</v>
          </cell>
          <cell r="BK500">
            <v>11.894157981175645</v>
          </cell>
          <cell r="BL500">
            <v>12.492189677451625</v>
          </cell>
          <cell r="BM500">
            <v>13.090221373727605</v>
          </cell>
          <cell r="BN500">
            <v>13.105959049945394</v>
          </cell>
          <cell r="BO500">
            <v>13.121696726163183</v>
          </cell>
          <cell r="BP500">
            <v>13.137434402380972</v>
          </cell>
          <cell r="BQ500">
            <v>13.153172078598761</v>
          </cell>
          <cell r="BY500">
            <v>4.7519999999999998</v>
          </cell>
          <cell r="BZ500">
            <v>7.2229999999999999</v>
          </cell>
          <cell r="CA500">
            <v>10.969999999999999</v>
          </cell>
          <cell r="CB500">
            <v>16.623000000000001</v>
          </cell>
          <cell r="CC500">
            <v>23.356000000000002</v>
          </cell>
          <cell r="CD500">
            <v>22.327137065369016</v>
          </cell>
          <cell r="CE500">
            <v>30.516990904619384</v>
          </cell>
          <cell r="CF500">
            <v>39.393040291452344</v>
          </cell>
          <cell r="CG500">
            <v>48.772695317254545</v>
          </cell>
          <cell r="CH500">
            <v>52.51826225708831</v>
          </cell>
        </row>
        <row r="501">
          <cell r="A501" t="str">
            <v>Leasehold improvements Received From Lessor</v>
          </cell>
          <cell r="AD501">
            <v>0</v>
          </cell>
          <cell r="AE501">
            <v>0</v>
          </cell>
          <cell r="AF501">
            <v>0</v>
          </cell>
          <cell r="AG501">
            <v>0.84199999999999997</v>
          </cell>
          <cell r="AH501">
            <v>0</v>
          </cell>
          <cell r="AI501">
            <v>0</v>
          </cell>
          <cell r="AJ501">
            <v>0.72799999999999998</v>
          </cell>
          <cell r="AK501">
            <v>0</v>
          </cell>
          <cell r="AL501">
            <v>0</v>
          </cell>
          <cell r="AM501">
            <v>0</v>
          </cell>
          <cell r="AN501">
            <v>0.14499999999999999</v>
          </cell>
          <cell r="AO501">
            <v>-4.0000000000000001E-3</v>
          </cell>
          <cell r="AP501">
            <v>0</v>
          </cell>
          <cell r="AQ501">
            <v>0.27300000000000002</v>
          </cell>
          <cell r="AR501">
            <v>0</v>
          </cell>
          <cell r="AS501">
            <v>0.36399999999999999</v>
          </cell>
          <cell r="AT501">
            <v>0</v>
          </cell>
          <cell r="AU501">
            <v>0.13400000000000001</v>
          </cell>
          <cell r="AV501">
            <v>0</v>
          </cell>
          <cell r="AW501">
            <v>0.20200000000000001</v>
          </cell>
          <cell r="AX501">
            <v>0.20200000000000001</v>
          </cell>
          <cell r="AY501">
            <v>0.20200000000000001</v>
          </cell>
          <cell r="AZ501">
            <v>0.20200000000000001</v>
          </cell>
          <cell r="BA501">
            <v>0.20200000000000001</v>
          </cell>
          <cell r="BB501">
            <v>0.20200000000000001</v>
          </cell>
          <cell r="BC501">
            <v>0.20200000000000001</v>
          </cell>
          <cell r="BD501">
            <v>0.20200000000000001</v>
          </cell>
          <cell r="BE501">
            <v>0.20200000000000001</v>
          </cell>
          <cell r="BF501">
            <v>0.20200000000000001</v>
          </cell>
          <cell r="BG501">
            <v>0.20200000000000001</v>
          </cell>
          <cell r="BH501">
            <v>0.20200000000000001</v>
          </cell>
          <cell r="BI501">
            <v>0.20200000000000001</v>
          </cell>
          <cell r="BJ501">
            <v>0.20200000000000001</v>
          </cell>
          <cell r="BK501">
            <v>0.20200000000000001</v>
          </cell>
          <cell r="BL501">
            <v>0.20200000000000001</v>
          </cell>
          <cell r="BM501">
            <v>0.20200000000000001</v>
          </cell>
          <cell r="BN501">
            <v>0.20200000000000001</v>
          </cell>
          <cell r="BO501">
            <v>0.20200000000000001</v>
          </cell>
          <cell r="BP501">
            <v>0.20200000000000001</v>
          </cell>
          <cell r="BQ501">
            <v>0.20200000000000001</v>
          </cell>
          <cell r="BY501">
            <v>0.84199999999999997</v>
          </cell>
          <cell r="BZ501">
            <v>0.72799999999999998</v>
          </cell>
          <cell r="CA501">
            <v>0.14099999999999999</v>
          </cell>
          <cell r="CB501">
            <v>0.63700000000000001</v>
          </cell>
          <cell r="CC501">
            <v>0.33600000000000002</v>
          </cell>
          <cell r="CD501">
            <v>0.80800000000000005</v>
          </cell>
          <cell r="CE501">
            <v>0.80800000000000005</v>
          </cell>
          <cell r="CF501">
            <v>0.80800000000000005</v>
          </cell>
          <cell r="CG501">
            <v>0.80800000000000005</v>
          </cell>
          <cell r="CH501">
            <v>0.80800000000000005</v>
          </cell>
          <cell r="CI501">
            <v>0</v>
          </cell>
        </row>
        <row r="510">
          <cell r="A510" t="str">
            <v>Change in Income Tax Receivable</v>
          </cell>
          <cell r="AD510">
            <v>0.623</v>
          </cell>
          <cell r="AE510">
            <v>-0.70799999999999996</v>
          </cell>
          <cell r="AF510">
            <v>0.70099999999999996</v>
          </cell>
          <cell r="AG510">
            <v>1.4359999999999999</v>
          </cell>
          <cell r="AH510">
            <v>-0.58599999999999997</v>
          </cell>
          <cell r="AI510">
            <v>-0.93</v>
          </cell>
          <cell r="AJ510">
            <v>0.56200000000000006</v>
          </cell>
          <cell r="AK510">
            <v>0.57299999999999995</v>
          </cell>
          <cell r="AL510">
            <v>-1.4E-2</v>
          </cell>
          <cell r="AM510">
            <v>-2E-3</v>
          </cell>
          <cell r="AN510">
            <v>0</v>
          </cell>
          <cell r="AO510">
            <v>2.625</v>
          </cell>
          <cell r="AP510">
            <v>1E-3</v>
          </cell>
          <cell r="AQ510">
            <v>0.318</v>
          </cell>
          <cell r="AR510">
            <v>-8.0000000000000002E-3</v>
          </cell>
          <cell r="AS510">
            <v>-2.3E-2</v>
          </cell>
          <cell r="AT510">
            <v>0</v>
          </cell>
          <cell r="AU510">
            <v>0</v>
          </cell>
          <cell r="AV510">
            <v>0</v>
          </cell>
          <cell r="AW510">
            <v>0</v>
          </cell>
          <cell r="AX510">
            <v>0</v>
          </cell>
          <cell r="AY510">
            <v>0</v>
          </cell>
          <cell r="AZ510">
            <v>0</v>
          </cell>
          <cell r="BA510">
            <v>0</v>
          </cell>
          <cell r="BB510">
            <v>0</v>
          </cell>
          <cell r="BC510">
            <v>0</v>
          </cell>
          <cell r="BD510">
            <v>0</v>
          </cell>
          <cell r="BE510">
            <v>0</v>
          </cell>
          <cell r="BF510">
            <v>4</v>
          </cell>
          <cell r="BG510">
            <v>-3</v>
          </cell>
          <cell r="BH510">
            <v>-22</v>
          </cell>
          <cell r="BI510">
            <v>-18</v>
          </cell>
          <cell r="BJ510">
            <v>4</v>
          </cell>
          <cell r="BK510">
            <v>-3</v>
          </cell>
          <cell r="BL510">
            <v>-22</v>
          </cell>
          <cell r="BM510">
            <v>-18</v>
          </cell>
          <cell r="BN510">
            <v>4</v>
          </cell>
          <cell r="BO510">
            <v>-3</v>
          </cell>
          <cell r="BP510">
            <v>-22</v>
          </cell>
          <cell r="BQ510">
            <v>-18</v>
          </cell>
          <cell r="BY510">
            <v>2.052</v>
          </cell>
          <cell r="BZ510">
            <v>-0.38100000000000001</v>
          </cell>
          <cell r="CA510">
            <v>2.609</v>
          </cell>
          <cell r="CB510">
            <v>0.28799999999999998</v>
          </cell>
          <cell r="CC510">
            <v>0</v>
          </cell>
          <cell r="CD510">
            <v>0</v>
          </cell>
          <cell r="CE510">
            <v>0</v>
          </cell>
          <cell r="CF510">
            <v>0</v>
          </cell>
          <cell r="CG510">
            <v>0</v>
          </cell>
          <cell r="CH510">
            <v>0</v>
          </cell>
        </row>
        <row r="512">
          <cell r="A512" t="str">
            <v>Change in Accounts Payable and Accruals</v>
          </cell>
          <cell r="AD512">
            <v>-9.1999999999999998E-2</v>
          </cell>
          <cell r="AE512">
            <v>0.255</v>
          </cell>
          <cell r="AF512">
            <v>1.268</v>
          </cell>
          <cell r="AG512">
            <v>-1.5029999999999999</v>
          </cell>
          <cell r="AH512">
            <v>0.85799999999999998</v>
          </cell>
          <cell r="AI512">
            <v>-0.33600000000000002</v>
          </cell>
          <cell r="AJ512">
            <v>0.66500000000000004</v>
          </cell>
          <cell r="AK512">
            <v>0.11600000000000001</v>
          </cell>
          <cell r="AL512">
            <v>0.68</v>
          </cell>
          <cell r="AM512">
            <v>0.47699999999999998</v>
          </cell>
          <cell r="AN512">
            <v>1.9550000000000001</v>
          </cell>
          <cell r="AO512">
            <v>-2.2200000000000002</v>
          </cell>
          <cell r="AP512">
            <v>0.59</v>
          </cell>
          <cell r="AQ512">
            <v>1.246</v>
          </cell>
          <cell r="AR512">
            <v>7.476</v>
          </cell>
          <cell r="AS512">
            <v>0.54900000000000004</v>
          </cell>
          <cell r="AT512">
            <v>-0.88900000000000001</v>
          </cell>
          <cell r="AU512">
            <v>-0.86399999999999988</v>
          </cell>
          <cell r="AV512">
            <v>6.1719999999999997</v>
          </cell>
          <cell r="AW512">
            <v>-2.2379999999999995</v>
          </cell>
          <cell r="AX512">
            <v>0.27537918636393677</v>
          </cell>
          <cell r="AY512">
            <v>0.36988980624542123</v>
          </cell>
          <cell r="AZ512">
            <v>0.36988980624543011</v>
          </cell>
          <cell r="BA512">
            <v>0.55860909514614399</v>
          </cell>
          <cell r="BB512">
            <v>0.70958452626672752</v>
          </cell>
          <cell r="BC512">
            <v>0.59635295292629564</v>
          </cell>
          <cell r="BD512">
            <v>0.63409681070644908</v>
          </cell>
          <cell r="BE512">
            <v>0.70958452626671864</v>
          </cell>
          <cell r="BF512">
            <v>-0.78529633185724812</v>
          </cell>
          <cell r="BG512">
            <v>1.8270209389049601</v>
          </cell>
          <cell r="BH512">
            <v>2.0803872282866713</v>
          </cell>
          <cell r="BI512">
            <v>0.26034262490965432</v>
          </cell>
          <cell r="BJ512">
            <v>-2.0332373903163656</v>
          </cell>
          <cell r="BK512">
            <v>2.1386906910315204</v>
          </cell>
          <cell r="BL512">
            <v>2.4352453619161913</v>
          </cell>
          <cell r="BM512">
            <v>0.30457926790679934</v>
          </cell>
          <cell r="BN512">
            <v>-2.7446875304224996</v>
          </cell>
          <cell r="BO512">
            <v>2.6882892514435355</v>
          </cell>
          <cell r="BP512">
            <v>2.5518783844185116</v>
          </cell>
          <cell r="BQ512">
            <v>0.34874434427646506</v>
          </cell>
          <cell r="BY512">
            <v>-7.1999999999999842E-2</v>
          </cell>
          <cell r="BZ512">
            <v>1.3030000000000002</v>
          </cell>
          <cell r="CA512">
            <v>0.8919999999999999</v>
          </cell>
          <cell r="CB512">
            <v>9.8609999999999989</v>
          </cell>
          <cell r="CC512">
            <v>2.181</v>
          </cell>
          <cell r="CD512">
            <v>1.5737678940009321</v>
          </cell>
          <cell r="CE512">
            <v>2.6496188161661909</v>
          </cell>
          <cell r="CF512">
            <v>3.3824544602440376</v>
          </cell>
          <cell r="CG512">
            <v>2.8452779305381455</v>
          </cell>
          <cell r="CH512">
            <v>2.8442244497160125</v>
          </cell>
        </row>
        <row r="529">
          <cell r="A529" t="str">
            <v>Net Proceeds From Revolving Line of Credit</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10.023</v>
          </cell>
          <cell r="AS529">
            <v>-0.219</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cell r="BM529">
            <v>0</v>
          </cell>
          <cell r="BN529">
            <v>0</v>
          </cell>
          <cell r="BO529">
            <v>0</v>
          </cell>
          <cell r="BP529">
            <v>0</v>
          </cell>
          <cell r="BQ529">
            <v>0</v>
          </cell>
          <cell r="BY529">
            <v>0</v>
          </cell>
          <cell r="BZ529">
            <v>0</v>
          </cell>
          <cell r="CA529">
            <v>0</v>
          </cell>
          <cell r="CB529">
            <v>9.8040000000000003</v>
          </cell>
          <cell r="CC529">
            <v>0</v>
          </cell>
          <cell r="CD529">
            <v>0</v>
          </cell>
          <cell r="CE529">
            <v>0</v>
          </cell>
          <cell r="CF529">
            <v>0</v>
          </cell>
          <cell r="CG529">
            <v>0</v>
          </cell>
          <cell r="CH529">
            <v>0</v>
          </cell>
        </row>
        <row r="530">
          <cell r="A530" t="str">
            <v>Proceeds from Stock and Option Exercises</v>
          </cell>
          <cell r="AD530">
            <v>0</v>
          </cell>
          <cell r="AE530">
            <v>0.06</v>
          </cell>
          <cell r="AF530">
            <v>0.19800000000000001</v>
          </cell>
          <cell r="AG530">
            <v>8.9999999999999993E-3</v>
          </cell>
          <cell r="AH530">
            <v>0.14399999999999999</v>
          </cell>
          <cell r="AI530">
            <v>0.504</v>
          </cell>
          <cell r="AJ530">
            <v>0.02</v>
          </cell>
          <cell r="AK530">
            <v>0.80900000000000005</v>
          </cell>
          <cell r="AL530">
            <v>5.0999999999999997E-2</v>
          </cell>
          <cell r="AM530">
            <v>0.318</v>
          </cell>
          <cell r="AN530">
            <v>0.185</v>
          </cell>
          <cell r="AO530">
            <v>0.23699999999999999</v>
          </cell>
          <cell r="AP530">
            <v>5.6000000000000001E-2</v>
          </cell>
          <cell r="AQ530">
            <v>1.4999999999999999E-2</v>
          </cell>
          <cell r="AR530">
            <v>0.11600000000000001</v>
          </cell>
          <cell r="AS530">
            <v>0.24199999999999999</v>
          </cell>
          <cell r="AT530">
            <v>0.46700000000000003</v>
          </cell>
          <cell r="AU530">
            <v>0.35299999999999992</v>
          </cell>
          <cell r="AV530">
            <v>3.9810000000000003</v>
          </cell>
          <cell r="AW530">
            <v>-5.6589999999999998</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cell r="BM530">
            <v>0</v>
          </cell>
          <cell r="BN530">
            <v>0</v>
          </cell>
          <cell r="BO530">
            <v>0</v>
          </cell>
          <cell r="BP530">
            <v>0</v>
          </cell>
          <cell r="BQ530">
            <v>0</v>
          </cell>
          <cell r="BY530">
            <v>0.26700000000000002</v>
          </cell>
          <cell r="BZ530">
            <v>1.4770000000000001</v>
          </cell>
          <cell r="CA530">
            <v>0.79100000000000004</v>
          </cell>
          <cell r="CB530">
            <v>0.42899999999999999</v>
          </cell>
          <cell r="CC530">
            <v>-0.85799999999999965</v>
          </cell>
          <cell r="CD530">
            <v>0</v>
          </cell>
          <cell r="CE530">
            <v>0</v>
          </cell>
          <cell r="CF530">
            <v>0</v>
          </cell>
          <cell r="CG530">
            <v>0</v>
          </cell>
          <cell r="CH530">
            <v>0</v>
          </cell>
        </row>
        <row r="532">
          <cell r="A532" t="str">
            <v>Proceeds From Issueance of Convertible Preferred Stock, Net of Issuance Costs</v>
          </cell>
          <cell r="AD532">
            <v>0</v>
          </cell>
          <cell r="AE532">
            <v>0</v>
          </cell>
          <cell r="AF532">
            <v>0</v>
          </cell>
          <cell r="AG532">
            <v>0</v>
          </cell>
          <cell r="AH532">
            <v>0</v>
          </cell>
          <cell r="AI532">
            <v>69.98</v>
          </cell>
          <cell r="AJ532">
            <v>5</v>
          </cell>
          <cell r="AK532">
            <v>70</v>
          </cell>
          <cell r="AL532">
            <v>0</v>
          </cell>
          <cell r="AM532">
            <v>0</v>
          </cell>
          <cell r="AN532">
            <v>0</v>
          </cell>
          <cell r="AO532">
            <v>0</v>
          </cell>
          <cell r="AP532">
            <v>30</v>
          </cell>
          <cell r="AQ532">
            <v>-3.7999999999999999E-2</v>
          </cell>
          <cell r="AR532">
            <v>0</v>
          </cell>
          <cell r="AS532">
            <v>39.972999999999999</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cell r="BM532">
            <v>0</v>
          </cell>
          <cell r="BN532">
            <v>0</v>
          </cell>
          <cell r="BO532">
            <v>0</v>
          </cell>
          <cell r="BP532">
            <v>0</v>
          </cell>
          <cell r="BQ532">
            <v>0</v>
          </cell>
          <cell r="BY532">
            <v>0</v>
          </cell>
          <cell r="BZ532">
            <v>144.98000000000002</v>
          </cell>
          <cell r="CA532">
            <v>0</v>
          </cell>
          <cell r="CB532">
            <v>69.935000000000002</v>
          </cell>
          <cell r="CC532">
            <v>0</v>
          </cell>
          <cell r="CD532">
            <v>0</v>
          </cell>
          <cell r="CE532">
            <v>0</v>
          </cell>
          <cell r="CF532">
            <v>0</v>
          </cell>
          <cell r="CG532">
            <v>0</v>
          </cell>
          <cell r="CH532">
            <v>0</v>
          </cell>
        </row>
        <row r="535">
          <cell r="A535" t="str">
            <v>Settlement of Notes Receivable</v>
          </cell>
          <cell r="AD535">
            <v>0</v>
          </cell>
          <cell r="AE535">
            <v>0.24</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cell r="BM535">
            <v>0</v>
          </cell>
          <cell r="BN535">
            <v>0</v>
          </cell>
          <cell r="BO535">
            <v>0</v>
          </cell>
          <cell r="BP535">
            <v>0</v>
          </cell>
          <cell r="BQ535">
            <v>0</v>
          </cell>
          <cell r="BY535">
            <v>0.24</v>
          </cell>
          <cell r="BZ535">
            <v>0</v>
          </cell>
          <cell r="CA535">
            <v>0</v>
          </cell>
          <cell r="CB535">
            <v>0</v>
          </cell>
          <cell r="CC535">
            <v>0</v>
          </cell>
          <cell r="CD535">
            <v>0</v>
          </cell>
          <cell r="CE535">
            <v>0</v>
          </cell>
          <cell r="CF535">
            <v>0</v>
          </cell>
          <cell r="CG535">
            <v>0</v>
          </cell>
          <cell r="CH535">
            <v>0</v>
          </cell>
        </row>
        <row r="554">
          <cell r="A554" t="str">
            <v>CapEx as a % of revenue</v>
          </cell>
          <cell r="AD554">
            <v>0</v>
          </cell>
          <cell r="AE554">
            <v>0</v>
          </cell>
          <cell r="AF554">
            <v>0</v>
          </cell>
          <cell r="AG554">
            <v>0</v>
          </cell>
          <cell r="AH554">
            <v>0</v>
          </cell>
          <cell r="AI554">
            <v>0</v>
          </cell>
          <cell r="AJ554">
            <v>3.9559277931370956E-2</v>
          </cell>
          <cell r="AK554">
            <v>0</v>
          </cell>
          <cell r="AL554">
            <v>0.18048137615315252</v>
          </cell>
          <cell r="AM554">
            <v>-1.436826487583945E-3</v>
          </cell>
          <cell r="AN554">
            <v>4.6737930633823269E-2</v>
          </cell>
          <cell r="AO554">
            <v>-2.4313303069939216E-2</v>
          </cell>
          <cell r="AP554">
            <v>0</v>
          </cell>
          <cell r="AQ554">
            <v>0</v>
          </cell>
          <cell r="AR554">
            <v>4.9162781416105798E-2</v>
          </cell>
          <cell r="AS554">
            <v>0</v>
          </cell>
          <cell r="AT554">
            <v>1.2582543672042088E-2</v>
          </cell>
          <cell r="AU554">
            <v>0</v>
          </cell>
          <cell r="AV554">
            <v>0</v>
          </cell>
          <cell r="AW554">
            <v>1.16562700402262</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cell r="BM554">
            <v>0</v>
          </cell>
          <cell r="BN554">
            <v>0</v>
          </cell>
          <cell r="BO554">
            <v>0</v>
          </cell>
          <cell r="BP554">
            <v>0</v>
          </cell>
          <cell r="BQ554">
            <v>0</v>
          </cell>
        </row>
        <row r="555">
          <cell r="A555" t="str">
            <v>Period Ending EV / Trailing 12-Month Total Revenue</v>
          </cell>
          <cell r="AD555" t="e">
            <v>#REF!</v>
          </cell>
          <cell r="AE555" t="e">
            <v>#REF!</v>
          </cell>
          <cell r="AF555" t="e">
            <v>#REF!</v>
          </cell>
          <cell r="AG555" t="e">
            <v>#REF!</v>
          </cell>
          <cell r="AH555" t="e">
            <v>#REF!</v>
          </cell>
          <cell r="AI555" t="e">
            <v>#REF!</v>
          </cell>
          <cell r="AJ555" t="e">
            <v>#REF!</v>
          </cell>
          <cell r="AK555" t="e">
            <v>#REF!</v>
          </cell>
          <cell r="AL555" t="e">
            <v>#REF!</v>
          </cell>
          <cell r="AM555" t="e">
            <v>#REF!</v>
          </cell>
          <cell r="AN555" t="e">
            <v>#REF!</v>
          </cell>
          <cell r="AO555" t="e">
            <v>#REF!</v>
          </cell>
          <cell r="AP555" t="e">
            <v>#REF!</v>
          </cell>
          <cell r="AQ555" t="e">
            <v>#REF!</v>
          </cell>
          <cell r="AR555" t="e">
            <v>#REF!</v>
          </cell>
          <cell r="AS555" t="e">
            <v>#REF!</v>
          </cell>
        </row>
        <row r="556">
          <cell r="A556" t="str">
            <v>Additions to PP&amp;E</v>
          </cell>
          <cell r="AD556">
            <v>0</v>
          </cell>
          <cell r="AE556">
            <v>0</v>
          </cell>
          <cell r="AF556">
            <v>0</v>
          </cell>
          <cell r="AG556">
            <v>0</v>
          </cell>
          <cell r="AH556">
            <v>0</v>
          </cell>
          <cell r="AI556">
            <v>-0.97299999999999998</v>
          </cell>
          <cell r="AJ556">
            <v>0</v>
          </cell>
          <cell r="AK556">
            <v>-5.2039999999999997</v>
          </cell>
          <cell r="AL556">
            <v>-5.2039999999999997</v>
          </cell>
          <cell r="AM556">
            <v>4.5999999999999999E-2</v>
          </cell>
          <cell r="AN556">
            <v>-1.609</v>
          </cell>
          <cell r="AO556">
            <v>0.94799999999999995</v>
          </cell>
          <cell r="AP556">
            <v>0</v>
          </cell>
          <cell r="AQ556">
            <v>0</v>
          </cell>
          <cell r="AR556">
            <v>-2.71</v>
          </cell>
          <cell r="AS556">
            <v>0</v>
          </cell>
          <cell r="AT556">
            <v>-0.80600000000000005</v>
          </cell>
          <cell r="AU556">
            <v>0</v>
          </cell>
          <cell r="AV556">
            <v>0</v>
          </cell>
          <cell r="AW556">
            <v>-99.97</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cell r="BM556">
            <v>0</v>
          </cell>
          <cell r="BN556">
            <v>0</v>
          </cell>
          <cell r="BO556">
            <v>0</v>
          </cell>
          <cell r="BP556">
            <v>0</v>
          </cell>
          <cell r="BQ556">
            <v>0</v>
          </cell>
        </row>
        <row r="557">
          <cell r="A557" t="str">
            <v>Period Ending EV / Trailing 12-Month P/E Ratio</v>
          </cell>
          <cell r="AD557" t="e">
            <v>#REF!</v>
          </cell>
          <cell r="AE557" t="e">
            <v>#REF!</v>
          </cell>
          <cell r="AF557" t="e">
            <v>#REF!</v>
          </cell>
          <cell r="AG557" t="e">
            <v>#REF!</v>
          </cell>
          <cell r="AH557" t="e">
            <v>#REF!</v>
          </cell>
          <cell r="AI557" t="e">
            <v>#REF!</v>
          </cell>
          <cell r="AJ557" t="e">
            <v>#REF!</v>
          </cell>
          <cell r="AK557" t="e">
            <v>#REF!</v>
          </cell>
          <cell r="AL557" t="e">
            <v>#REF!</v>
          </cell>
          <cell r="AM557" t="e">
            <v>#REF!</v>
          </cell>
          <cell r="AN557" t="e">
            <v>#REF!</v>
          </cell>
          <cell r="AO557" t="e">
            <v>#REF!</v>
          </cell>
          <cell r="AP557" t="e">
            <v>#REF!</v>
          </cell>
          <cell r="AQ557" t="e">
            <v>#REF!</v>
          </cell>
          <cell r="AR557" t="e">
            <v>#REF!</v>
          </cell>
          <cell r="AS557" t="e">
            <v>#REF!</v>
          </cell>
        </row>
        <row r="600">
          <cell r="A600" t="str">
            <v>Capital Expenditures</v>
          </cell>
          <cell r="AD600">
            <v>-3.1989999999999998</v>
          </cell>
          <cell r="AE600">
            <v>-2.024</v>
          </cell>
          <cell r="AF600">
            <v>-3.528</v>
          </cell>
          <cell r="AG600">
            <v>-4.5490000000000004</v>
          </cell>
          <cell r="AH600">
            <v>-2.6579999999999999</v>
          </cell>
          <cell r="AI600">
            <v>-4.1529999999999996</v>
          </cell>
          <cell r="AJ600">
            <v>-2.4729999999999999</v>
          </cell>
          <cell r="AK600">
            <v>-4.0309999999999997</v>
          </cell>
          <cell r="AL600">
            <v>-3.097</v>
          </cell>
          <cell r="AM600">
            <v>-4.2629999999999999</v>
          </cell>
          <cell r="AN600">
            <v>-5.774</v>
          </cell>
          <cell r="AO600">
            <v>-5.6150000000000002</v>
          </cell>
          <cell r="AP600">
            <v>-5.52</v>
          </cell>
          <cell r="AQ600">
            <v>-8.2240000000000002</v>
          </cell>
          <cell r="AR600">
            <v>-14.288</v>
          </cell>
          <cell r="AS600">
            <v>-4.8250000000000002</v>
          </cell>
          <cell r="AT600">
            <v>-4.8010000000000002</v>
          </cell>
          <cell r="AU600">
            <v>-4.3179999999999996</v>
          </cell>
          <cell r="AV600">
            <v>-10.425000000000001</v>
          </cell>
          <cell r="AW600">
            <v>-10.134</v>
          </cell>
          <cell r="AX600">
            <v>-8</v>
          </cell>
          <cell r="AY600">
            <v>-8</v>
          </cell>
          <cell r="AZ600">
            <v>-8</v>
          </cell>
          <cell r="BA600">
            <v>-8</v>
          </cell>
          <cell r="BB600">
            <v>-8.5</v>
          </cell>
          <cell r="BC600">
            <v>-8.5</v>
          </cell>
          <cell r="BD600">
            <v>-8.5</v>
          </cell>
          <cell r="BE600">
            <v>-8.5</v>
          </cell>
          <cell r="BF600">
            <v>-9</v>
          </cell>
          <cell r="BG600">
            <v>-9</v>
          </cell>
          <cell r="BH600">
            <v>-9</v>
          </cell>
          <cell r="BI600">
            <v>-9</v>
          </cell>
          <cell r="BJ600">
            <v>-9.5</v>
          </cell>
          <cell r="BK600">
            <v>-9.5</v>
          </cell>
          <cell r="BL600">
            <v>-9.5</v>
          </cell>
          <cell r="BM600">
            <v>-9.5</v>
          </cell>
          <cell r="BN600">
            <v>-10</v>
          </cell>
          <cell r="BO600">
            <v>-10</v>
          </cell>
          <cell r="BP600">
            <v>-10</v>
          </cell>
          <cell r="BQ600">
            <v>-10</v>
          </cell>
          <cell r="BY600">
            <v>-13.3</v>
          </cell>
          <cell r="BZ600">
            <v>-13.314999999999998</v>
          </cell>
          <cell r="CA600">
            <v>-18.749000000000002</v>
          </cell>
          <cell r="CB600">
            <v>-32.856999999999999</v>
          </cell>
          <cell r="CC600">
            <v>-29.678000000000001</v>
          </cell>
          <cell r="CD600">
            <v>-32</v>
          </cell>
          <cell r="CE600">
            <v>-34</v>
          </cell>
          <cell r="CF600">
            <v>-36</v>
          </cell>
          <cell r="CG600">
            <v>-38</v>
          </cell>
          <cell r="CH600">
            <v>-40</v>
          </cell>
        </row>
        <row r="602">
          <cell r="A602" t="str">
            <v>Other</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cell r="BM602">
            <v>0</v>
          </cell>
          <cell r="BN602">
            <v>0</v>
          </cell>
          <cell r="BO602">
            <v>0</v>
          </cell>
          <cell r="BP602">
            <v>0</v>
          </cell>
          <cell r="BQ602">
            <v>0</v>
          </cell>
          <cell r="BY602">
            <v>0</v>
          </cell>
          <cell r="BZ602">
            <v>0</v>
          </cell>
          <cell r="CA602">
            <v>0</v>
          </cell>
          <cell r="CB602">
            <v>0</v>
          </cell>
          <cell r="CC602">
            <v>0</v>
          </cell>
          <cell r="CD602">
            <v>0</v>
          </cell>
          <cell r="CE602">
            <v>0</v>
          </cell>
          <cell r="CF602">
            <v>0</v>
          </cell>
          <cell r="CG602">
            <v>0</v>
          </cell>
          <cell r="CH602">
            <v>0</v>
          </cell>
        </row>
        <row r="603">
          <cell r="A603" t="str">
            <v>Net Cash Used for Investing</v>
          </cell>
          <cell r="AD603">
            <v>-3.1989999999999998</v>
          </cell>
          <cell r="AE603">
            <v>-2.024</v>
          </cell>
          <cell r="AF603">
            <v>-3.528</v>
          </cell>
          <cell r="AG603">
            <v>-4.5490000000000004</v>
          </cell>
          <cell r="AH603">
            <v>-2.6579999999999999</v>
          </cell>
          <cell r="AI603">
            <v>-4.1529999999999996</v>
          </cell>
          <cell r="AJ603">
            <v>-3.9459999999999997</v>
          </cell>
          <cell r="AK603">
            <v>-3.5309999999999997</v>
          </cell>
          <cell r="AL603">
            <v>-8.3010000000000002</v>
          </cell>
          <cell r="AM603">
            <v>-6.2159999999999993</v>
          </cell>
          <cell r="AN603">
            <v>-7.3840000000000003</v>
          </cell>
          <cell r="AO603">
            <v>-2.6669999999999998</v>
          </cell>
          <cell r="AP603">
            <v>-5.52</v>
          </cell>
          <cell r="AQ603">
            <v>-8.2240000000000002</v>
          </cell>
          <cell r="AR603">
            <v>-16.998000000000001</v>
          </cell>
          <cell r="AS603">
            <v>-4.8250000000000002</v>
          </cell>
          <cell r="AT603">
            <v>-5.6070000000000002</v>
          </cell>
          <cell r="AU603">
            <v>-4.3179999999999996</v>
          </cell>
          <cell r="AV603">
            <v>-10.425000000000001</v>
          </cell>
          <cell r="AW603">
            <v>-10.134</v>
          </cell>
          <cell r="AX603">
            <v>-8</v>
          </cell>
          <cell r="AY603">
            <v>-8</v>
          </cell>
          <cell r="AZ603">
            <v>-8</v>
          </cell>
          <cell r="BA603">
            <v>-8</v>
          </cell>
          <cell r="BB603">
            <v>-8.5</v>
          </cell>
          <cell r="BC603">
            <v>-8.5</v>
          </cell>
          <cell r="BD603">
            <v>-8.5</v>
          </cell>
          <cell r="BE603">
            <v>-8.5</v>
          </cell>
          <cell r="BF603">
            <v>-9</v>
          </cell>
          <cell r="BG603">
            <v>-9</v>
          </cell>
          <cell r="BH603">
            <v>-9</v>
          </cell>
          <cell r="BI603">
            <v>-9</v>
          </cell>
          <cell r="BJ603">
            <v>-9.5</v>
          </cell>
          <cell r="BK603">
            <v>-9.5</v>
          </cell>
          <cell r="BL603">
            <v>-9.5</v>
          </cell>
          <cell r="BM603">
            <v>-9.5</v>
          </cell>
          <cell r="BN603">
            <v>-10</v>
          </cell>
          <cell r="BO603">
            <v>-10</v>
          </cell>
          <cell r="BP603">
            <v>-10</v>
          </cell>
          <cell r="BQ603">
            <v>-10</v>
          </cell>
          <cell r="BY603">
            <v>-13.3</v>
          </cell>
          <cell r="BZ603">
            <v>-14.287999999999998</v>
          </cell>
          <cell r="CA603">
            <v>-24.568000000000001</v>
          </cell>
          <cell r="CB603">
            <v>-35.567</v>
          </cell>
          <cell r="CC603">
            <v>-30.484000000000002</v>
          </cell>
          <cell r="CD603">
            <v>-32</v>
          </cell>
          <cell r="CE603">
            <v>-34</v>
          </cell>
          <cell r="CF603">
            <v>-36</v>
          </cell>
          <cell r="CG603">
            <v>-38</v>
          </cell>
          <cell r="CH603">
            <v>-40</v>
          </cell>
        </row>
        <row r="605">
          <cell r="A605" t="str">
            <v>Cash Flows From Financing</v>
          </cell>
        </row>
        <row r="606">
          <cell r="A606" t="str">
            <v>Payments on Capital Leases and Notes Payable</v>
          </cell>
          <cell r="AD606">
            <v>-0.17899999999999999</v>
          </cell>
          <cell r="AE606">
            <v>-0.44800000000000001</v>
          </cell>
          <cell r="AF606">
            <v>-3.3000000000000002E-2</v>
          </cell>
          <cell r="AG606">
            <v>-3.5999999999999997E-2</v>
          </cell>
          <cell r="AH606">
            <v>-4.7E-2</v>
          </cell>
          <cell r="AI606">
            <v>-6.3E-2</v>
          </cell>
          <cell r="AJ606">
            <v>-8.1000000000000003E-2</v>
          </cell>
          <cell r="AK606">
            <v>-9.5000000000000001E-2</v>
          </cell>
          <cell r="AL606">
            <v>-0.127</v>
          </cell>
          <cell r="AM606">
            <v>-9.5000000000000001E-2</v>
          </cell>
          <cell r="AN606">
            <v>-0.13700000000000001</v>
          </cell>
          <cell r="AO606">
            <v>-0.158</v>
          </cell>
          <cell r="AP606">
            <v>-0.16200000000000001</v>
          </cell>
          <cell r="AQ606">
            <v>-0.16300000000000001</v>
          </cell>
          <cell r="AR606">
            <v>-0.30099999999999999</v>
          </cell>
          <cell r="AS606">
            <v>-0.32600000000000001</v>
          </cell>
          <cell r="AT606">
            <v>-0.19400000000000001</v>
          </cell>
          <cell r="AU606">
            <v>-0.19400000000000001</v>
          </cell>
          <cell r="AV606">
            <v>-0.19900000000000001</v>
          </cell>
          <cell r="AW606">
            <v>-0.19900000000000001</v>
          </cell>
          <cell r="AX606">
            <v>-0.19900000000000001</v>
          </cell>
          <cell r="AY606">
            <v>-0.19900000000000001</v>
          </cell>
          <cell r="AZ606">
            <v>-0.19900000000000001</v>
          </cell>
          <cell r="BA606">
            <v>-0.19900000000000001</v>
          </cell>
          <cell r="BB606">
            <v>-0.19900000000000001</v>
          </cell>
          <cell r="BC606">
            <v>-0.19900000000000001</v>
          </cell>
          <cell r="BD606">
            <v>-0.19900000000000001</v>
          </cell>
          <cell r="BE606">
            <v>-0.19900000000000001</v>
          </cell>
          <cell r="BF606">
            <v>-0.19900000000000001</v>
          </cell>
          <cell r="BG606">
            <v>-0.19900000000000001</v>
          </cell>
          <cell r="BH606">
            <v>-0.19900000000000001</v>
          </cell>
          <cell r="BI606">
            <v>-0.19900000000000001</v>
          </cell>
          <cell r="BJ606">
            <v>-0.19900000000000001</v>
          </cell>
          <cell r="BK606">
            <v>-0.19900000000000001</v>
          </cell>
          <cell r="BL606">
            <v>-0.19900000000000001</v>
          </cell>
          <cell r="BM606">
            <v>-0.19900000000000001</v>
          </cell>
          <cell r="BN606">
            <v>-0.19900000000000001</v>
          </cell>
          <cell r="BO606">
            <v>-0.19900000000000001</v>
          </cell>
          <cell r="BP606">
            <v>-0.19900000000000001</v>
          </cell>
          <cell r="BQ606">
            <v>-0.19900000000000001</v>
          </cell>
          <cell r="BY606">
            <v>-0.69600000000000006</v>
          </cell>
          <cell r="BZ606">
            <v>-0.28600000000000003</v>
          </cell>
          <cell r="CA606">
            <v>-0.51700000000000002</v>
          </cell>
          <cell r="CB606">
            <v>-0.95199999999999996</v>
          </cell>
          <cell r="CC606">
            <v>-0.78600000000000003</v>
          </cell>
          <cell r="CD606">
            <v>-0.79600000000000004</v>
          </cell>
          <cell r="CE606">
            <v>-0.79600000000000004</v>
          </cell>
          <cell r="CF606">
            <v>-0.79600000000000004</v>
          </cell>
          <cell r="CG606">
            <v>-0.79600000000000004</v>
          </cell>
          <cell r="CH606">
            <v>-0.79600000000000004</v>
          </cell>
        </row>
        <row r="616">
          <cell r="A616" t="str">
            <v>Cash Flow From Financing</v>
          </cell>
          <cell r="AD616">
            <v>-0.114</v>
          </cell>
          <cell r="AE616">
            <v>-0.12700000000000006</v>
          </cell>
          <cell r="AF616">
            <v>1.421</v>
          </cell>
          <cell r="AG616">
            <v>-1.4999999999999996E-2</v>
          </cell>
          <cell r="AH616">
            <v>0.16099999999999998</v>
          </cell>
          <cell r="AI616">
            <v>22.347999999999999</v>
          </cell>
          <cell r="AJ616">
            <v>-4.6999999999999709E-2</v>
          </cell>
          <cell r="AK616">
            <v>14.544999999999995</v>
          </cell>
          <cell r="AL616">
            <v>-7.6000000000000012E-2</v>
          </cell>
          <cell r="AM616">
            <v>0.223</v>
          </cell>
          <cell r="AN616">
            <v>4.7999999999999987E-2</v>
          </cell>
          <cell r="AO616">
            <v>9.282</v>
          </cell>
          <cell r="AP616">
            <v>28.457999999999998</v>
          </cell>
          <cell r="AQ616">
            <v>-1.81</v>
          </cell>
          <cell r="AR616">
            <v>9.004999999999999</v>
          </cell>
          <cell r="AS616">
            <v>38.835999999999999</v>
          </cell>
          <cell r="AT616">
            <v>152.85900000000004</v>
          </cell>
          <cell r="AU616">
            <v>0.15899999999999992</v>
          </cell>
          <cell r="AV616">
            <v>3.782</v>
          </cell>
          <cell r="AW616">
            <v>-0.19900000000000001</v>
          </cell>
          <cell r="AX616">
            <v>-0.19900000000000001</v>
          </cell>
          <cell r="AY616">
            <v>-0.19900000000000001</v>
          </cell>
          <cell r="AZ616">
            <v>-0.19900000000000001</v>
          </cell>
          <cell r="BA616">
            <v>-0.19900000000000001</v>
          </cell>
          <cell r="BB616">
            <v>-0.19900000000000001</v>
          </cell>
          <cell r="BC616">
            <v>-0.19900000000000001</v>
          </cell>
          <cell r="BD616">
            <v>-0.19900000000000001</v>
          </cell>
          <cell r="BE616">
            <v>-0.19900000000000001</v>
          </cell>
          <cell r="BF616">
            <v>-0.19900000000000001</v>
          </cell>
          <cell r="BG616">
            <v>-0.19900000000000001</v>
          </cell>
          <cell r="BH616">
            <v>-0.19900000000000001</v>
          </cell>
          <cell r="BI616">
            <v>-0.19900000000000001</v>
          </cell>
          <cell r="BJ616">
            <v>-0.19900000000000001</v>
          </cell>
          <cell r="BK616">
            <v>-0.19900000000000001</v>
          </cell>
          <cell r="BL616">
            <v>-0.19900000000000001</v>
          </cell>
          <cell r="BM616">
            <v>-0.19900000000000001</v>
          </cell>
          <cell r="BN616">
            <v>-0.19900000000000001</v>
          </cell>
          <cell r="BO616">
            <v>-0.19900000000000001</v>
          </cell>
          <cell r="BP616">
            <v>-0.19900000000000001</v>
          </cell>
          <cell r="BQ616">
            <v>-0.19900000000000001</v>
          </cell>
          <cell r="BY616">
            <v>1.165</v>
          </cell>
          <cell r="BZ616">
            <v>37.007000000000033</v>
          </cell>
          <cell r="CA616">
            <v>9.4770000000000003</v>
          </cell>
          <cell r="CB616">
            <v>74.489000000000004</v>
          </cell>
          <cell r="CC616">
            <v>156.601</v>
          </cell>
          <cell r="CD616">
            <v>-0.79600000000000004</v>
          </cell>
          <cell r="CE616">
            <v>-0.79600000000000004</v>
          </cell>
          <cell r="CF616">
            <v>-0.79600000000000004</v>
          </cell>
          <cell r="CG616">
            <v>-0.79600000000000004</v>
          </cell>
          <cell r="CH616">
            <v>-0.79600000000000004</v>
          </cell>
        </row>
        <row r="618">
          <cell r="A618" t="str">
            <v>Impact of Exchange Rate</v>
          </cell>
          <cell r="AD618">
            <v>0</v>
          </cell>
          <cell r="AE618">
            <v>0</v>
          </cell>
          <cell r="AF618">
            <v>0</v>
          </cell>
          <cell r="AG618">
            <v>0</v>
          </cell>
          <cell r="AH618">
            <v>0</v>
          </cell>
          <cell r="AI618">
            <v>0</v>
          </cell>
          <cell r="AJ618">
            <v>-5.0000000000000001E-3</v>
          </cell>
          <cell r="AK618">
            <v>-8.9999999999999993E-3</v>
          </cell>
          <cell r="AL618">
            <v>-9.7000000000000003E-2</v>
          </cell>
          <cell r="AM618">
            <v>-0.151</v>
          </cell>
          <cell r="AN618">
            <v>-0.16500000000000001</v>
          </cell>
          <cell r="AO618">
            <v>0.33500000000000002</v>
          </cell>
          <cell r="AP618">
            <v>4.3999999999999997E-2</v>
          </cell>
          <cell r="AQ618">
            <v>0.157</v>
          </cell>
          <cell r="AR618">
            <v>-0.20399999999999999</v>
          </cell>
          <cell r="AS618">
            <v>4.5999999999999999E-2</v>
          </cell>
          <cell r="AT618">
            <v>-3.4000000000000002E-2</v>
          </cell>
          <cell r="AU618">
            <v>-0.16400000000000001</v>
          </cell>
          <cell r="AV618">
            <v>0.312</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Y618">
            <v>0</v>
          </cell>
          <cell r="BZ618">
            <v>-1.3999999999999999E-2</v>
          </cell>
          <cell r="CA618">
            <v>-7.8000000000000014E-2</v>
          </cell>
          <cell r="CB618">
            <v>4.3000000000000024E-2</v>
          </cell>
          <cell r="CC618">
            <v>0.11399999999999999</v>
          </cell>
          <cell r="CD618">
            <v>0</v>
          </cell>
          <cell r="CE618">
            <v>0</v>
          </cell>
          <cell r="CF618">
            <v>0</v>
          </cell>
          <cell r="CG618">
            <v>0</v>
          </cell>
          <cell r="CH618">
            <v>0</v>
          </cell>
        </row>
        <row r="619">
          <cell r="AQ619" t="str">
            <v xml:space="preserve"> </v>
          </cell>
        </row>
      </sheetData>
      <sheetData sheetId="2"/>
      <sheetData sheetId="3"/>
      <sheetData sheetId="4"/>
      <sheetData sheetId="5"/>
      <sheetData sheetId="6"/>
      <sheetData sheetId="7"/>
      <sheetData sheetId="8" refreshError="1">
        <row r="30">
          <cell r="C30" t="e">
            <v>#VALUE!</v>
          </cell>
        </row>
      </sheetData>
      <sheetData sheetId="9"/>
      <sheetData sheetId="10" refreshError="1">
        <row r="52">
          <cell r="D52" t="e">
            <v>#NAME?</v>
          </cell>
        </row>
      </sheetData>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Madrid"/>
      <sheetName val="Doris"/>
      <sheetName val="Boston"/>
      <sheetName val="Prod"/>
      <sheetName val="Rsrce by area"/>
      <sheetName val="Exhibits"/>
      <sheetName val="IS-A"/>
      <sheetName val="BS"/>
      <sheetName val="CF"/>
      <sheetName val="IS-Q"/>
      <sheetName val="NAV"/>
      <sheetName val="Comps_Output"/>
      <sheetName val="Country_Exposure"/>
      <sheetName val="Sensitivity"/>
      <sheetName val="1pager"/>
      <sheetName val="Hope Bay"/>
      <sheetName val="val vs 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Upside_Downside"/>
      <sheetName val="Earnings Summary"/>
      <sheetName val="SOTP"/>
      <sheetName val="guidance range"/>
      <sheetName val="BMTemplate"/>
      <sheetName val="job postings"/>
      <sheetName val="SENSITIVITY"/>
      <sheetName val="MULTIPLES"/>
      <sheetName val="VRTS"/>
      <sheetName val="SYMC-VRTS Combined"/>
      <sheetName val="ATRS"/>
      <sheetName val="__FDSCACHE__"/>
      <sheetName val="LINKS"/>
    </sheetNames>
    <sheetDataSet>
      <sheetData sheetId="0" refreshError="1">
        <row r="9">
          <cell r="A9" t="str">
            <v>Total Revenue</v>
          </cell>
          <cell r="Z9">
            <v>1288.1489999999999</v>
          </cell>
          <cell r="AA9">
            <v>1273.3920000000001</v>
          </cell>
          <cell r="AB9">
            <v>1326.3410000000001</v>
          </cell>
          <cell r="AC9">
            <v>1364.7820000000002</v>
          </cell>
          <cell r="AD9">
            <v>1422.8440000000001</v>
          </cell>
          <cell r="AE9">
            <v>1437.3320000000001</v>
          </cell>
          <cell r="AF9">
            <v>1529.0260000000001</v>
          </cell>
          <cell r="AG9">
            <v>1547.9870000000001</v>
          </cell>
          <cell r="AH9">
            <v>1655.0930000000003</v>
          </cell>
          <cell r="AI9">
            <v>1522.979</v>
          </cell>
          <cell r="AJ9">
            <v>1538.6369999999999</v>
          </cell>
          <cell r="AK9">
            <v>1487.674</v>
          </cell>
          <cell r="AL9">
            <v>1444</v>
          </cell>
          <cell r="AM9">
            <v>1479</v>
          </cell>
          <cell r="AN9">
            <v>1551</v>
          </cell>
          <cell r="AO9">
            <v>1535</v>
          </cell>
          <cell r="AP9">
            <v>1433</v>
          </cell>
          <cell r="AQ9">
            <v>1480</v>
          </cell>
          <cell r="AR9">
            <v>1604</v>
          </cell>
          <cell r="AS9">
            <v>1673</v>
          </cell>
          <cell r="AT9">
            <v>1653</v>
          </cell>
          <cell r="AU9">
            <v>1681</v>
          </cell>
          <cell r="AV9">
            <v>1715</v>
          </cell>
          <cell r="AW9">
            <v>1681</v>
          </cell>
          <cell r="AX9">
            <v>1668</v>
          </cell>
          <cell r="AY9">
            <v>1699</v>
          </cell>
          <cell r="AZ9">
            <v>1791</v>
          </cell>
          <cell r="BA9">
            <v>1748</v>
          </cell>
          <cell r="BB9">
            <v>1709</v>
          </cell>
          <cell r="BC9">
            <v>1670</v>
          </cell>
          <cell r="BD9">
            <v>1750</v>
          </cell>
          <cell r="BE9">
            <v>1705</v>
          </cell>
          <cell r="BF9">
            <v>1720.0000000000005</v>
          </cell>
          <cell r="BG9">
            <v>1725.0000000000005</v>
          </cell>
          <cell r="BH9">
            <v>1790</v>
          </cell>
          <cell r="BI9">
            <v>1770</v>
          </cell>
          <cell r="BS9">
            <v>6190</v>
          </cell>
          <cell r="BT9">
            <v>6730</v>
          </cell>
          <cell r="BU9">
            <v>6906</v>
          </cell>
          <cell r="BV9">
            <v>6834</v>
          </cell>
          <cell r="BW9">
            <v>7005.0000000000009</v>
          </cell>
          <cell r="CG9">
            <v>6722</v>
          </cell>
          <cell r="CH9">
            <v>6839</v>
          </cell>
          <cell r="CI9">
            <v>6877</v>
          </cell>
          <cell r="CJ9">
            <v>6940.0000000000009</v>
          </cell>
        </row>
        <row r="11">
          <cell r="A11" t="str">
            <v>NEW (7/26/06) REV SPLIT</v>
          </cell>
        </row>
        <row r="33">
          <cell r="A33" t="str">
            <v>General and Administrative</v>
          </cell>
          <cell r="F33">
            <v>11.805</v>
          </cell>
          <cell r="G33">
            <v>11.009</v>
          </cell>
          <cell r="H33">
            <v>15.304</v>
          </cell>
          <cell r="I33">
            <v>18.817</v>
          </cell>
          <cell r="J33">
            <v>15.353999999999999</v>
          </cell>
          <cell r="K33">
            <v>17.254000000000001</v>
          </cell>
          <cell r="L33">
            <v>19.346</v>
          </cell>
          <cell r="M33">
            <v>22.488</v>
          </cell>
          <cell r="N33">
            <v>26.372</v>
          </cell>
          <cell r="O33">
            <v>21.173999999999999</v>
          </cell>
          <cell r="P33">
            <v>21.712</v>
          </cell>
          <cell r="Q33">
            <v>25.387</v>
          </cell>
          <cell r="R33">
            <v>24.285</v>
          </cell>
          <cell r="S33">
            <v>27.577999999999999</v>
          </cell>
          <cell r="T33">
            <v>29.91</v>
          </cell>
          <cell r="U33">
            <v>33.646000000000001</v>
          </cell>
          <cell r="V33">
            <v>88.234999999999999</v>
          </cell>
          <cell r="W33">
            <v>57.853999999999999</v>
          </cell>
          <cell r="X33">
            <v>60.981000000000002</v>
          </cell>
          <cell r="Y33">
            <v>66.415000000000006</v>
          </cell>
          <cell r="Z33">
            <v>73.593000000000004</v>
          </cell>
          <cell r="AA33">
            <v>73.293000000000006</v>
          </cell>
          <cell r="AB33">
            <v>72.843999999999994</v>
          </cell>
          <cell r="AC33">
            <v>72.036000000000001</v>
          </cell>
          <cell r="AD33">
            <v>76.905000000000001</v>
          </cell>
          <cell r="AE33">
            <v>78.02600000000001</v>
          </cell>
          <cell r="AF33">
            <v>75.272000000000006</v>
          </cell>
          <cell r="AG33">
            <v>84.370999999999995</v>
          </cell>
          <cell r="AH33">
            <v>84.183999999999997</v>
          </cell>
          <cell r="AI33">
            <v>77.97</v>
          </cell>
          <cell r="AJ33">
            <v>78.593000000000004</v>
          </cell>
          <cell r="AK33">
            <v>75.34</v>
          </cell>
          <cell r="AL33">
            <v>80</v>
          </cell>
          <cell r="AM33">
            <v>78</v>
          </cell>
          <cell r="AN33">
            <v>86</v>
          </cell>
          <cell r="AO33">
            <v>81</v>
          </cell>
          <cell r="AP33">
            <v>80</v>
          </cell>
          <cell r="AQ33">
            <v>85</v>
          </cell>
          <cell r="AR33">
            <v>92</v>
          </cell>
          <cell r="AS33">
            <v>93</v>
          </cell>
          <cell r="AT33">
            <v>97</v>
          </cell>
          <cell r="AU33">
            <v>98</v>
          </cell>
          <cell r="AV33">
            <v>101</v>
          </cell>
          <cell r="AW33">
            <v>98</v>
          </cell>
          <cell r="AX33">
            <v>100</v>
          </cell>
          <cell r="AY33">
            <v>95</v>
          </cell>
          <cell r="AZ33">
            <v>106</v>
          </cell>
          <cell r="BA33">
            <v>107</v>
          </cell>
          <cell r="BB33">
            <v>111</v>
          </cell>
          <cell r="BC33">
            <v>92.000000000000014</v>
          </cell>
          <cell r="BD33">
            <v>91.850828729281758</v>
          </cell>
          <cell r="BE33">
            <v>89.999999999999986</v>
          </cell>
          <cell r="BF33">
            <v>91.999999999999957</v>
          </cell>
          <cell r="BG33">
            <v>94</v>
          </cell>
          <cell r="BH33">
            <v>94.000000000000014</v>
          </cell>
          <cell r="BI33">
            <v>92</v>
          </cell>
          <cell r="BJ33">
            <v>56.935000000000002</v>
          </cell>
          <cell r="BK33">
            <v>74.442000000000007</v>
          </cell>
          <cell r="BL33">
            <v>94.644999999999996</v>
          </cell>
          <cell r="BM33">
            <v>115.419</v>
          </cell>
          <cell r="BN33">
            <v>273.48500000000001</v>
          </cell>
          <cell r="BO33">
            <v>291.76600000000002</v>
          </cell>
          <cell r="BP33">
            <v>314.57400000000001</v>
          </cell>
          <cell r="BQ33">
            <v>316.08699999999999</v>
          </cell>
          <cell r="BR33">
            <v>325</v>
          </cell>
          <cell r="BS33">
            <v>350</v>
          </cell>
          <cell r="BT33">
            <v>394</v>
          </cell>
          <cell r="BU33">
            <v>408</v>
          </cell>
          <cell r="BV33">
            <v>384.85082872928177</v>
          </cell>
          <cell r="BW33">
            <v>371.99999999999994</v>
          </cell>
          <cell r="BX33">
            <v>70.771000000000001</v>
          </cell>
          <cell r="BY33">
            <v>91.745999999999995</v>
          </cell>
          <cell r="BZ33">
            <v>107.16</v>
          </cell>
          <cell r="CA33">
            <v>240.71600000000001</v>
          </cell>
          <cell r="CB33">
            <v>286.14499999999998</v>
          </cell>
          <cell r="CC33">
            <v>302.23900000000003</v>
          </cell>
          <cell r="CD33">
            <v>325.11799999999999</v>
          </cell>
          <cell r="CE33">
            <v>319.34000000000003</v>
          </cell>
          <cell r="CF33">
            <v>338</v>
          </cell>
          <cell r="CG33">
            <v>389</v>
          </cell>
          <cell r="CH33">
            <v>399</v>
          </cell>
          <cell r="CI33">
            <v>401.85082872928177</v>
          </cell>
          <cell r="CJ33">
            <v>369.99999999999994</v>
          </cell>
        </row>
        <row r="262">
          <cell r="A262" t="str">
            <v>Services</v>
          </cell>
          <cell r="R262">
            <v>30.041</v>
          </cell>
          <cell r="S262">
            <v>31.088999999999999</v>
          </cell>
          <cell r="T262">
            <v>32.698</v>
          </cell>
          <cell r="U262">
            <v>41.281999999999996</v>
          </cell>
          <cell r="V262">
            <v>50.509</v>
          </cell>
          <cell r="W262">
            <v>59.320999999999998</v>
          </cell>
          <cell r="X262">
            <v>60.84</v>
          </cell>
          <cell r="Y262">
            <v>66.918000000000006</v>
          </cell>
          <cell r="Z262">
            <v>72.116</v>
          </cell>
          <cell r="AA262">
            <v>66.355999999999995</v>
          </cell>
          <cell r="AB262">
            <v>68.516999999999996</v>
          </cell>
          <cell r="AC262">
            <v>86.438999999999993</v>
          </cell>
          <cell r="AD262">
            <v>87</v>
          </cell>
          <cell r="AE262">
            <v>92</v>
          </cell>
          <cell r="AF262">
            <v>105</v>
          </cell>
          <cell r="AG262">
            <v>106</v>
          </cell>
          <cell r="AH262">
            <v>120</v>
          </cell>
          <cell r="AI262">
            <v>104</v>
          </cell>
          <cell r="AJ262">
            <v>107</v>
          </cell>
          <cell r="AK262">
            <v>102</v>
          </cell>
          <cell r="AL262">
            <v>96</v>
          </cell>
          <cell r="AM262">
            <v>103</v>
          </cell>
          <cell r="AN262">
            <v>107</v>
          </cell>
          <cell r="AO262">
            <v>110</v>
          </cell>
          <cell r="AP262">
            <v>79</v>
          </cell>
          <cell r="AQ262">
            <v>74</v>
          </cell>
          <cell r="AR262">
            <v>71</v>
          </cell>
          <cell r="AS262">
            <v>68</v>
          </cell>
          <cell r="AT262">
            <v>63</v>
          </cell>
          <cell r="AU262">
            <v>62</v>
          </cell>
          <cell r="AV262">
            <v>62</v>
          </cell>
          <cell r="AW262">
            <v>64</v>
          </cell>
          <cell r="AX262">
            <v>62</v>
          </cell>
          <cell r="AY262">
            <v>64</v>
          </cell>
          <cell r="AZ262">
            <v>68</v>
          </cell>
          <cell r="BA262">
            <v>71</v>
          </cell>
          <cell r="BB262">
            <v>60</v>
          </cell>
          <cell r="BC262">
            <v>64.999999999999986</v>
          </cell>
          <cell r="BD262">
            <v>70.000000000000014</v>
          </cell>
          <cell r="BE262">
            <v>75.000000000000014</v>
          </cell>
          <cell r="BF262">
            <v>60.6</v>
          </cell>
          <cell r="BG262">
            <v>67.599999999999994</v>
          </cell>
          <cell r="BH262">
            <v>70.700000000000017</v>
          </cell>
          <cell r="BI262">
            <v>75.750000000000014</v>
          </cell>
        </row>
        <row r="268">
          <cell r="A268" t="str">
            <v>Content, Subscriptions, and Maintenance</v>
          </cell>
          <cell r="S268">
            <v>445.53100000000001</v>
          </cell>
          <cell r="W268">
            <v>709.00599999999997</v>
          </cell>
        </row>
        <row r="270">
          <cell r="A270" t="str">
            <v>Total Content, Subscriptions, and Maintenance</v>
          </cell>
          <cell r="S270">
            <v>445.53100000000001</v>
          </cell>
          <cell r="W270">
            <v>845.28599999999994</v>
          </cell>
        </row>
        <row r="386">
          <cell r="A386" t="str">
            <v>Enterprise Revenue</v>
          </cell>
          <cell r="F386">
            <v>1</v>
          </cell>
          <cell r="G386">
            <v>1</v>
          </cell>
          <cell r="H386">
            <v>1</v>
          </cell>
          <cell r="I386">
            <v>1</v>
          </cell>
          <cell r="J386">
            <v>1</v>
          </cell>
          <cell r="K386">
            <v>1</v>
          </cell>
          <cell r="L386">
            <v>1</v>
          </cell>
          <cell r="M386">
            <v>1</v>
          </cell>
          <cell r="N386">
            <v>1</v>
          </cell>
          <cell r="O386">
            <v>1</v>
          </cell>
          <cell r="P386">
            <v>1</v>
          </cell>
          <cell r="Q386">
            <v>1</v>
          </cell>
          <cell r="R386">
            <v>1</v>
          </cell>
          <cell r="S386">
            <v>1</v>
          </cell>
          <cell r="T386">
            <v>1</v>
          </cell>
          <cell r="U386">
            <v>1</v>
          </cell>
          <cell r="V386">
            <v>1</v>
          </cell>
          <cell r="W386">
            <v>1</v>
          </cell>
          <cell r="X386">
            <v>1</v>
          </cell>
          <cell r="Y386">
            <v>1</v>
          </cell>
          <cell r="Z386">
            <v>1</v>
          </cell>
          <cell r="AA386">
            <v>1</v>
          </cell>
          <cell r="AB386">
            <v>1</v>
          </cell>
          <cell r="AC386">
            <v>1</v>
          </cell>
          <cell r="AD386">
            <v>1</v>
          </cell>
          <cell r="AE386">
            <v>1</v>
          </cell>
          <cell r="AF386">
            <v>1</v>
          </cell>
          <cell r="AG386">
            <v>1</v>
          </cell>
          <cell r="AH386">
            <v>1</v>
          </cell>
          <cell r="AI386">
            <v>1</v>
          </cell>
          <cell r="AJ386">
            <v>1</v>
          </cell>
          <cell r="AK386">
            <v>1</v>
          </cell>
          <cell r="AL386">
            <v>1</v>
          </cell>
          <cell r="AM386">
            <v>1</v>
          </cell>
          <cell r="AN386">
            <v>1</v>
          </cell>
          <cell r="AO386">
            <v>1</v>
          </cell>
          <cell r="AP386">
            <v>1</v>
          </cell>
          <cell r="AQ386">
            <v>1</v>
          </cell>
          <cell r="AR386">
            <v>1</v>
          </cell>
          <cell r="AS386">
            <v>1</v>
          </cell>
          <cell r="AT386">
            <v>1</v>
          </cell>
          <cell r="AU386">
            <v>1</v>
          </cell>
          <cell r="AV386">
            <v>1</v>
          </cell>
          <cell r="AW386">
            <v>1</v>
          </cell>
          <cell r="AX386">
            <v>1</v>
          </cell>
          <cell r="AY386">
            <v>1</v>
          </cell>
          <cell r="AZ386">
            <v>1</v>
          </cell>
          <cell r="BA386">
            <v>1</v>
          </cell>
          <cell r="BB386">
            <v>1</v>
          </cell>
          <cell r="BC386">
            <v>1</v>
          </cell>
          <cell r="BD386">
            <v>1</v>
          </cell>
          <cell r="BE386">
            <v>1</v>
          </cell>
          <cell r="BF386">
            <v>1</v>
          </cell>
          <cell r="BG386">
            <v>1</v>
          </cell>
          <cell r="BH386">
            <v>1</v>
          </cell>
          <cell r="BI386">
            <v>1</v>
          </cell>
          <cell r="BJ386">
            <v>1</v>
          </cell>
          <cell r="BK386">
            <v>1</v>
          </cell>
          <cell r="BL386">
            <v>1</v>
          </cell>
          <cell r="BM386">
            <v>1</v>
          </cell>
          <cell r="BN386">
            <v>1</v>
          </cell>
          <cell r="BO386">
            <v>1</v>
          </cell>
          <cell r="BP386">
            <v>1</v>
          </cell>
          <cell r="BQ386">
            <v>1</v>
          </cell>
          <cell r="BR386">
            <v>1</v>
          </cell>
          <cell r="BS386">
            <v>1</v>
          </cell>
          <cell r="BT386">
            <v>1</v>
          </cell>
          <cell r="BU386">
            <v>1</v>
          </cell>
          <cell r="BV386">
            <v>1</v>
          </cell>
          <cell r="BW386">
            <v>1</v>
          </cell>
          <cell r="BX386">
            <v>1</v>
          </cell>
          <cell r="BY386">
            <v>1</v>
          </cell>
          <cell r="BZ386">
            <v>1</v>
          </cell>
          <cell r="CA386">
            <v>1</v>
          </cell>
          <cell r="CB386">
            <v>1</v>
          </cell>
          <cell r="CC386">
            <v>1</v>
          </cell>
          <cell r="CD386">
            <v>1</v>
          </cell>
          <cell r="CE386">
            <v>1</v>
          </cell>
          <cell r="CF386">
            <v>1</v>
          </cell>
          <cell r="CG386">
            <v>1</v>
          </cell>
          <cell r="CH386">
            <v>1</v>
          </cell>
          <cell r="CI386">
            <v>1</v>
          </cell>
          <cell r="CJ386">
            <v>1</v>
          </cell>
        </row>
        <row r="483">
          <cell r="A483" t="str">
            <v>--Total number of MSS customers</v>
          </cell>
        </row>
        <row r="485">
          <cell r="A485" t="str">
            <v>--Number of devices managed</v>
          </cell>
        </row>
        <row r="490">
          <cell r="A490" t="str">
            <v>Norton Firewall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pg1"/>
      <sheetName val="Quarterly"/>
      <sheetName val="NAV-Prod Tables"/>
      <sheetName val="Rand"/>
      <sheetName val="MarigoldMillenium"/>
      <sheetName val="San Martin"/>
      <sheetName val="ElSauzal"/>
      <sheetName val="Cerro San Pedro"/>
      <sheetName val="Dee"/>
      <sheetName val="Daisy"/>
      <sheetName val="Picacho"/>
      <sheetName val="Imperial"/>
      <sheetName val="Template"/>
      <sheetName val="Tables"/>
      <sheetName val="Tables2"/>
      <sheetName val="Pub Fin"/>
      <sheetName val="DS_Key_Information"/>
      <sheetName val="DS_Cash_Flow"/>
      <sheetName val="DS_Income_Statement"/>
      <sheetName val="DS_Valuation_Measures"/>
      <sheetName val="DS_Quarterly_Estimates_Data"/>
      <sheetName val="DS_Balance_Sheet"/>
      <sheetName val="DS_Industry_Specif"/>
      <sheetName val="RBCGold"/>
      <sheetName val="Sheet1"/>
      <sheetName val="NAV table"/>
      <sheetName val="Prod CF contribution chart"/>
      <sheetName val="production data for 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BCGold"/>
      <sheetName val="Model"/>
      <sheetName val="Pubfin"/>
      <sheetName val="Template"/>
      <sheetName val="NAV Summary"/>
      <sheetName val="Betze-Post"/>
      <sheetName val="Meikle-Rodeo"/>
      <sheetName val="Pascua"/>
      <sheetName val="Bulyanhulu"/>
      <sheetName val="Pierina"/>
      <sheetName val="Bousquet"/>
      <sheetName val="El Indio-Tambo"/>
      <sheetName val="Holt"/>
      <sheetName val="Doyon"/>
      <sheetName val="Bullfrog"/>
      <sheetName val="Pinson"/>
      <sheetName val="Mercur"/>
      <sheetName val="Hedge"/>
      <sheetName val="PubTables"/>
      <sheetName val="PubCashCosts"/>
      <sheetName val="CF Growth"/>
      <sheetName val="DS_Key_Information"/>
      <sheetName val="DS_Valuation_Measures"/>
      <sheetName val="DS_Quarterly_Estimates_Data"/>
      <sheetName val="DS_Income_Statement"/>
      <sheetName val="DS_Cash_Flow"/>
      <sheetName val="DS_Balance_Sheet"/>
      <sheetName val="DS_Industry_Spec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Early Yr Cash"/>
      <sheetName val="Summary Fins"/>
      <sheetName val="1pg"/>
      <sheetName val="Production"/>
      <sheetName val="Stratoni"/>
      <sheetName val="Olympias"/>
      <sheetName val="Certej"/>
      <sheetName val="Skouries"/>
      <sheetName val="Financing"/>
      <sheetName val="Sensitivities"/>
      <sheetName val="Reserves"/>
      <sheetName val="Timeline"/>
      <sheetName val="NAV"/>
      <sheetName val="RBCCM_Key_Information"/>
      <sheetName val="RBCCM_Valuation_Measures"/>
      <sheetName val="RBCCM_Quarterly_Estimates_Data"/>
      <sheetName val="RBCCM_Income_Statement"/>
      <sheetName val="RBCCM_Cash_Flow"/>
      <sheetName val="RBCCM_Balance_Sheet"/>
      <sheetName val="RBCCM_Industry_Specif"/>
      <sheetName val="TEMPLATE"/>
    </sheetNames>
    <sheetDataSet>
      <sheetData sheetId="0"/>
      <sheetData sheetId="1" refreshError="1"/>
      <sheetData sheetId="2"/>
      <sheetData sheetId="3" refreshError="1"/>
      <sheetData sheetId="4"/>
      <sheetData sheetId="5"/>
      <sheetData sheetId="6"/>
      <sheetData sheetId="7" refreshError="1"/>
      <sheetData sheetId="8"/>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Model"/>
      <sheetName val="PubFin"/>
      <sheetName val="Charts"/>
      <sheetName val="Valuation-NAV"/>
      <sheetName val="LaRonde"/>
      <sheetName val="Vezza"/>
      <sheetName val="Goldex"/>
      <sheetName val="DS_Key_Information"/>
      <sheetName val="DS_Quarterly_Estimates_Data"/>
      <sheetName val="DS_Valuation_Measures"/>
      <sheetName val="DS_Income_Statement"/>
      <sheetName val="DS_Cash_Flow"/>
      <sheetName val="DS_Balance_Sheet"/>
      <sheetName val="DS_Industry_Specif"/>
      <sheetName val="RB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MULTIPLES"/>
      <sheetName val="SENSITIVITY"/>
      <sheetName val="Sheet1"/>
      <sheetName val="CHARTS"/>
      <sheetName val="ESTIMATES_GUIDANCE"/>
      <sheetName val="LINKS"/>
      <sheetName val="Q&amp;A"/>
      <sheetName val="DCF"/>
      <sheetName val="STEL"/>
      <sheetName val="RBC STEL Model"/>
      <sheetName val="NA Tech Conference"/>
      <sheetName val="SENSITIVITY ANALYSIS"/>
      <sheetName val="Company at a Glance"/>
      <sheetName val="DCF (2)"/>
      <sheetName val="First Call Consensus Summary"/>
      <sheetName val="Short Interest"/>
      <sheetName val="P&amp;L"/>
      <sheetName val="Balance"/>
      <sheetName val="Metrics"/>
      <sheetName val="CF (By Qtr YTD)"/>
      <sheetName val="CF (Qtr)"/>
      <sheetName val="Estimates"/>
      <sheetName val="Comp Sheet"/>
      <sheetName val="Comp 2"/>
      <sheetName val="Comp 4"/>
      <sheetName val="Comp 5"/>
      <sheetName val="FX summary"/>
      <sheetName val="Qtr Preview"/>
      <sheetName val="FX"/>
      <sheetName val="Security Group Picture"/>
      <sheetName val="Infrastructure Group Picture"/>
      <sheetName val="Content Group Picture"/>
      <sheetName val="P-S-Gwth"/>
      <sheetName val="ECM Market"/>
      <sheetName val="Pricing-Broadband-ISPs"/>
      <sheetName val="AV Market"/>
      <sheetName val="URL Filterin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Upside_Downside"/>
      <sheetName val="QUICK SUMMARY"/>
      <sheetName val="guidance"/>
      <sheetName val="Job Postings"/>
      <sheetName val="LINKS&amp;INPUTS"/>
      <sheetName val="BMTemplate"/>
      <sheetName val="SENSITIVITY"/>
      <sheetName val="WACC"/>
      <sheetName val="DCF"/>
      <sheetName val="RBC BCOV Model"/>
    </sheetNames>
    <sheetDataSet>
      <sheetData sheetId="0"/>
      <sheetData sheetId="1">
        <row r="450">
          <cell r="A450" t="str">
            <v>Difference ($)</v>
          </cell>
          <cell r="AD450" t="e">
            <v>#DIV/0!</v>
          </cell>
          <cell r="AE450">
            <v>0</v>
          </cell>
          <cell r="AF450">
            <v>0</v>
          </cell>
          <cell r="AG450">
            <v>0</v>
          </cell>
          <cell r="AH450">
            <v>-0.2175336886457</v>
          </cell>
          <cell r="AI450">
            <v>-5.1565102645058758E-2</v>
          </cell>
          <cell r="AJ450">
            <v>3.2453495700167423E-2</v>
          </cell>
          <cell r="AK450">
            <v>0.14554136948292395</v>
          </cell>
          <cell r="AL450">
            <v>0.11037952057031042</v>
          </cell>
          <cell r="AM450">
            <v>-0.10579367978881749</v>
          </cell>
          <cell r="AN450">
            <v>-0.24983257714486307</v>
          </cell>
          <cell r="AO450">
            <v>-2.0892458458828145E-2</v>
          </cell>
          <cell r="AP450">
            <v>1.1728282734250328</v>
          </cell>
          <cell r="AQ450">
            <v>1.2181900960431786</v>
          </cell>
          <cell r="AR450">
            <v>1.4943191584593194</v>
          </cell>
          <cell r="AS450">
            <v>5.4445847359023247E-2</v>
          </cell>
          <cell r="AT450">
            <v>1.2325772833383795</v>
          </cell>
          <cell r="AU450">
            <v>1.3746244655259048</v>
          </cell>
          <cell r="AV450">
            <v>1.6452179336320896</v>
          </cell>
          <cell r="AW450">
            <v>-0.17024485148929358</v>
          </cell>
          <cell r="AX450">
            <v>2.5403097357205411</v>
          </cell>
          <cell r="AY450">
            <v>-7.0637283174303178E-2</v>
          </cell>
          <cell r="AZ450">
            <v>-7.1477780924002587E-2</v>
          </cell>
          <cell r="BA450">
            <v>-0.14001477777007665</v>
          </cell>
          <cell r="BB450">
            <v>-8.5248677801015305E-2</v>
          </cell>
          <cell r="BC450">
            <v>-0.1375494893284035</v>
          </cell>
          <cell r="BD450">
            <v>-5.1040055001667639E-2</v>
          </cell>
          <cell r="BE450">
            <v>0</v>
          </cell>
          <cell r="BF450">
            <v>0</v>
          </cell>
          <cell r="BG450">
            <v>-0.61392066437678494</v>
          </cell>
          <cell r="BH450">
            <v>1.8266795109347811E-2</v>
          </cell>
          <cell r="BI450">
            <v>0</v>
          </cell>
          <cell r="BJ450">
            <v>0</v>
          </cell>
          <cell r="BK450">
            <v>-5.2577985292694152</v>
          </cell>
          <cell r="BL450">
            <v>2.1109208112082811</v>
          </cell>
          <cell r="BM450">
            <v>1.5069001017195376</v>
          </cell>
          <cell r="BN450">
            <v>0.10415341527285449</v>
          </cell>
          <cell r="BO450">
            <v>-0.61036385336586818</v>
          </cell>
          <cell r="BP450">
            <v>0.87332225857937118</v>
          </cell>
          <cell r="BQ450">
            <v>-6.0378245423818839</v>
          </cell>
        </row>
        <row r="467">
          <cell r="A467" t="str">
            <v>Cash and Cash Equivalents</v>
          </cell>
          <cell r="AK467">
            <v>22.553999999999998</v>
          </cell>
          <cell r="AO467">
            <v>20.341000000000001</v>
          </cell>
          <cell r="AP467">
            <v>15.974</v>
          </cell>
          <cell r="AQ467">
            <v>24.565000000000001</v>
          </cell>
          <cell r="AR467">
            <v>19.358000000000001</v>
          </cell>
          <cell r="AS467">
            <v>17.227</v>
          </cell>
          <cell r="AT467">
            <v>60.646999999999998</v>
          </cell>
          <cell r="AU467">
            <v>44.606999999999999</v>
          </cell>
          <cell r="AV467">
            <v>16.940000000000001</v>
          </cell>
          <cell r="AW467">
            <v>21.707999999999998</v>
          </cell>
          <cell r="AX467">
            <v>20.093</v>
          </cell>
          <cell r="AY467">
            <v>17.671045314894911</v>
          </cell>
          <cell r="AZ467">
            <v>18.560976029939866</v>
          </cell>
          <cell r="BA467">
            <v>22.366379005830222</v>
          </cell>
          <cell r="BB467">
            <v>21.003761655051537</v>
          </cell>
          <cell r="BC467">
            <v>22.347428994359635</v>
          </cell>
          <cell r="BD467">
            <v>23.727309513765583</v>
          </cell>
          <cell r="BE467">
            <v>30.171519384693962</v>
          </cell>
          <cell r="BF467">
            <v>32.66669241064055</v>
          </cell>
          <cell r="BG467">
            <v>41.07825281062965</v>
          </cell>
          <cell r="BH467">
            <v>43.915372980323752</v>
          </cell>
          <cell r="BI467">
            <v>51.563474652004075</v>
          </cell>
          <cell r="BJ467">
            <v>60.180311603374093</v>
          </cell>
          <cell r="BK467">
            <v>70.414421601269154</v>
          </cell>
          <cell r="BL467">
            <v>79.393237083734405</v>
          </cell>
          <cell r="BM467">
            <v>93.40308717131451</v>
          </cell>
          <cell r="BN467">
            <v>106.41373427778886</v>
          </cell>
          <cell r="BO467">
            <v>126.47396569398248</v>
          </cell>
          <cell r="BP467">
            <v>140.58790946820096</v>
          </cell>
          <cell r="BQ467">
            <v>161.48154590046602</v>
          </cell>
          <cell r="BZ467">
            <v>22.553999999999998</v>
          </cell>
          <cell r="CA467">
            <v>20.341000000000001</v>
          </cell>
          <cell r="CB467">
            <v>17.227</v>
          </cell>
          <cell r="CC467">
            <v>21.707999999999998</v>
          </cell>
          <cell r="CD467">
            <v>22.366379005830222</v>
          </cell>
          <cell r="CE467">
            <v>30.171519384693962</v>
          </cell>
          <cell r="CF467">
            <v>51.563474652004075</v>
          </cell>
          <cell r="CG467">
            <v>93.40308717131451</v>
          </cell>
          <cell r="CH467">
            <v>161.48154590046602</v>
          </cell>
        </row>
        <row r="468">
          <cell r="A468" t="str">
            <v>Short-Term Investments</v>
          </cell>
          <cell r="AK468">
            <v>0.621</v>
          </cell>
          <cell r="AO468">
            <v>0.55400000000000005</v>
          </cell>
          <cell r="AQ468">
            <v>0.27600000000000002</v>
          </cell>
          <cell r="AR468">
            <v>0.23300000000000001</v>
          </cell>
          <cell r="AS468">
            <v>0.23300000000000001</v>
          </cell>
          <cell r="AT468">
            <v>0.23300000000000001</v>
          </cell>
          <cell r="AU468">
            <v>8.9870000000000001</v>
          </cell>
          <cell r="AV468">
            <v>9.7780000000000005</v>
          </cell>
          <cell r="AW468">
            <v>8.3659999999999997</v>
          </cell>
          <cell r="AX468">
            <v>6.88</v>
          </cell>
          <cell r="AY468">
            <v>6.88</v>
          </cell>
          <cell r="AZ468">
            <v>6.88</v>
          </cell>
          <cell r="BA468">
            <v>6.88</v>
          </cell>
          <cell r="BB468">
            <v>0.23300000000000001</v>
          </cell>
          <cell r="BC468">
            <v>0.23300000000000001</v>
          </cell>
          <cell r="BD468">
            <v>0.23300000000000001</v>
          </cell>
          <cell r="BE468">
            <v>0.23300000000000001</v>
          </cell>
          <cell r="BF468">
            <v>0.23300000000000001</v>
          </cell>
          <cell r="BG468">
            <v>0.23300000000000001</v>
          </cell>
          <cell r="BH468">
            <v>0.23300000000000001</v>
          </cell>
          <cell r="BI468">
            <v>0.23300000000000001</v>
          </cell>
          <cell r="BJ468">
            <v>0.23300000000000001</v>
          </cell>
          <cell r="BK468">
            <v>0.23300000000000001</v>
          </cell>
          <cell r="BL468">
            <v>0.23300000000000001</v>
          </cell>
          <cell r="BM468">
            <v>0.23300000000000001</v>
          </cell>
          <cell r="BN468">
            <v>0.23300000000000001</v>
          </cell>
          <cell r="BO468">
            <v>0.23300000000000001</v>
          </cell>
          <cell r="BP468">
            <v>0.23300000000000001</v>
          </cell>
          <cell r="BQ468">
            <v>0.23300000000000001</v>
          </cell>
          <cell r="BZ468">
            <v>0.621</v>
          </cell>
          <cell r="CA468">
            <v>0.55400000000000005</v>
          </cell>
          <cell r="CB468">
            <v>0.23300000000000001</v>
          </cell>
          <cell r="CC468">
            <v>0.23300000000000001</v>
          </cell>
          <cell r="CD468">
            <v>0.23300000000000001</v>
          </cell>
          <cell r="CE468">
            <v>0.23300000000000001</v>
          </cell>
          <cell r="CF468">
            <v>0.23300000000000001</v>
          </cell>
          <cell r="CG468">
            <v>0.23300000000000001</v>
          </cell>
          <cell r="CH468">
            <v>0.23300000000000001</v>
          </cell>
        </row>
        <row r="482">
          <cell r="A482" t="str">
            <v>Accounts Payable</v>
          </cell>
          <cell r="AK482">
            <v>1.0529999999999999</v>
          </cell>
          <cell r="AO482">
            <v>1.0609999999999999</v>
          </cell>
          <cell r="AQ482">
            <v>2.8210000000000002</v>
          </cell>
          <cell r="AR482">
            <v>1.944</v>
          </cell>
          <cell r="AS482">
            <v>2.0259999999999998</v>
          </cell>
          <cell r="AT482">
            <v>1.226</v>
          </cell>
          <cell r="AU482">
            <v>1.411</v>
          </cell>
          <cell r="AV482">
            <v>0.88200000000000001</v>
          </cell>
          <cell r="AW482">
            <v>0.61899999999999999</v>
          </cell>
          <cell r="AX482">
            <v>1.9179999999999999</v>
          </cell>
          <cell r="AY482">
            <v>2.0095831882616246</v>
          </cell>
          <cell r="AZ482">
            <v>1.9580676448644616</v>
          </cell>
          <cell r="BA482">
            <v>2.1703307634916684</v>
          </cell>
          <cell r="BB482">
            <v>2.1321711017159908</v>
          </cell>
          <cell r="BC482">
            <v>2.1989505098234292</v>
          </cell>
          <cell r="BD482">
            <v>2.2657299179308632</v>
          </cell>
          <cell r="BE482">
            <v>2.2502275553344937</v>
          </cell>
          <cell r="BF482">
            <v>2.427084603625576</v>
          </cell>
          <cell r="BG482">
            <v>2.6559581930801013</v>
          </cell>
          <cell r="BH482">
            <v>2.134621628816995</v>
          </cell>
          <cell r="BI482">
            <v>1.8519412600724792</v>
          </cell>
          <cell r="BJ482">
            <v>2.85935219188692</v>
          </cell>
          <cell r="BK482">
            <v>3.1287408558329197</v>
          </cell>
          <cell r="BL482">
            <v>2.5144140319695025</v>
          </cell>
          <cell r="BM482">
            <v>2.1824179634012641</v>
          </cell>
          <cell r="BN482">
            <v>3.2882550206699581</v>
          </cell>
          <cell r="BO482">
            <v>3.5980519842078573</v>
          </cell>
          <cell r="BP482">
            <v>2.891576136764928</v>
          </cell>
          <cell r="BQ482">
            <v>2.5097806579114539</v>
          </cell>
          <cell r="BZ482">
            <v>1.0529999999999999</v>
          </cell>
          <cell r="CA482">
            <v>1.0609999999999999</v>
          </cell>
          <cell r="CB482">
            <v>2.0259999999999998</v>
          </cell>
          <cell r="CC482">
            <v>0.61899999999999999</v>
          </cell>
          <cell r="CD482">
            <v>2.1703307634916684</v>
          </cell>
          <cell r="CE482">
            <v>2.2502275553344937</v>
          </cell>
          <cell r="CF482">
            <v>1.8519412600724792</v>
          </cell>
          <cell r="CG482">
            <v>2.1824179634012641</v>
          </cell>
          <cell r="CH482">
            <v>2.5097806579114539</v>
          </cell>
        </row>
        <row r="566">
          <cell r="A566" t="str">
            <v>OTHER PRICE INFORMATION</v>
          </cell>
        </row>
        <row r="573">
          <cell r="A573" t="str">
            <v>Current Stock Price</v>
          </cell>
        </row>
        <row r="574">
          <cell r="A574" t="str">
            <v>Total Shares Outstanding</v>
          </cell>
        </row>
        <row r="575">
          <cell r="A575" t="str">
            <v>Current Market Capitalization</v>
          </cell>
          <cell r="AT575" t="str">
            <v>R</v>
          </cell>
        </row>
        <row r="576">
          <cell r="A576" t="str">
            <v>Cash Flows from Operations</v>
          </cell>
        </row>
        <row r="577">
          <cell r="A577" t="str">
            <v>Period Ending Stock Price</v>
          </cell>
          <cell r="AG577">
            <v>-10.234999999999999</v>
          </cell>
          <cell r="AK577">
            <v>-2.823</v>
          </cell>
          <cell r="AL577">
            <v>-4.2789999999999999</v>
          </cell>
          <cell r="AM577">
            <v>-4.2789999999999999</v>
          </cell>
          <cell r="AN577">
            <v>-4.5850000000000009</v>
          </cell>
          <cell r="AO577">
            <v>-4.6379999999999981</v>
          </cell>
          <cell r="AP577">
            <v>-4.3460000000000001</v>
          </cell>
          <cell r="AQ577">
            <v>-5.3819999999999997</v>
          </cell>
          <cell r="AR577">
            <v>-3.891</v>
          </cell>
          <cell r="AS577">
            <v>-3.6550000000000011</v>
          </cell>
          <cell r="AT577">
            <v>-3.5350000000000001</v>
          </cell>
          <cell r="AU577">
            <v>-4.1870000000000003</v>
          </cell>
          <cell r="AV577">
            <v>-4.5351155266309213</v>
          </cell>
          <cell r="AW577">
            <v>-4.0218189125757835</v>
          </cell>
          <cell r="AX577">
            <v>-4.0437070321636188</v>
          </cell>
          <cell r="AY577">
            <v>-3.5657826328905671</v>
          </cell>
          <cell r="AZ577">
            <v>-2.5607506356589185</v>
          </cell>
          <cell r="BA577">
            <v>-2.0199209809046268</v>
          </cell>
          <cell r="BB577">
            <v>-2.7187606760739231</v>
          </cell>
          <cell r="BC577">
            <v>-2.7106196940070131</v>
          </cell>
          <cell r="BD577">
            <v>-2.9677209247268519</v>
          </cell>
          <cell r="BE577">
            <v>-3.1777445447432582</v>
          </cell>
          <cell r="BF577">
            <v>-1.8505951434620775</v>
          </cell>
          <cell r="BG577">
            <v>-1.9653176128511021</v>
          </cell>
          <cell r="BH577">
            <v>-2.1976589237708617</v>
          </cell>
          <cell r="BI577">
            <v>-2.3464304566466909</v>
          </cell>
          <cell r="BJ577">
            <v>-0.1417969291428558</v>
          </cell>
          <cell r="BK577">
            <v>-0.13273640467626002</v>
          </cell>
          <cell r="BL577">
            <v>-0.30723554578640533</v>
          </cell>
          <cell r="BM577">
            <v>-0.3503950305052177</v>
          </cell>
          <cell r="BN577">
            <v>1.5410711122000031</v>
          </cell>
          <cell r="BO577">
            <v>1.717599974260299</v>
          </cell>
          <cell r="BP577">
            <v>1.6527000033710642</v>
          </cell>
          <cell r="BQ577">
            <v>1.7710804917286529</v>
          </cell>
          <cell r="BY577">
            <v>-10.234999999999999</v>
          </cell>
          <cell r="BZ577">
            <v>-2.823</v>
          </cell>
          <cell r="CA577">
            <v>-17.780999999999999</v>
          </cell>
          <cell r="CB577">
            <v>-17.274000000000001</v>
          </cell>
          <cell r="CC577">
            <v>-16.278934439206708</v>
          </cell>
          <cell r="CD577">
            <v>-12.19016128161773</v>
          </cell>
          <cell r="CE577">
            <v>-11.574845839551045</v>
          </cell>
          <cell r="CF577">
            <v>-8.3600021367307313</v>
          </cell>
          <cell r="CG577">
            <v>-0.93216391011073885</v>
          </cell>
          <cell r="CH577">
            <v>6.6824515815600192</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Sheet1"/>
      <sheetName val="Profile"/>
      <sheetName val="Assumptions"/>
      <sheetName val="Income Stmt"/>
      <sheetName val="CF Stmt"/>
      <sheetName val="Debt Schedule"/>
      <sheetName val="CapEx"/>
      <sheetName val="Depreciation"/>
      <sheetName val="Gold production"/>
      <sheetName val="Cu Production"/>
      <sheetName val="Gold Hedging"/>
      <sheetName val="PDG"/>
      <sheetName val="10yrs"/>
      <sheetName val="Junk calcs"/>
    </sheetNames>
    <sheetDataSet>
      <sheetData sheetId="0"/>
      <sheetData sheetId="1"/>
      <sheetData sheetId="2"/>
      <sheetData sheetId="3"/>
      <sheetData sheetId="4" refreshError="1">
        <row r="15">
          <cell r="GY15">
            <v>1275.2671837219214</v>
          </cell>
          <cell r="GZ15">
            <v>1208.1755084421457</v>
          </cell>
        </row>
        <row r="17">
          <cell r="GY17">
            <v>630.57121468046194</v>
          </cell>
          <cell r="GZ17">
            <v>594.20390023806431</v>
          </cell>
        </row>
        <row r="18">
          <cell r="GY18">
            <v>253.27395606188642</v>
          </cell>
          <cell r="GZ18">
            <v>220.9706828807744</v>
          </cell>
        </row>
        <row r="19">
          <cell r="GY19">
            <v>78</v>
          </cell>
          <cell r="GZ19">
            <v>80</v>
          </cell>
        </row>
        <row r="20">
          <cell r="GY20">
            <v>42.580452060850654</v>
          </cell>
          <cell r="GZ20">
            <v>39.878623756195942</v>
          </cell>
        </row>
        <row r="21">
          <cell r="GY21">
            <v>-5</v>
          </cell>
          <cell r="GZ21">
            <v>0</v>
          </cell>
        </row>
        <row r="24">
          <cell r="GY24">
            <v>54.511058430206212</v>
          </cell>
          <cell r="GZ24">
            <v>50.014744573608283</v>
          </cell>
        </row>
        <row r="27">
          <cell r="GW27">
            <v>62</v>
          </cell>
          <cell r="GY27">
            <v>87.115336169602585</v>
          </cell>
          <cell r="GZ27">
            <v>104.86055178694639</v>
          </cell>
        </row>
        <row r="30">
          <cell r="GY30">
            <v>-4.0204018962917303</v>
          </cell>
          <cell r="GZ30">
            <v>-0.65762762226360494</v>
          </cell>
        </row>
        <row r="34">
          <cell r="GW34">
            <v>0</v>
          </cell>
          <cell r="GY34">
            <v>0</v>
          </cell>
          <cell r="GZ34">
            <v>0</v>
          </cell>
        </row>
        <row r="37">
          <cell r="GW37">
            <v>0</v>
          </cell>
          <cell r="GY37">
            <v>0</v>
          </cell>
          <cell r="GZ37">
            <v>0</v>
          </cell>
        </row>
        <row r="44">
          <cell r="GY44">
            <v>0.31194983034988349</v>
          </cell>
          <cell r="GZ44">
            <v>0.35894193401798835</v>
          </cell>
        </row>
        <row r="50">
          <cell r="GW50">
            <v>327.10000000000002</v>
          </cell>
          <cell r="GX50">
            <v>327.60000000000002</v>
          </cell>
          <cell r="GY50">
            <v>327.60000000000002</v>
          </cell>
          <cell r="GZ50">
            <v>327.60000000000002</v>
          </cell>
        </row>
      </sheetData>
      <sheetData sheetId="5"/>
      <sheetData sheetId="6"/>
      <sheetData sheetId="7"/>
      <sheetData sheetId="8"/>
      <sheetData sheetId="9" refreshError="1">
        <row r="104">
          <cell r="GX104">
            <v>2983.5549813603166</v>
          </cell>
          <cell r="GY104">
            <v>2865.5825548788234</v>
          </cell>
          <cell r="GZ104">
            <v>2658.5749170797294</v>
          </cell>
        </row>
        <row r="108">
          <cell r="GX108">
            <v>346</v>
          </cell>
          <cell r="GY108">
            <v>337.46304610036668</v>
          </cell>
        </row>
        <row r="109">
          <cell r="GX109">
            <v>159</v>
          </cell>
          <cell r="GY109">
            <v>156.67428944022603</v>
          </cell>
          <cell r="GZ109">
            <v>167.43233155674241</v>
          </cell>
        </row>
      </sheetData>
      <sheetData sheetId="10"/>
      <sheetData sheetId="11"/>
      <sheetData sheetId="12"/>
      <sheetData sheetId="13"/>
      <sheetData sheetId="1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Upside_Downside"/>
      <sheetName val="QUICK SUMMARY"/>
      <sheetName val="Guidance"/>
      <sheetName val="Exhibits"/>
      <sheetName val="SENSITIVITY"/>
      <sheetName val="COMP"/>
      <sheetName val="CF COMP "/>
      <sheetName val="LINKS&amp;INPUTS"/>
      <sheetName val="Base Upside Downside"/>
      <sheetName val="RBC IMPV Model"/>
    </sheetNames>
    <sheetDataSet>
      <sheetData sheetId="0"/>
      <sheetData sheetId="1" refreshError="1">
        <row r="23">
          <cell r="A23" t="str">
            <v>Operating Expenses</v>
          </cell>
        </row>
        <row r="421">
          <cell r="A421" t="str">
            <v>Property and Equipment, Net</v>
          </cell>
          <cell r="AK421">
            <v>2.3780000000000001</v>
          </cell>
          <cell r="AO421">
            <v>4.101</v>
          </cell>
          <cell r="AP421">
            <v>4.1340000000000003</v>
          </cell>
          <cell r="AQ421">
            <v>4.0890000000000004</v>
          </cell>
          <cell r="AR421">
            <v>4.0129999999999999</v>
          </cell>
          <cell r="AS421">
            <v>4.0259999999999998</v>
          </cell>
          <cell r="AT421">
            <v>3.859</v>
          </cell>
          <cell r="AU421">
            <v>4.0609999999999999</v>
          </cell>
          <cell r="AV421">
            <v>4.4569999999999999</v>
          </cell>
          <cell r="AW421">
            <v>5.5149999999999997</v>
          </cell>
          <cell r="AX421">
            <v>5.4</v>
          </cell>
          <cell r="AY421">
            <v>5.5</v>
          </cell>
          <cell r="AZ421">
            <v>5.6</v>
          </cell>
          <cell r="BA421">
            <v>5.6999999999999993</v>
          </cell>
          <cell r="BB421">
            <v>5.7999999999999989</v>
          </cell>
          <cell r="BC421">
            <v>5.8999999999999986</v>
          </cell>
          <cell r="BD421">
            <v>5.9999999999999982</v>
          </cell>
          <cell r="BE421">
            <v>6.0999999999999979</v>
          </cell>
          <cell r="BF421">
            <v>7.0999999999999979</v>
          </cell>
          <cell r="BG421">
            <v>8.0999999999999979</v>
          </cell>
          <cell r="BH421">
            <v>9.0999999999999979</v>
          </cell>
          <cell r="BI421">
            <v>10.099999999999998</v>
          </cell>
          <cell r="BJ421">
            <v>11.099999999999998</v>
          </cell>
          <cell r="BK421">
            <v>12.099999999999998</v>
          </cell>
          <cell r="BL421">
            <v>13.099999999999998</v>
          </cell>
          <cell r="BM421">
            <v>14.099999999999998</v>
          </cell>
          <cell r="BN421">
            <v>15.099999999999998</v>
          </cell>
          <cell r="BO421">
            <v>16.099999999999998</v>
          </cell>
          <cell r="BP421">
            <v>17.099999999999998</v>
          </cell>
          <cell r="BQ421">
            <v>18.099999999999998</v>
          </cell>
          <cell r="BR421">
            <v>0</v>
          </cell>
          <cell r="BS421">
            <v>0</v>
          </cell>
          <cell r="BT421">
            <v>0</v>
          </cell>
          <cell r="BU421">
            <v>0</v>
          </cell>
          <cell r="BV421">
            <v>0</v>
          </cell>
          <cell r="BW421">
            <v>0</v>
          </cell>
          <cell r="BX421">
            <v>0</v>
          </cell>
          <cell r="BY421">
            <v>0</v>
          </cell>
          <cell r="BZ421">
            <v>2.3780000000000001</v>
          </cell>
          <cell r="CA421">
            <v>4.101</v>
          </cell>
          <cell r="CB421">
            <v>4.0259999999999998</v>
          </cell>
          <cell r="CC421">
            <v>5.5149999999999997</v>
          </cell>
          <cell r="CD421">
            <v>5.6999999999999993</v>
          </cell>
          <cell r="CE421">
            <v>6.0999999999999979</v>
          </cell>
          <cell r="CF421">
            <v>10.099999999999998</v>
          </cell>
          <cell r="CG421">
            <v>14.099999999999998</v>
          </cell>
          <cell r="CH421">
            <v>18.099999999999998</v>
          </cell>
        </row>
      </sheetData>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BM"/>
      <sheetName val="MODELEx (2)"/>
      <sheetName val="MODELEx"/>
      <sheetName val="MODEL"/>
      <sheetName val="QUICK SUMMARY"/>
      <sheetName val="Upside_Downside"/>
      <sheetName val="Guidance"/>
      <sheetName val="EXHIBITS"/>
      <sheetName val="SENSITIVITY"/>
      <sheetName val="COMP"/>
      <sheetName val="CF COMP "/>
      <sheetName val="LINKS&amp;INPUTS"/>
      <sheetName val="Other Charts"/>
    </sheetNames>
    <sheetDataSet>
      <sheetData sheetId="0"/>
      <sheetData sheetId="1"/>
      <sheetData sheetId="2"/>
      <sheetData sheetId="3"/>
      <sheetData sheetId="4">
        <row r="2">
          <cell r="A2" t="str">
            <v>Period Ending</v>
          </cell>
          <cell r="B2" t="str">
            <v>Mar-01A</v>
          </cell>
          <cell r="C2" t="str">
            <v>Jun-01A</v>
          </cell>
          <cell r="D2" t="str">
            <v>Sep-01A</v>
          </cell>
          <cell r="E2" t="str">
            <v>Dec-01A</v>
          </cell>
          <cell r="F2" t="str">
            <v>Mar-02A</v>
          </cell>
          <cell r="G2" t="str">
            <v>Jun-02A</v>
          </cell>
          <cell r="H2" t="str">
            <v>Sep-02A</v>
          </cell>
          <cell r="I2" t="str">
            <v>Dec-02A</v>
          </cell>
          <cell r="J2" t="str">
            <v>Mar-03A</v>
          </cell>
          <cell r="K2" t="str">
            <v>Jun-03A</v>
          </cell>
          <cell r="L2" t="str">
            <v>Sep-03A</v>
          </cell>
          <cell r="M2" t="str">
            <v>Dec-03A</v>
          </cell>
          <cell r="N2" t="str">
            <v>Mar-04A</v>
          </cell>
          <cell r="O2" t="str">
            <v>Jun-04A</v>
          </cell>
          <cell r="P2" t="str">
            <v>Sep-04A</v>
          </cell>
          <cell r="Q2" t="str">
            <v>Dec-04A</v>
          </cell>
          <cell r="R2" t="str">
            <v>Mar-05A</v>
          </cell>
          <cell r="S2" t="str">
            <v>Jun-05A</v>
          </cell>
          <cell r="T2" t="str">
            <v>Sep-05A</v>
          </cell>
          <cell r="U2" t="str">
            <v>Dec-05A</v>
          </cell>
          <cell r="V2" t="str">
            <v>Mar-06A</v>
          </cell>
          <cell r="W2" t="str">
            <v>Jun-06A</v>
          </cell>
          <cell r="X2" t="str">
            <v>Sep-06A</v>
          </cell>
          <cell r="Y2" t="str">
            <v>Dec-06A</v>
          </cell>
          <cell r="Z2" t="str">
            <v>Mar-07A</v>
          </cell>
          <cell r="AA2" t="str">
            <v>Jun-07A</v>
          </cell>
          <cell r="AB2" t="str">
            <v>Sep-07A</v>
          </cell>
          <cell r="AC2" t="str">
            <v>Dec-07A</v>
          </cell>
          <cell r="AD2" t="str">
            <v>Mar-08A</v>
          </cell>
          <cell r="AE2" t="str">
            <v>Jun-08A</v>
          </cell>
          <cell r="AF2" t="str">
            <v>Sep-08A</v>
          </cell>
          <cell r="AG2" t="str">
            <v>Dec-08A</v>
          </cell>
          <cell r="AH2" t="str">
            <v>Mar-09A</v>
          </cell>
          <cell r="AI2" t="str">
            <v>Jun-09A</v>
          </cell>
          <cell r="AJ2" t="str">
            <v>Sep-09A</v>
          </cell>
          <cell r="AK2" t="str">
            <v>Dec-09A</v>
          </cell>
          <cell r="AL2" t="str">
            <v>Mar-10A</v>
          </cell>
          <cell r="AM2" t="str">
            <v>Jun-10A</v>
          </cell>
          <cell r="AN2" t="str">
            <v>Sep-10A</v>
          </cell>
          <cell r="AO2" t="str">
            <v>Dec-10A</v>
          </cell>
          <cell r="AP2" t="str">
            <v>Mar-11A</v>
          </cell>
          <cell r="AQ2" t="str">
            <v>Jun-11A</v>
          </cell>
          <cell r="AR2" t="str">
            <v>Sep-11A</v>
          </cell>
          <cell r="AS2" t="str">
            <v>Dec-11A</v>
          </cell>
          <cell r="AT2" t="str">
            <v>Mar-12A</v>
          </cell>
          <cell r="AU2" t="str">
            <v>Jun-12A</v>
          </cell>
          <cell r="AV2" t="str">
            <v>Sep-12A</v>
          </cell>
          <cell r="AW2" t="str">
            <v>Dec-12A</v>
          </cell>
          <cell r="AX2" t="str">
            <v>Mar-13A</v>
          </cell>
          <cell r="AY2" t="str">
            <v>Jun-13A</v>
          </cell>
          <cell r="AZ2" t="str">
            <v>Sep-13A</v>
          </cell>
          <cell r="BA2" t="str">
            <v>Dec-13A</v>
          </cell>
          <cell r="BB2" t="str">
            <v>Mar-14A</v>
          </cell>
          <cell r="BC2" t="str">
            <v>Jun-14A</v>
          </cell>
          <cell r="BD2" t="str">
            <v>Sep-14A</v>
          </cell>
          <cell r="BE2" t="str">
            <v>Dec-14A</v>
          </cell>
          <cell r="BF2" t="str">
            <v>Mar-15A</v>
          </cell>
          <cell r="BG2" t="str">
            <v>Jun-15A</v>
          </cell>
          <cell r="BH2" t="str">
            <v>Sep-15A</v>
          </cell>
          <cell r="BI2" t="str">
            <v>Dec-15E</v>
          </cell>
          <cell r="BJ2" t="str">
            <v>Mar-16E</v>
          </cell>
          <cell r="BK2" t="str">
            <v>Jun-16E</v>
          </cell>
          <cell r="BL2" t="str">
            <v>Sep-16E</v>
          </cell>
          <cell r="BM2" t="str">
            <v>Dec-16E</v>
          </cell>
          <cell r="BN2" t="str">
            <v>Mar-17E</v>
          </cell>
          <cell r="BO2" t="str">
            <v>Jun-17E</v>
          </cell>
          <cell r="BP2" t="str">
            <v>Sep-17E</v>
          </cell>
          <cell r="BQ2" t="str">
            <v>Dec-17E</v>
          </cell>
          <cell r="BR2" t="str">
            <v>FY01A</v>
          </cell>
          <cell r="BS2" t="str">
            <v>FY02A</v>
          </cell>
          <cell r="BT2" t="str">
            <v>FY03A</v>
          </cell>
          <cell r="BU2" t="str">
            <v>FY04A</v>
          </cell>
          <cell r="BV2" t="str">
            <v>FY05A</v>
          </cell>
          <cell r="BW2" t="str">
            <v>FY06A</v>
          </cell>
          <cell r="BX2" t="str">
            <v>FY07A</v>
          </cell>
          <cell r="BY2" t="str">
            <v>FY08A</v>
          </cell>
          <cell r="BZ2" t="str">
            <v>FY09A</v>
          </cell>
          <cell r="CA2" t="str">
            <v>FY10A</v>
          </cell>
          <cell r="CB2" t="str">
            <v>FY11A</v>
          </cell>
          <cell r="CC2" t="str">
            <v>FY12A</v>
          </cell>
          <cell r="CD2" t="str">
            <v>FY13A</v>
          </cell>
          <cell r="CE2" t="str">
            <v>FY14A</v>
          </cell>
          <cell r="CF2" t="str">
            <v>FY15E</v>
          </cell>
          <cell r="CG2" t="str">
            <v>FY16E</v>
          </cell>
          <cell r="CH2" t="str">
            <v>FY17E</v>
          </cell>
        </row>
        <row r="6">
          <cell r="A6" t="str">
            <v>Subscription</v>
          </cell>
          <cell r="AL6">
            <v>12.994</v>
          </cell>
          <cell r="AM6">
            <v>13.638999999999999</v>
          </cell>
          <cell r="AN6">
            <v>14.868</v>
          </cell>
          <cell r="AO6">
            <v>16.155999999999999</v>
          </cell>
          <cell r="AP6">
            <v>16.077000000000002</v>
          </cell>
          <cell r="AQ6">
            <v>17.663</v>
          </cell>
          <cell r="AR6">
            <v>18.792999999999999</v>
          </cell>
          <cell r="AS6">
            <v>21.363</v>
          </cell>
          <cell r="AT6">
            <v>23.268999999999998</v>
          </cell>
          <cell r="AU6">
            <v>24.75</v>
          </cell>
          <cell r="AV6">
            <v>25.991</v>
          </cell>
          <cell r="AW6">
            <v>27.46</v>
          </cell>
          <cell r="AX6">
            <v>28.452000000000002</v>
          </cell>
          <cell r="AY6">
            <v>30.815999999999999</v>
          </cell>
          <cell r="AZ6">
            <v>33.463999999999999</v>
          </cell>
          <cell r="BA6">
            <v>39.33</v>
          </cell>
          <cell r="BB6">
            <v>41.204000000000001</v>
          </cell>
          <cell r="BC6">
            <v>45.046999999999997</v>
          </cell>
          <cell r="BD6">
            <v>48.506</v>
          </cell>
          <cell r="BE6">
            <v>52.77</v>
          </cell>
          <cell r="BF6">
            <v>55.856000000000002</v>
          </cell>
          <cell r="BG6">
            <v>61.777999999999999</v>
          </cell>
          <cell r="BH6">
            <v>67.222999999999999</v>
          </cell>
          <cell r="BI6">
            <v>70.711800000000011</v>
          </cell>
          <cell r="BJ6">
            <v>74.700000000000017</v>
          </cell>
          <cell r="BK6">
            <v>78.900000000000006</v>
          </cell>
          <cell r="BL6">
            <v>86.062000000000026</v>
          </cell>
          <cell r="BM6">
            <v>92.632458000000014</v>
          </cell>
          <cell r="BN6">
            <v>94.008050847457653</v>
          </cell>
          <cell r="BO6">
            <v>96.990302774776723</v>
          </cell>
          <cell r="BP6">
            <v>104.49251030594114</v>
          </cell>
          <cell r="BQ6">
            <v>110.1464521205357</v>
          </cell>
          <cell r="BX6">
            <v>20.823</v>
          </cell>
          <cell r="BY6">
            <v>31.114999999999998</v>
          </cell>
          <cell r="BZ6">
            <v>42.134999999999998</v>
          </cell>
          <cell r="CA6">
            <v>57.656999999999996</v>
          </cell>
          <cell r="CB6">
            <v>73.896000000000001</v>
          </cell>
          <cell r="CC6">
            <v>101.47</v>
          </cell>
          <cell r="CD6">
            <v>132.06200000000001</v>
          </cell>
          <cell r="CE6">
            <v>187.52700000000002</v>
          </cell>
          <cell r="CF6">
            <v>255.56880000000001</v>
          </cell>
          <cell r="CG6">
            <v>332.29445800000008</v>
          </cell>
          <cell r="CH6">
            <v>405.63731604871123</v>
          </cell>
        </row>
        <row r="7">
          <cell r="A7" t="str">
            <v>Hardware and services</v>
          </cell>
          <cell r="AL7">
            <v>1.8480000000000001</v>
          </cell>
          <cell r="AM7">
            <v>1.7549999999999999</v>
          </cell>
          <cell r="AN7">
            <v>1.647</v>
          </cell>
          <cell r="AO7">
            <v>1.883</v>
          </cell>
          <cell r="AP7">
            <v>2.7040000000000002</v>
          </cell>
          <cell r="AQ7">
            <v>2.2170000000000001</v>
          </cell>
          <cell r="AR7">
            <v>1.6930000000000001</v>
          </cell>
          <cell r="AS7">
            <v>1.3280000000000001</v>
          </cell>
          <cell r="AT7">
            <v>1.35</v>
          </cell>
          <cell r="AU7">
            <v>1.1930000000000001</v>
          </cell>
          <cell r="AV7">
            <v>1.093</v>
          </cell>
          <cell r="AW7">
            <v>1.1890000000000001</v>
          </cell>
          <cell r="AX7">
            <v>2.3119999999999998</v>
          </cell>
          <cell r="AY7">
            <v>1.0109999999999999</v>
          </cell>
          <cell r="AZ7">
            <v>1.0389999999999999</v>
          </cell>
          <cell r="BA7">
            <v>1.5069999999999999</v>
          </cell>
          <cell r="BB7">
            <v>1.5</v>
          </cell>
          <cell r="BC7">
            <v>1.351</v>
          </cell>
          <cell r="BD7">
            <v>1.8049999999999999</v>
          </cell>
          <cell r="BE7">
            <v>3.4239999999999999</v>
          </cell>
          <cell r="BF7">
            <v>1.907</v>
          </cell>
          <cell r="BG7">
            <v>1.768</v>
          </cell>
          <cell r="BH7">
            <v>1.9259999999999999</v>
          </cell>
          <cell r="BI7">
            <v>2.3967999999999998</v>
          </cell>
          <cell r="BJ7">
            <v>1.8999999999999995</v>
          </cell>
          <cell r="BK7">
            <v>1.7999999999999998</v>
          </cell>
          <cell r="BL7">
            <v>1.9499999999999995</v>
          </cell>
          <cell r="BM7">
            <v>2.5499999999999998</v>
          </cell>
          <cell r="BN7">
            <v>1.7529218668065016</v>
          </cell>
          <cell r="BO7">
            <v>2.052047202797203</v>
          </cell>
          <cell r="BP7">
            <v>1.9499999999999995</v>
          </cell>
          <cell r="BQ7">
            <v>2.5499999999999998</v>
          </cell>
          <cell r="BX7">
            <v>5.1050000000000004</v>
          </cell>
          <cell r="BY7">
            <v>7.1280000000000001</v>
          </cell>
          <cell r="BZ7">
            <v>6.3929999999999998</v>
          </cell>
          <cell r="CA7">
            <v>7.133</v>
          </cell>
          <cell r="CB7">
            <v>7.9420000000000011</v>
          </cell>
          <cell r="CC7">
            <v>4.8250000000000002</v>
          </cell>
          <cell r="CD7">
            <v>5.8689999999999989</v>
          </cell>
          <cell r="CE7">
            <v>8.08</v>
          </cell>
          <cell r="CF7">
            <v>7.9977999999999998</v>
          </cell>
          <cell r="CG7">
            <v>8.1999999999999993</v>
          </cell>
          <cell r="CH7">
            <v>8.304969069603704</v>
          </cell>
        </row>
        <row r="8">
          <cell r="A8" t="str">
            <v>Total Revenue</v>
          </cell>
          <cell r="AH8">
            <v>0</v>
          </cell>
          <cell r="AI8">
            <v>0</v>
          </cell>
          <cell r="AJ8">
            <v>0</v>
          </cell>
          <cell r="AK8">
            <v>0</v>
          </cell>
          <cell r="AL8">
            <v>14.842000000000001</v>
          </cell>
          <cell r="AM8">
            <v>15.393999999999998</v>
          </cell>
          <cell r="AN8">
            <v>16.515000000000001</v>
          </cell>
          <cell r="AO8">
            <v>18.038999999999998</v>
          </cell>
          <cell r="AP8">
            <v>18.781000000000002</v>
          </cell>
          <cell r="AQ8">
            <v>19.88</v>
          </cell>
          <cell r="AR8">
            <v>20.486000000000001</v>
          </cell>
          <cell r="AS8">
            <v>22.690999999999999</v>
          </cell>
          <cell r="AT8">
            <v>24.619</v>
          </cell>
          <cell r="AU8">
            <v>25.943000000000001</v>
          </cell>
          <cell r="AV8">
            <v>27.084</v>
          </cell>
          <cell r="AW8">
            <v>28.649000000000001</v>
          </cell>
          <cell r="AX8">
            <v>30.764000000000003</v>
          </cell>
          <cell r="AY8">
            <v>31.826999999999998</v>
          </cell>
          <cell r="AZ8">
            <v>34.503</v>
          </cell>
          <cell r="BA8">
            <v>40.836999999999996</v>
          </cell>
          <cell r="BB8">
            <v>42.704000000000001</v>
          </cell>
          <cell r="BC8">
            <v>46.397999999999996</v>
          </cell>
          <cell r="BD8">
            <v>50.311</v>
          </cell>
          <cell r="BE8">
            <v>56.194000000000003</v>
          </cell>
          <cell r="BF8">
            <v>57.763000000000005</v>
          </cell>
          <cell r="BG8">
            <v>63.545999999999999</v>
          </cell>
          <cell r="BH8">
            <v>69.149000000000001</v>
          </cell>
          <cell r="BI8">
            <v>73.10860000000001</v>
          </cell>
          <cell r="BJ8">
            <v>76.600000000000023</v>
          </cell>
          <cell r="BK8">
            <v>80.7</v>
          </cell>
          <cell r="BL8">
            <v>88.012000000000029</v>
          </cell>
          <cell r="BM8">
            <v>95.182458000000011</v>
          </cell>
          <cell r="BN8">
            <v>95.760972714264156</v>
          </cell>
          <cell r="BO8">
            <v>99.04234997757392</v>
          </cell>
          <cell r="BP8">
            <v>106.44251030594114</v>
          </cell>
          <cell r="BQ8">
            <v>112.6964521205357</v>
          </cell>
          <cell r="BW8">
            <v>0</v>
          </cell>
          <cell r="BX8">
            <v>25.928000000000001</v>
          </cell>
          <cell r="BY8">
            <v>38.242999999999995</v>
          </cell>
          <cell r="BZ8">
            <v>48.527999999999999</v>
          </cell>
          <cell r="CA8">
            <v>64.789999999999992</v>
          </cell>
          <cell r="CB8">
            <v>81.838000000000008</v>
          </cell>
          <cell r="CC8">
            <v>106.295</v>
          </cell>
          <cell r="CD8">
            <v>137.93100000000001</v>
          </cell>
          <cell r="CE8">
            <v>195.60700000000003</v>
          </cell>
          <cell r="CF8">
            <v>263.56659999999999</v>
          </cell>
          <cell r="CG8">
            <v>340.49445800000007</v>
          </cell>
          <cell r="CH8">
            <v>413.94228511831489</v>
          </cell>
        </row>
        <row r="16">
          <cell r="A16" t="str">
            <v>Research and development</v>
          </cell>
          <cell r="AL16">
            <v>3.5049999999999999</v>
          </cell>
          <cell r="AM16">
            <v>3.8849999999999998</v>
          </cell>
          <cell r="AN16">
            <v>4.6020000000000003</v>
          </cell>
          <cell r="AO16">
            <v>4.5809999999999995</v>
          </cell>
          <cell r="AP16">
            <v>4.6630000000000003</v>
          </cell>
          <cell r="AQ16">
            <v>4.5979999999999999</v>
          </cell>
          <cell r="AR16">
            <v>4.2869999999999999</v>
          </cell>
          <cell r="AS16">
            <v>4.9829999999999997</v>
          </cell>
          <cell r="AT16">
            <v>5.4510000000000005</v>
          </cell>
          <cell r="AU16">
            <v>5.7320000000000002</v>
          </cell>
          <cell r="AV16">
            <v>5.7519999999999998</v>
          </cell>
          <cell r="AW16">
            <v>6.0200000000000005</v>
          </cell>
          <cell r="AX16">
            <v>7.0490000000000004</v>
          </cell>
          <cell r="AY16">
            <v>7.024</v>
          </cell>
          <cell r="AZ16">
            <v>7.7970000000000006</v>
          </cell>
          <cell r="BA16">
            <v>8.9250000000000007</v>
          </cell>
          <cell r="BB16">
            <v>9.8910000000000018</v>
          </cell>
          <cell r="BC16">
            <v>9.8239999999999998</v>
          </cell>
          <cell r="BD16">
            <v>10.432</v>
          </cell>
          <cell r="BE16">
            <v>11.459</v>
          </cell>
          <cell r="BF16">
            <v>11.747</v>
          </cell>
          <cell r="BG16">
            <v>12.873999999999999</v>
          </cell>
          <cell r="BH16">
            <v>14.115</v>
          </cell>
          <cell r="BI16">
            <v>15.035000000000002</v>
          </cell>
          <cell r="BJ16">
            <v>15.761577042727451</v>
          </cell>
          <cell r="BK16">
            <v>16.669000000000015</v>
          </cell>
          <cell r="BL16">
            <v>17.933999999999997</v>
          </cell>
          <cell r="BM16">
            <v>18.944076041551138</v>
          </cell>
          <cell r="BN16">
            <v>19.630999406424152</v>
          </cell>
          <cell r="BO16">
            <v>20.303681745402653</v>
          </cell>
          <cell r="BP16">
            <v>21.820714612717932</v>
          </cell>
          <cell r="BQ16">
            <v>22.701000000000001</v>
          </cell>
          <cell r="BX16">
            <v>6.0209999999999999</v>
          </cell>
          <cell r="BY16">
            <v>10.407</v>
          </cell>
          <cell r="BZ16">
            <v>10.982999999999999</v>
          </cell>
          <cell r="CA16">
            <v>16.573</v>
          </cell>
          <cell r="CB16">
            <v>18.530999999999999</v>
          </cell>
          <cell r="CC16">
            <v>22.954999999999998</v>
          </cell>
          <cell r="CD16">
            <v>30.795000000000002</v>
          </cell>
          <cell r="CE16">
            <v>41.606000000000009</v>
          </cell>
          <cell r="CF16">
            <v>53.771000000000001</v>
          </cell>
          <cell r="CG16">
            <v>69.308653084278603</v>
          </cell>
          <cell r="CH16">
            <v>84.456395764544737</v>
          </cell>
        </row>
        <row r="17">
          <cell r="A17" t="str">
            <v>Sales and marketing</v>
          </cell>
          <cell r="AL17">
            <v>6.2359999999999998</v>
          </cell>
          <cell r="AM17">
            <v>6.8529999999999998</v>
          </cell>
          <cell r="AN17">
            <v>7.8620000000000001</v>
          </cell>
          <cell r="AO17">
            <v>8.4600000000000009</v>
          </cell>
          <cell r="AP17">
            <v>8.673</v>
          </cell>
          <cell r="AQ17">
            <v>9.2270000000000003</v>
          </cell>
          <cell r="AR17">
            <v>10.126000000000001</v>
          </cell>
          <cell r="AS17">
            <v>11.904999999999999</v>
          </cell>
          <cell r="AT17">
            <v>11.406000000000001</v>
          </cell>
          <cell r="AU17">
            <v>12.483999999999998</v>
          </cell>
          <cell r="AV17">
            <v>13.224</v>
          </cell>
          <cell r="AW17">
            <v>14.578000000000001</v>
          </cell>
          <cell r="AX17">
            <v>15.283999999999999</v>
          </cell>
          <cell r="AY17">
            <v>15.164000000000001</v>
          </cell>
          <cell r="AZ17">
            <v>16.212999999999997</v>
          </cell>
          <cell r="BA17">
            <v>19.107000000000003</v>
          </cell>
          <cell r="BB17">
            <v>19.623999999999999</v>
          </cell>
          <cell r="BC17">
            <v>20.671999999999997</v>
          </cell>
          <cell r="BD17">
            <v>21.898999999999997</v>
          </cell>
          <cell r="BE17">
            <v>24.971</v>
          </cell>
          <cell r="BF17">
            <v>26.75</v>
          </cell>
          <cell r="BG17">
            <v>31.556000000000001</v>
          </cell>
          <cell r="BH17">
            <v>33.359000000000002</v>
          </cell>
          <cell r="BI17">
            <v>35.400000000000006</v>
          </cell>
          <cell r="BJ17">
            <v>35.351000000000006</v>
          </cell>
          <cell r="BK17">
            <v>37.046999999999997</v>
          </cell>
          <cell r="BL17">
            <v>39.202999999999989</v>
          </cell>
          <cell r="BM17">
            <v>42.45300000000001</v>
          </cell>
          <cell r="BN17">
            <v>43.677000000000014</v>
          </cell>
          <cell r="BO17">
            <v>44.2</v>
          </cell>
          <cell r="BP17">
            <v>46.789999999999992</v>
          </cell>
          <cell r="BQ17">
            <v>49.895999999999987</v>
          </cell>
          <cell r="BX17">
            <v>19.237000000000002</v>
          </cell>
          <cell r="BY17">
            <v>31.573</v>
          </cell>
          <cell r="BZ17">
            <v>26.444999999999997</v>
          </cell>
          <cell r="CA17">
            <v>29.411000000000001</v>
          </cell>
          <cell r="CB17">
            <v>39.930999999999997</v>
          </cell>
          <cell r="CC17">
            <v>51.692000000000007</v>
          </cell>
          <cell r="CD17">
            <v>65.768000000000001</v>
          </cell>
          <cell r="CE17">
            <v>87.165999999999997</v>
          </cell>
          <cell r="CF17">
            <v>127.065</v>
          </cell>
          <cell r="CG17">
            <v>154.054</v>
          </cell>
          <cell r="CH17">
            <v>184.56299999999999</v>
          </cell>
        </row>
        <row r="18">
          <cell r="A18" t="str">
            <v>General and administrative</v>
          </cell>
          <cell r="AL18">
            <v>1.4829999999999999</v>
          </cell>
          <cell r="AM18">
            <v>1.504</v>
          </cell>
          <cell r="AN18">
            <v>1.8790000000000002</v>
          </cell>
          <cell r="AO18">
            <v>1.7310000000000001</v>
          </cell>
          <cell r="AP18">
            <v>1.8029999999999999</v>
          </cell>
          <cell r="AQ18">
            <v>1.8530000000000002</v>
          </cell>
          <cell r="AR18">
            <v>1.8230000000000002</v>
          </cell>
          <cell r="AS18">
            <v>2.8279999999999998</v>
          </cell>
          <cell r="AT18">
            <v>2.4780000000000002</v>
          </cell>
          <cell r="AU18">
            <v>2.4580000000000002</v>
          </cell>
          <cell r="AV18">
            <v>2.7509999999999999</v>
          </cell>
          <cell r="AW18">
            <v>3.395</v>
          </cell>
          <cell r="AX18">
            <v>3.3780000000000001</v>
          </cell>
          <cell r="AY18">
            <v>3.2549999999999999</v>
          </cell>
          <cell r="AZ18">
            <v>3.3950000000000005</v>
          </cell>
          <cell r="BA18">
            <v>4.9530000000000003</v>
          </cell>
          <cell r="BB18">
            <v>4.0600000000000005</v>
          </cell>
          <cell r="BC18">
            <v>5.0200000000000005</v>
          </cell>
          <cell r="BD18">
            <v>4.9250000000000007</v>
          </cell>
          <cell r="BE18">
            <v>5.2670000000000003</v>
          </cell>
          <cell r="BF18">
            <v>5.0720000000000001</v>
          </cell>
          <cell r="BG18">
            <v>5.5759999999999987</v>
          </cell>
          <cell r="BH18">
            <v>6.7230000000000008</v>
          </cell>
          <cell r="BI18">
            <v>7.0349999999999993</v>
          </cell>
          <cell r="BJ18">
            <v>7.2770000000000019</v>
          </cell>
          <cell r="BK18">
            <v>7.5051000000000005</v>
          </cell>
          <cell r="BL18">
            <v>8.0971040000000016</v>
          </cell>
          <cell r="BM18">
            <v>8.5664212200000005</v>
          </cell>
          <cell r="BN18">
            <v>8.6184875442837736</v>
          </cell>
          <cell r="BO18">
            <v>8.9138114979816532</v>
          </cell>
          <cell r="BP18">
            <v>9.5798259275347029</v>
          </cell>
          <cell r="BQ18">
            <v>10.011000000000001</v>
          </cell>
          <cell r="BX18">
            <v>3.5949999999999998</v>
          </cell>
          <cell r="BY18">
            <v>4.5170000000000003</v>
          </cell>
          <cell r="BZ18">
            <v>4.9459999999999997</v>
          </cell>
          <cell r="CA18">
            <v>6.5970000000000004</v>
          </cell>
          <cell r="CB18">
            <v>8.3070000000000004</v>
          </cell>
          <cell r="CC18">
            <v>11.081999999999999</v>
          </cell>
          <cell r="CD18">
            <v>14.981000000000002</v>
          </cell>
          <cell r="CE18">
            <v>19.272000000000002</v>
          </cell>
          <cell r="CF18">
            <v>24.406000000000002</v>
          </cell>
          <cell r="CG18">
            <v>31.445625220000004</v>
          </cell>
          <cell r="CH18">
            <v>37.123124969800131</v>
          </cell>
        </row>
        <row r="21">
          <cell r="A21" t="str">
            <v>Operating Income</v>
          </cell>
          <cell r="AH21">
            <v>0</v>
          </cell>
          <cell r="AI21">
            <v>0</v>
          </cell>
          <cell r="AJ21">
            <v>0</v>
          </cell>
          <cell r="AK21">
            <v>0</v>
          </cell>
          <cell r="AL21">
            <v>-2.2809999999999988</v>
          </cell>
          <cell r="AM21">
            <v>-2.6880000000000006</v>
          </cell>
          <cell r="AN21">
            <v>-3.8949999999999996</v>
          </cell>
          <cell r="AO21">
            <v>-3.413000000000002</v>
          </cell>
          <cell r="AP21">
            <v>-2.7269999999999968</v>
          </cell>
          <cell r="AQ21">
            <v>-2.0810000000000013</v>
          </cell>
          <cell r="AR21">
            <v>-1.9670000000000005</v>
          </cell>
          <cell r="AS21">
            <v>-3.6219999999999963</v>
          </cell>
          <cell r="AT21">
            <v>-1.8030000000000008</v>
          </cell>
          <cell r="AU21">
            <v>-1.9579999999999984</v>
          </cell>
          <cell r="AV21">
            <v>-2.2149999999999999</v>
          </cell>
          <cell r="AW21">
            <v>-3.1009999999999991</v>
          </cell>
          <cell r="AX21">
            <v>-3.3819999999999943</v>
          </cell>
          <cell r="AY21">
            <v>-2.2860000000000014</v>
          </cell>
          <cell r="AZ21">
            <v>-2.4319999999999986</v>
          </cell>
          <cell r="BA21">
            <v>-3.4530000000000101</v>
          </cell>
          <cell r="BB21">
            <v>-3.2120000000000033</v>
          </cell>
          <cell r="BC21">
            <v>-2.7500000000000071</v>
          </cell>
          <cell r="BD21">
            <v>-2.2259999999999991</v>
          </cell>
          <cell r="BE21">
            <v>-2.7629999999999981</v>
          </cell>
          <cell r="BF21">
            <v>-1.5649999999999977</v>
          </cell>
          <cell r="BG21">
            <v>-2.5879999999999939</v>
          </cell>
          <cell r="BH21">
            <v>-0.93599999999999994</v>
          </cell>
          <cell r="BI21">
            <v>-3.3183999999999969</v>
          </cell>
          <cell r="BJ21">
            <v>-0.66857704272745622</v>
          </cell>
          <cell r="BK21">
            <v>0.34289999999998599</v>
          </cell>
          <cell r="BL21">
            <v>2.2288960000000344</v>
          </cell>
          <cell r="BM21">
            <v>3.2454607384488838</v>
          </cell>
          <cell r="BN21">
            <v>1.0795638967497041</v>
          </cell>
          <cell r="BO21">
            <v>1.5098095313924063</v>
          </cell>
          <cell r="BP21">
            <v>3.2239697656885227</v>
          </cell>
          <cell r="BQ21">
            <v>3.5304521205357275</v>
          </cell>
          <cell r="BW21">
            <v>0</v>
          </cell>
          <cell r="BX21">
            <v>-11.988</v>
          </cell>
          <cell r="BY21">
            <v>-22.344000000000012</v>
          </cell>
          <cell r="BZ21">
            <v>-12.647999999999996</v>
          </cell>
          <cell r="CA21">
            <v>-12.277000000000008</v>
          </cell>
          <cell r="CB21">
            <v>-10.396999999999998</v>
          </cell>
          <cell r="CC21">
            <v>-9.076999999999984</v>
          </cell>
          <cell r="CD21">
            <v>-11.553000000000011</v>
          </cell>
          <cell r="CE21">
            <v>-10.950999999999993</v>
          </cell>
          <cell r="CF21">
            <v>-8.4073999999999671</v>
          </cell>
          <cell r="CG21">
            <v>5.148679695721448</v>
          </cell>
          <cell r="CH21">
            <v>9.3437953143663321</v>
          </cell>
        </row>
        <row r="22">
          <cell r="A22" t="str">
            <v>Interest income (expense)</v>
          </cell>
          <cell r="AL22">
            <v>-0.01</v>
          </cell>
          <cell r="AM22">
            <v>-8.9999999999999993E-3</v>
          </cell>
          <cell r="AN22">
            <v>-0.29899999999999999</v>
          </cell>
          <cell r="AO22">
            <v>-2.1999999999999999E-2</v>
          </cell>
          <cell r="AP22">
            <v>-7.5999999999999998E-2</v>
          </cell>
          <cell r="AQ22">
            <v>-0.112</v>
          </cell>
          <cell r="AR22">
            <v>-7.0000000000000007E-2</v>
          </cell>
          <cell r="AS22">
            <v>-4.2000000000000003E-2</v>
          </cell>
          <cell r="AT22">
            <v>-0.06</v>
          </cell>
          <cell r="AU22">
            <v>-4.2999999999999997E-2</v>
          </cell>
          <cell r="AV22">
            <v>-7.0000000000000001E-3</v>
          </cell>
          <cell r="AW22">
            <v>2E-3</v>
          </cell>
          <cell r="AX22">
            <v>1.2E-2</v>
          </cell>
          <cell r="AY22">
            <v>-5.0000000000000001E-3</v>
          </cell>
          <cell r="AZ22">
            <v>-1.0999999999999999E-2</v>
          </cell>
          <cell r="BA22">
            <v>-0.63700000000000001</v>
          </cell>
          <cell r="BB22">
            <v>-0.63000000000000034</v>
          </cell>
          <cell r="BC22">
            <v>-0.625</v>
          </cell>
          <cell r="BD22">
            <v>-2.8140000000000001</v>
          </cell>
          <cell r="BE22">
            <v>-0.59399999999999986</v>
          </cell>
          <cell r="BF22">
            <v>-0.58700000000000019</v>
          </cell>
          <cell r="BG22">
            <v>-0.63599999999999968</v>
          </cell>
          <cell r="BH22">
            <v>-0.95399999999999974</v>
          </cell>
          <cell r="BI22">
            <v>-0.62890625</v>
          </cell>
          <cell r="BJ22">
            <v>-1.05</v>
          </cell>
          <cell r="BK22">
            <v>-1.05</v>
          </cell>
          <cell r="BL22">
            <v>-1.05</v>
          </cell>
          <cell r="BM22">
            <v>-1.05</v>
          </cell>
          <cell r="BN22">
            <v>-1.05</v>
          </cell>
          <cell r="BO22">
            <v>-1.05</v>
          </cell>
          <cell r="BP22">
            <v>-1.05</v>
          </cell>
          <cell r="BQ22">
            <v>-1.05</v>
          </cell>
          <cell r="BX22">
            <v>0.49099999999999999</v>
          </cell>
          <cell r="BY22">
            <v>0.53600000000000003</v>
          </cell>
          <cell r="BZ22">
            <v>8.6999999999999994E-2</v>
          </cell>
          <cell r="CA22">
            <v>-0.34</v>
          </cell>
          <cell r="CB22">
            <v>-0.3</v>
          </cell>
          <cell r="CC22">
            <v>-0.108</v>
          </cell>
          <cell r="CD22">
            <v>-0.64100000000000001</v>
          </cell>
          <cell r="CE22">
            <v>-4.6630000000000003</v>
          </cell>
          <cell r="CF22">
            <v>-2.8059062499999996</v>
          </cell>
          <cell r="CG22">
            <v>-4.2</v>
          </cell>
          <cell r="CH22">
            <v>-4.2</v>
          </cell>
        </row>
        <row r="23">
          <cell r="A23" t="str">
            <v>Other income (expense</v>
          </cell>
          <cell r="AL23">
            <v>-0.106</v>
          </cell>
          <cell r="AM23">
            <v>-5.0999999999999997E-2</v>
          </cell>
          <cell r="AN23">
            <v>3.4000000000000002E-2</v>
          </cell>
          <cell r="AO23">
            <v>-0.13500000000000001</v>
          </cell>
          <cell r="AP23">
            <v>0.14899999999999999</v>
          </cell>
          <cell r="AQ23">
            <v>9.4E-2</v>
          </cell>
          <cell r="AR23">
            <v>-3.1E-2</v>
          </cell>
          <cell r="AS23">
            <v>-9.9000000000000005E-2</v>
          </cell>
          <cell r="AT23">
            <v>-3.1E-2</v>
          </cell>
          <cell r="AU23">
            <v>-0.17799999999999999</v>
          </cell>
          <cell r="AV23">
            <v>0.109</v>
          </cell>
          <cell r="AW23">
            <v>-5.3999999999999999E-2</v>
          </cell>
          <cell r="AX23">
            <v>-0.36699999999999999</v>
          </cell>
          <cell r="AY23">
            <v>-0.14799999999999999</v>
          </cell>
          <cell r="AZ23">
            <v>0.111</v>
          </cell>
          <cell r="BA23">
            <v>-5.1999999999999998E-2</v>
          </cell>
          <cell r="BB23">
            <v>-0.19900000000000001</v>
          </cell>
          <cell r="BC23">
            <v>0.68300000000000005</v>
          </cell>
          <cell r="BD23">
            <v>1.0229999999999999</v>
          </cell>
          <cell r="BE23">
            <v>-0.11099999999999996</v>
          </cell>
          <cell r="BF23">
            <v>-1.18</v>
          </cell>
          <cell r="BG23">
            <v>-0.08</v>
          </cell>
          <cell r="BH23">
            <v>-0.375</v>
          </cell>
          <cell r="BI23">
            <v>-0.375</v>
          </cell>
          <cell r="BJ23">
            <v>-0.5</v>
          </cell>
          <cell r="BK23">
            <v>0</v>
          </cell>
          <cell r="BL23">
            <v>0</v>
          </cell>
          <cell r="BN23">
            <v>0</v>
          </cell>
          <cell r="BO23">
            <v>0</v>
          </cell>
          <cell r="BP23">
            <v>0</v>
          </cell>
          <cell r="BQ23">
            <v>0</v>
          </cell>
          <cell r="BX23">
            <v>7.2999999999999995E-2</v>
          </cell>
          <cell r="BY23">
            <v>-0.183</v>
          </cell>
          <cell r="BZ23">
            <v>-0.26900000000000002</v>
          </cell>
          <cell r="CA23">
            <v>-0.25800000000000001</v>
          </cell>
          <cell r="CB23">
            <v>0.11299999999999999</v>
          </cell>
          <cell r="CC23">
            <v>-0.154</v>
          </cell>
          <cell r="CD23">
            <v>-0.45600000000000002</v>
          </cell>
          <cell r="CE23">
            <v>1.3959999999999999</v>
          </cell>
          <cell r="CF23">
            <v>-2.0099999999999998</v>
          </cell>
          <cell r="CG23">
            <v>-0.5</v>
          </cell>
        </row>
        <row r="25">
          <cell r="A25" t="str">
            <v>Taxes, Net</v>
          </cell>
          <cell r="AL25">
            <v>-3.2000000000000001E-2</v>
          </cell>
          <cell r="AM25">
            <v>-5.3999999999999999E-2</v>
          </cell>
          <cell r="AN25">
            <v>-5.8000000000000003E-2</v>
          </cell>
          <cell r="AO25">
            <v>-9.9000000000000005E-2</v>
          </cell>
          <cell r="AP25">
            <v>-0.106</v>
          </cell>
          <cell r="AQ25">
            <v>-0.03</v>
          </cell>
          <cell r="AR25">
            <v>-3.3000000000000002E-2</v>
          </cell>
          <cell r="AS25">
            <v>-0.20100000000000001</v>
          </cell>
          <cell r="AT25">
            <v>-7.9000000000000001E-2</v>
          </cell>
          <cell r="AU25">
            <v>-0.23200000000000001</v>
          </cell>
          <cell r="AV25">
            <v>-0.20699999999999999</v>
          </cell>
          <cell r="AW25">
            <v>-9.0999999999999998E-2</v>
          </cell>
          <cell r="AX25">
            <v>-0.14199999999999999</v>
          </cell>
          <cell r="AY25">
            <v>-0.10199999999999987</v>
          </cell>
          <cell r="AZ25">
            <v>-2E-3</v>
          </cell>
          <cell r="BA25">
            <v>-0.19</v>
          </cell>
          <cell r="BB25">
            <v>-0.20099999999999998</v>
          </cell>
          <cell r="BC25">
            <v>-0.23499999999999999</v>
          </cell>
          <cell r="BD25">
            <v>-0.21299999999999999</v>
          </cell>
          <cell r="BE25">
            <v>-0.10399999999999998</v>
          </cell>
          <cell r="BF25">
            <v>-0.222</v>
          </cell>
          <cell r="BG25">
            <v>-0.13900000000000001</v>
          </cell>
          <cell r="BH25">
            <v>-0.24299999999999999</v>
          </cell>
          <cell r="BI25">
            <v>-0.24299999999999999</v>
          </cell>
          <cell r="BJ25">
            <v>0</v>
          </cell>
          <cell r="BK25">
            <v>0</v>
          </cell>
          <cell r="BL25">
            <v>0</v>
          </cell>
          <cell r="BW25">
            <v>0</v>
          </cell>
          <cell r="BX25">
            <v>-0.10199999999999999</v>
          </cell>
          <cell r="BY25">
            <v>-0.13800000000000001</v>
          </cell>
          <cell r="BZ25">
            <v>-0.23300000000000001</v>
          </cell>
          <cell r="CA25">
            <v>-0.24299999999999999</v>
          </cell>
          <cell r="CB25">
            <v>-0.37</v>
          </cell>
          <cell r="CC25">
            <v>-0.60899999999999999</v>
          </cell>
          <cell r="CD25">
            <v>-0.43599999999999983</v>
          </cell>
          <cell r="CE25">
            <v>-0.75299999999999989</v>
          </cell>
          <cell r="CF25">
            <v>-0.84699999999999998</v>
          </cell>
          <cell r="CG25">
            <v>0</v>
          </cell>
          <cell r="CH25">
            <v>0</v>
          </cell>
        </row>
        <row r="27">
          <cell r="A27" t="str">
            <v>Earnings per Share (U.S.$)</v>
          </cell>
          <cell r="AH27">
            <v>0</v>
          </cell>
          <cell r="AI27">
            <v>0</v>
          </cell>
          <cell r="AJ27">
            <v>0</v>
          </cell>
          <cell r="AK27">
            <v>0</v>
          </cell>
          <cell r="AL27">
            <v>-0.10694221862177053</v>
          </cell>
          <cell r="AM27">
            <v>-0.12201919559650928</v>
          </cell>
          <cell r="AN27">
            <v>-0.18151694459386766</v>
          </cell>
          <cell r="AO27">
            <v>-0.15729903536977502</v>
          </cell>
          <cell r="AP27">
            <v>-0.1180753714454392</v>
          </cell>
          <cell r="AQ27">
            <v>-9.0781557144623742E-2</v>
          </cell>
          <cell r="AR27">
            <v>-8.9020897242513122E-2</v>
          </cell>
          <cell r="AS27">
            <v>-0.16660642384606963</v>
          </cell>
          <cell r="AT27">
            <v>-7.8337171444453305E-2</v>
          </cell>
          <cell r="AU27">
            <v>-7.9599854732741213E-2</v>
          </cell>
          <cell r="AV27">
            <v>-7.2855168948624538E-2</v>
          </cell>
          <cell r="AW27">
            <v>-0.10016055329134246</v>
          </cell>
          <cell r="AX27">
            <v>-0.11592600340695121</v>
          </cell>
          <cell r="AY27">
            <v>-7.3386281588447691E-2</v>
          </cell>
          <cell r="AZ27">
            <v>-6.586522180833046E-2</v>
          </cell>
          <cell r="BA27">
            <v>-0.12040691533715077</v>
          </cell>
          <cell r="BB27">
            <v>-0.11601575319986882</v>
          </cell>
          <cell r="BC27">
            <v>-7.886299339889552E-2</v>
          </cell>
          <cell r="BD27">
            <v>-0.11263780156574531</v>
          </cell>
          <cell r="BE27">
            <v>-9.3349013458774277E-2</v>
          </cell>
          <cell r="BF27">
            <v>-9.1228790717971048E-2</v>
          </cell>
          <cell r="BG27">
            <v>-8.7016958576591433E-2</v>
          </cell>
          <cell r="BH27">
            <v>-6.2587342782990607E-2</v>
          </cell>
          <cell r="BI27">
            <v>-0.11238506843582288</v>
          </cell>
          <cell r="BJ27">
            <v>-5.3625085631041673E-2</v>
          </cell>
          <cell r="BK27">
            <v>-1.6786952186506197E-2</v>
          </cell>
          <cell r="BL27">
            <v>2.7498040679232002E-2</v>
          </cell>
          <cell r="BM27">
            <v>5.0329208620624545E-2</v>
          </cell>
          <cell r="BN27">
            <v>6.6627370300423815E-4</v>
          </cell>
          <cell r="BO27">
            <v>1.019036238181832E-2</v>
          </cell>
          <cell r="BP27">
            <v>4.7392085927984891E-2</v>
          </cell>
          <cell r="BQ27">
            <v>5.3203468760150308E-2</v>
          </cell>
          <cell r="BW27" t="e">
            <v>#DIV/0!</v>
          </cell>
          <cell r="BX27">
            <v>-0.50745821812866521</v>
          </cell>
          <cell r="BY27">
            <v>-0.97427927372629186</v>
          </cell>
          <cell r="BZ27">
            <v>-0.57512811933148988</v>
          </cell>
          <cell r="CA27">
            <v>-0.56777739418192241</v>
          </cell>
          <cell r="CB27">
            <v>-0.46448424967864566</v>
          </cell>
          <cell r="CC27">
            <v>-0.33095274841716149</v>
          </cell>
          <cell r="CD27">
            <v>-0.37558442214088011</v>
          </cell>
          <cell r="CE27">
            <v>-0.40086556162328391</v>
          </cell>
          <cell r="CF27">
            <v>-0.35348531573063258</v>
          </cell>
          <cell r="CG27">
            <v>7.415211482308677E-3</v>
          </cell>
          <cell r="CH27">
            <v>0.11305790083667784</v>
          </cell>
        </row>
        <row r="28">
          <cell r="A28" t="str">
            <v>Shares O/S</v>
          </cell>
          <cell r="AH28">
            <v>22.713200000000001</v>
          </cell>
          <cell r="AI28">
            <v>22.713200000000001</v>
          </cell>
          <cell r="AJ28">
            <v>22.713200000000001</v>
          </cell>
          <cell r="AK28">
            <v>22.713200000000001</v>
          </cell>
          <cell r="AL28">
            <v>22.713200000000001</v>
          </cell>
          <cell r="AM28">
            <v>22.9636</v>
          </cell>
          <cell r="AN28">
            <v>23.237500000000001</v>
          </cell>
          <cell r="AO28">
            <v>23.324999999999999</v>
          </cell>
          <cell r="AP28">
            <v>23.3749</v>
          </cell>
          <cell r="AQ28">
            <v>23.451899999999998</v>
          </cell>
          <cell r="AR28">
            <v>23.601199999999999</v>
          </cell>
          <cell r="AS28">
            <v>23.7926</v>
          </cell>
          <cell r="AT28">
            <v>25.186</v>
          </cell>
          <cell r="AU28">
            <v>30.289000000000001</v>
          </cell>
          <cell r="AV28">
            <v>31.844000000000001</v>
          </cell>
          <cell r="AW28">
            <v>32.387999999999998</v>
          </cell>
          <cell r="AX28">
            <v>33.460999999999999</v>
          </cell>
          <cell r="AY28">
            <v>34.625</v>
          </cell>
          <cell r="AZ28">
            <v>35.436</v>
          </cell>
          <cell r="BA28">
            <v>35.978000000000002</v>
          </cell>
          <cell r="BB28">
            <v>36.564</v>
          </cell>
          <cell r="BC28">
            <v>37.115000000000002</v>
          </cell>
          <cell r="BD28">
            <v>37.554000000000002</v>
          </cell>
          <cell r="BE28">
            <v>38.265000000000001</v>
          </cell>
          <cell r="BF28">
            <v>38.957000000000001</v>
          </cell>
          <cell r="BG28">
            <v>39.567</v>
          </cell>
          <cell r="BH28">
            <v>40.072000000000003</v>
          </cell>
          <cell r="BI28">
            <v>40.622</v>
          </cell>
          <cell r="BJ28">
            <v>41.372</v>
          </cell>
          <cell r="BK28">
            <v>42.122</v>
          </cell>
          <cell r="BL28">
            <v>42.872</v>
          </cell>
          <cell r="BM28">
            <v>43.622</v>
          </cell>
          <cell r="BN28">
            <v>44.372</v>
          </cell>
          <cell r="BO28">
            <v>45.122</v>
          </cell>
          <cell r="BP28">
            <v>45.872</v>
          </cell>
          <cell r="BQ28">
            <v>46.622</v>
          </cell>
          <cell r="BX28">
            <v>22.713200000000001</v>
          </cell>
          <cell r="BY28">
            <v>22.713200000000001</v>
          </cell>
          <cell r="BZ28">
            <v>22.713200000000001</v>
          </cell>
          <cell r="CA28">
            <v>23.059825</v>
          </cell>
          <cell r="CB28">
            <v>23.555149999999998</v>
          </cell>
          <cell r="CC28">
            <v>29.926749999999998</v>
          </cell>
          <cell r="CD28">
            <v>34.875</v>
          </cell>
          <cell r="CE28">
            <v>37.374499999999998</v>
          </cell>
          <cell r="CF28">
            <v>39.804500000000004</v>
          </cell>
          <cell r="CG28">
            <v>42.497</v>
          </cell>
          <cell r="CH28">
            <v>45.497</v>
          </cell>
        </row>
        <row r="96">
          <cell r="A96" t="str">
            <v>DSO (based on recognized rev.)</v>
          </cell>
          <cell r="AH96" t="e">
            <v>#DIV/0!</v>
          </cell>
          <cell r="AI96" t="e">
            <v>#DIV/0!</v>
          </cell>
          <cell r="AJ96" t="e">
            <v>#DIV/0!</v>
          </cell>
          <cell r="AK96" t="e">
            <v>#DIV/0!</v>
          </cell>
          <cell r="AL96">
            <v>67.915375286349544</v>
          </cell>
          <cell r="AM96">
            <v>68.403274002858268</v>
          </cell>
          <cell r="AN96">
            <v>64.850136239782017</v>
          </cell>
          <cell r="AO96">
            <v>64.285714285714292</v>
          </cell>
          <cell r="AP96">
            <v>57.504925190351948</v>
          </cell>
          <cell r="AQ96">
            <v>53.87323943661972</v>
          </cell>
          <cell r="AR96">
            <v>55.029776432685736</v>
          </cell>
          <cell r="AS96">
            <v>62.624388524084445</v>
          </cell>
          <cell r="AT96">
            <v>52.40099110443154</v>
          </cell>
          <cell r="AU96">
            <v>42.451913811047291</v>
          </cell>
          <cell r="AV96">
            <v>56.760079751883026</v>
          </cell>
          <cell r="AW96">
            <v>56.907745471046105</v>
          </cell>
          <cell r="AX96">
            <v>60.101417240930957</v>
          </cell>
          <cell r="AY96">
            <v>59.536242812706192</v>
          </cell>
          <cell r="AZ96">
            <v>57.075906442918004</v>
          </cell>
          <cell r="BA96">
            <v>57.78803536009012</v>
          </cell>
          <cell r="BB96">
            <v>47.09699325590109</v>
          </cell>
          <cell r="BC96">
            <v>50.962757015388597</v>
          </cell>
          <cell r="BD96">
            <v>58.621375047206378</v>
          </cell>
          <cell r="BE96">
            <v>65.524433213510335</v>
          </cell>
          <cell r="BF96">
            <v>50.086387479874652</v>
          </cell>
          <cell r="BG96">
            <v>62.73911811915778</v>
          </cell>
          <cell r="BH96">
            <v>49.975126176806604</v>
          </cell>
          <cell r="BI96">
            <v>58</v>
          </cell>
          <cell r="BJ96">
            <v>48</v>
          </cell>
          <cell r="BK96">
            <v>50</v>
          </cell>
          <cell r="BL96">
            <v>51</v>
          </cell>
          <cell r="BM96">
            <v>53</v>
          </cell>
          <cell r="BN96">
            <v>48</v>
          </cell>
          <cell r="BO96">
            <v>48</v>
          </cell>
          <cell r="BP96">
            <v>47</v>
          </cell>
          <cell r="BQ96">
            <v>46</v>
          </cell>
          <cell r="CC96">
            <v>52.130182534601985</v>
          </cell>
          <cell r="CD96">
            <v>58.625400464161316</v>
          </cell>
          <cell r="CE96">
            <v>55.551389633001605</v>
          </cell>
          <cell r="CF96">
            <v>55.200157943959759</v>
          </cell>
          <cell r="CG96">
            <v>50.5</v>
          </cell>
          <cell r="CH96">
            <v>47.25</v>
          </cell>
        </row>
        <row r="97">
          <cell r="A97" t="str">
            <v>Total Cash &amp; Equivalents ($Mil)</v>
          </cell>
          <cell r="AH97">
            <v>0</v>
          </cell>
          <cell r="AI97">
            <v>0</v>
          </cell>
          <cell r="AJ97">
            <v>0</v>
          </cell>
          <cell r="AK97">
            <v>11.317</v>
          </cell>
          <cell r="AL97">
            <v>10.4</v>
          </cell>
          <cell r="AM97">
            <v>11.6</v>
          </cell>
          <cell r="AN97">
            <v>13</v>
          </cell>
          <cell r="AO97">
            <v>12.747</v>
          </cell>
          <cell r="AP97">
            <v>16.021000000000001</v>
          </cell>
          <cell r="AQ97">
            <v>13.751999999999999</v>
          </cell>
          <cell r="AR97">
            <v>12.108000000000001</v>
          </cell>
          <cell r="AS97">
            <v>12.713999999999999</v>
          </cell>
          <cell r="AT97">
            <v>13.190999999999999</v>
          </cell>
          <cell r="AU97">
            <v>81.353999999999999</v>
          </cell>
          <cell r="AV97">
            <v>80.652999999999992</v>
          </cell>
          <cell r="AW97">
            <v>86.807999999999993</v>
          </cell>
          <cell r="AX97">
            <v>90.242000000000004</v>
          </cell>
          <cell r="AY97">
            <v>89.683999999999997</v>
          </cell>
          <cell r="AZ97">
            <v>71.588000000000008</v>
          </cell>
          <cell r="BA97">
            <v>251.80099999999999</v>
          </cell>
          <cell r="BB97">
            <v>257.24700000000001</v>
          </cell>
          <cell r="BC97">
            <v>226.845</v>
          </cell>
          <cell r="BD97">
            <v>232.79199999999997</v>
          </cell>
          <cell r="BE97">
            <v>214.98599999999999</v>
          </cell>
          <cell r="BF97">
            <v>193.535</v>
          </cell>
          <cell r="BG97">
            <v>410.654</v>
          </cell>
          <cell r="BH97">
            <v>416.37</v>
          </cell>
          <cell r="BI97">
            <v>412.42718037296294</v>
          </cell>
          <cell r="BJ97">
            <v>406.58995170951266</v>
          </cell>
          <cell r="BK97">
            <v>390.36492792163097</v>
          </cell>
          <cell r="BL97">
            <v>379.2753868830485</v>
          </cell>
          <cell r="BM97">
            <v>375.86608220802179</v>
          </cell>
          <cell r="BN97">
            <v>382.47824133628251</v>
          </cell>
          <cell r="BO97">
            <v>384.93705816460431</v>
          </cell>
          <cell r="BP97">
            <v>389.80942240390306</v>
          </cell>
          <cell r="BQ97">
            <v>398.22168084843037</v>
          </cell>
          <cell r="BV97">
            <v>0</v>
          </cell>
          <cell r="BW97">
            <v>0</v>
          </cell>
          <cell r="BX97">
            <v>0</v>
          </cell>
          <cell r="BY97">
            <v>0</v>
          </cell>
          <cell r="BZ97">
            <v>11.317</v>
          </cell>
          <cell r="CA97">
            <v>12.747</v>
          </cell>
          <cell r="CB97">
            <v>12.713999999999999</v>
          </cell>
          <cell r="CC97">
            <v>86.807999999999993</v>
          </cell>
          <cell r="CD97">
            <v>251.80099999999999</v>
          </cell>
          <cell r="CE97">
            <v>214.98599999999999</v>
          </cell>
          <cell r="CF97">
            <v>412.42718037296294</v>
          </cell>
          <cell r="CG97">
            <v>375.86608220802179</v>
          </cell>
          <cell r="CH97">
            <v>398.22168084843037</v>
          </cell>
        </row>
        <row r="100">
          <cell r="A100" t="str">
            <v xml:space="preserve">     Debt</v>
          </cell>
          <cell r="AH100">
            <v>0</v>
          </cell>
          <cell r="AI100">
            <v>0</v>
          </cell>
          <cell r="AJ100">
            <v>0</v>
          </cell>
          <cell r="AK100">
            <v>0.74099999999999999</v>
          </cell>
          <cell r="AL100">
            <v>0.60000000000000009</v>
          </cell>
          <cell r="AM100">
            <v>0.5</v>
          </cell>
          <cell r="AN100">
            <v>0.4</v>
          </cell>
          <cell r="AO100">
            <v>0.26400000000000001</v>
          </cell>
          <cell r="AP100">
            <v>0.2</v>
          </cell>
          <cell r="AQ100">
            <v>1.9</v>
          </cell>
          <cell r="AR100">
            <v>3.0169999999999999</v>
          </cell>
          <cell r="AS100">
            <v>4.9809999999999999</v>
          </cell>
          <cell r="AT100">
            <v>4.9530000000000003</v>
          </cell>
          <cell r="AU100">
            <v>4.7969999999999997</v>
          </cell>
          <cell r="AV100">
            <v>4.4249999999999998</v>
          </cell>
          <cell r="AW100">
            <v>4.0120000000000005</v>
          </cell>
          <cell r="AX100">
            <v>3.5979999999999999</v>
          </cell>
          <cell r="AY100">
            <v>3.2029999999999998</v>
          </cell>
          <cell r="AZ100">
            <v>2.7770000000000001</v>
          </cell>
          <cell r="BA100">
            <v>155.27799999999999</v>
          </cell>
          <cell r="BB100">
            <v>156.99699999999999</v>
          </cell>
          <cell r="BC100">
            <v>158.74299999999999</v>
          </cell>
          <cell r="BD100">
            <v>160.51900000000001</v>
          </cell>
          <cell r="BE100">
            <v>162.32499999999999</v>
          </cell>
          <cell r="BF100">
            <v>164.16200000000001</v>
          </cell>
          <cell r="BG100">
            <v>335.73</v>
          </cell>
          <cell r="BH100">
            <v>340.70500000000004</v>
          </cell>
          <cell r="BI100">
            <v>345.59716711273177</v>
          </cell>
          <cell r="BJ100">
            <v>345.65607298823267</v>
          </cell>
          <cell r="BK100">
            <v>345.15318792111418</v>
          </cell>
          <cell r="BL100">
            <v>343.87853052389738</v>
          </cell>
          <cell r="BM100">
            <v>340.93856002139398</v>
          </cell>
          <cell r="BN100">
            <v>339.96452436422322</v>
          </cell>
          <cell r="BO100">
            <v>339.13629761143153</v>
          </cell>
          <cell r="BP100">
            <v>338.52512351088751</v>
          </cell>
          <cell r="BQ100">
            <v>343.92459872261492</v>
          </cell>
          <cell r="BV100">
            <v>0</v>
          </cell>
          <cell r="BW100">
            <v>0</v>
          </cell>
          <cell r="BX100">
            <v>0</v>
          </cell>
          <cell r="BY100">
            <v>0</v>
          </cell>
          <cell r="BZ100">
            <v>0.74099999999999999</v>
          </cell>
          <cell r="CA100">
            <v>0.26400000000000001</v>
          </cell>
          <cell r="CB100">
            <v>4.9809999999999999</v>
          </cell>
          <cell r="CC100">
            <v>4.0120000000000005</v>
          </cell>
          <cell r="CD100">
            <v>155.27799999999999</v>
          </cell>
          <cell r="CE100">
            <v>162.32499999999999</v>
          </cell>
          <cell r="CF100">
            <v>345.59716711273177</v>
          </cell>
          <cell r="CG100">
            <v>340.93856002139398</v>
          </cell>
          <cell r="CH100">
            <v>343.92459872261492</v>
          </cell>
        </row>
        <row r="102">
          <cell r="A102" t="str">
            <v>Deferred Revenues</v>
          </cell>
          <cell r="AG102">
            <v>9</v>
          </cell>
          <cell r="AH102">
            <v>0</v>
          </cell>
          <cell r="AI102">
            <v>0</v>
          </cell>
          <cell r="AJ102">
            <v>0</v>
          </cell>
          <cell r="AK102">
            <v>57.345999999999997</v>
          </cell>
          <cell r="AL102">
            <v>59.400000000000006</v>
          </cell>
          <cell r="AM102">
            <v>62.3</v>
          </cell>
          <cell r="AN102">
            <v>65.7</v>
          </cell>
          <cell r="AO102">
            <v>69.100999999999999</v>
          </cell>
          <cell r="AP102">
            <v>69.5</v>
          </cell>
          <cell r="AQ102">
            <v>71.2</v>
          </cell>
          <cell r="AR102">
            <v>72.259</v>
          </cell>
          <cell r="AS102">
            <v>76.239999999999995</v>
          </cell>
          <cell r="AT102">
            <v>75.503</v>
          </cell>
          <cell r="AU102">
            <v>75.906000000000006</v>
          </cell>
          <cell r="AV102">
            <v>78.835999999999999</v>
          </cell>
          <cell r="AW102">
            <v>86.859000000000009</v>
          </cell>
          <cell r="AX102">
            <v>91.179999999999993</v>
          </cell>
          <cell r="AY102">
            <v>94.474000000000004</v>
          </cell>
          <cell r="AZ102">
            <v>101.328</v>
          </cell>
          <cell r="BA102">
            <v>123.983</v>
          </cell>
          <cell r="BB102">
            <v>127.893</v>
          </cell>
          <cell r="BC102">
            <v>131.56299999999999</v>
          </cell>
          <cell r="BD102">
            <v>143.38400000000001</v>
          </cell>
          <cell r="BE102">
            <v>162.67500000000001</v>
          </cell>
          <cell r="BF102">
            <v>171.96600000000001</v>
          </cell>
          <cell r="BG102">
            <v>183.94099999999997</v>
          </cell>
          <cell r="BH102">
            <v>199.756</v>
          </cell>
          <cell r="BI102">
            <v>218.17724000000001</v>
          </cell>
          <cell r="BJ102">
            <v>234.80760840000005</v>
          </cell>
          <cell r="BK102">
            <v>249.11437476600005</v>
          </cell>
          <cell r="BL102">
            <v>267.24988100871008</v>
          </cell>
          <cell r="BM102">
            <v>293.97486910958105</v>
          </cell>
          <cell r="BN102">
            <v>317.49285863834757</v>
          </cell>
          <cell r="BO102">
            <v>342.89228732941541</v>
          </cell>
          <cell r="BP102">
            <v>370.3236703157686</v>
          </cell>
          <cell r="BQ102">
            <v>399.94956394103014</v>
          </cell>
          <cell r="BV102">
            <v>0</v>
          </cell>
          <cell r="BW102">
            <v>0</v>
          </cell>
          <cell r="BX102">
            <v>34.292000000000002</v>
          </cell>
          <cell r="BY102">
            <v>47.69</v>
          </cell>
          <cell r="BZ102">
            <v>57.345999999999997</v>
          </cell>
          <cell r="CA102">
            <v>69.100999999999999</v>
          </cell>
          <cell r="CB102">
            <v>76.239999999999995</v>
          </cell>
          <cell r="CC102">
            <v>86.859000000000009</v>
          </cell>
          <cell r="CD102">
            <v>123.983</v>
          </cell>
          <cell r="CE102">
            <v>162.67500000000001</v>
          </cell>
          <cell r="CF102">
            <v>218.17724000000001</v>
          </cell>
          <cell r="CG102">
            <v>293.97486910958105</v>
          </cell>
          <cell r="CH102">
            <v>399.94956394103014</v>
          </cell>
        </row>
        <row r="103">
          <cell r="A103" t="str">
            <v>Billings</v>
          </cell>
          <cell r="AH103">
            <v>-9</v>
          </cell>
          <cell r="AI103">
            <v>0</v>
          </cell>
          <cell r="AJ103">
            <v>0</v>
          </cell>
          <cell r="AK103">
            <v>57.345999999999997</v>
          </cell>
          <cell r="AL103">
            <v>16.896000000000008</v>
          </cell>
          <cell r="AM103">
            <v>18.29399999999999</v>
          </cell>
          <cell r="AN103">
            <v>19.915000000000006</v>
          </cell>
          <cell r="AO103">
            <v>21.439999999999994</v>
          </cell>
          <cell r="AP103">
            <v>19.180000000000003</v>
          </cell>
          <cell r="AQ103">
            <v>21.580000000000002</v>
          </cell>
          <cell r="AR103">
            <v>21.544999999999998</v>
          </cell>
          <cell r="AS103">
            <v>26.671999999999993</v>
          </cell>
          <cell r="AT103">
            <v>23.882000000000005</v>
          </cell>
          <cell r="AU103">
            <v>26.346000000000007</v>
          </cell>
          <cell r="AV103">
            <v>30.013999999999992</v>
          </cell>
          <cell r="AW103">
            <v>36.672000000000011</v>
          </cell>
          <cell r="AX103">
            <v>35.084999999999987</v>
          </cell>
          <cell r="AY103">
            <v>35.121000000000009</v>
          </cell>
          <cell r="AZ103">
            <v>41.356999999999999</v>
          </cell>
          <cell r="BA103">
            <v>63.491999999999997</v>
          </cell>
          <cell r="BB103">
            <v>46.613999999999997</v>
          </cell>
          <cell r="BC103">
            <v>50.067999999999984</v>
          </cell>
          <cell r="BD103">
            <v>62.132000000000026</v>
          </cell>
          <cell r="BE103">
            <v>75.484999999999999</v>
          </cell>
          <cell r="BF103">
            <v>67.054000000000002</v>
          </cell>
          <cell r="BG103">
            <v>75.520999999999958</v>
          </cell>
          <cell r="BH103">
            <v>84.964000000000027</v>
          </cell>
          <cell r="BI103">
            <v>91.529840000000021</v>
          </cell>
          <cell r="BJ103">
            <v>93.23036840000006</v>
          </cell>
          <cell r="BK103">
            <v>95.006766366000008</v>
          </cell>
          <cell r="BL103">
            <v>106.14750624271005</v>
          </cell>
          <cell r="BM103">
            <v>121.90744610087098</v>
          </cell>
          <cell r="BN103">
            <v>119.27896224303068</v>
          </cell>
          <cell r="BO103">
            <v>124.44177866864176</v>
          </cell>
          <cell r="BP103">
            <v>133.87389329229433</v>
          </cell>
          <cell r="BQ103">
            <v>142.32234574579724</v>
          </cell>
          <cell r="BV103">
            <v>0</v>
          </cell>
          <cell r="BW103">
            <v>0</v>
          </cell>
          <cell r="BX103">
            <v>0</v>
          </cell>
          <cell r="BY103">
            <v>51.640999999999991</v>
          </cell>
          <cell r="BZ103">
            <v>58.183999999999997</v>
          </cell>
          <cell r="CA103">
            <v>76.544999999999987</v>
          </cell>
          <cell r="CB103">
            <v>88.977000000000004</v>
          </cell>
          <cell r="CC103">
            <v>116.91400000000002</v>
          </cell>
          <cell r="CD103">
            <v>175.05500000000001</v>
          </cell>
          <cell r="CE103">
            <v>234.29900000000004</v>
          </cell>
          <cell r="CF103">
            <v>319.06884000000002</v>
          </cell>
          <cell r="CG103">
            <v>416.29208710958108</v>
          </cell>
          <cell r="CH103">
            <v>519.91697994976403</v>
          </cell>
        </row>
        <row r="105">
          <cell r="A105" t="str">
            <v>Cash Flow From Operations</v>
          </cell>
          <cell r="AG105">
            <v>-7.5550000000000033</v>
          </cell>
          <cell r="AH105">
            <v>0</v>
          </cell>
          <cell r="AI105">
            <v>0</v>
          </cell>
          <cell r="AJ105">
            <v>0</v>
          </cell>
          <cell r="AK105">
            <v>-3.706999999999999</v>
          </cell>
          <cell r="AL105">
            <v>0.50566666666666693</v>
          </cell>
          <cell r="AM105">
            <v>0.50566666666666693</v>
          </cell>
          <cell r="AN105">
            <v>0.50566666666666515</v>
          </cell>
          <cell r="AO105">
            <v>1.8919999999999995</v>
          </cell>
          <cell r="AP105">
            <v>-0.4420000000000005</v>
          </cell>
          <cell r="AQ105">
            <v>1.0649999999999995</v>
          </cell>
          <cell r="AR105">
            <v>-0.95099999999999829</v>
          </cell>
          <cell r="AS105">
            <v>0.16099999999999959</v>
          </cell>
          <cell r="AT105">
            <v>0.23599999999999965</v>
          </cell>
          <cell r="AU105">
            <v>0.87399999999999922</v>
          </cell>
          <cell r="AV105">
            <v>0.8220000000000014</v>
          </cell>
          <cell r="AW105">
            <v>4.6749999999999972</v>
          </cell>
          <cell r="AX105">
            <v>1.1950000000000016</v>
          </cell>
          <cell r="AY105">
            <v>-0.73699999999999977</v>
          </cell>
          <cell r="AZ105">
            <v>7.0059999999999993</v>
          </cell>
          <cell r="BA105">
            <v>5.1269999999999989</v>
          </cell>
          <cell r="BB105">
            <v>4.1189999999999998</v>
          </cell>
          <cell r="BC105">
            <v>-6.9409999999999989</v>
          </cell>
          <cell r="BD105">
            <v>9.3649999999999984</v>
          </cell>
          <cell r="BE105">
            <v>15.451000000000002</v>
          </cell>
          <cell r="BF105">
            <v>11.887000000000002</v>
          </cell>
          <cell r="BG105">
            <v>1.665999999999995</v>
          </cell>
          <cell r="BH105">
            <v>23.936</v>
          </cell>
          <cell r="BI105">
            <v>7.258180372962947</v>
          </cell>
          <cell r="BJ105">
            <v>17.613771336549696</v>
          </cell>
          <cell r="BK105">
            <v>7.2259762121183124</v>
          </cell>
          <cell r="BL105">
            <v>12.361458961417512</v>
          </cell>
          <cell r="BM105">
            <v>20.041695324973315</v>
          </cell>
          <cell r="BN105">
            <v>26.313159128260722</v>
          </cell>
          <cell r="BO105">
            <v>22.159816828321816</v>
          </cell>
          <cell r="BP105">
            <v>24.573364239298762</v>
          </cell>
          <cell r="BQ105">
            <v>28.113258444527297</v>
          </cell>
          <cell r="BV105">
            <v>0</v>
          </cell>
          <cell r="BW105">
            <v>0</v>
          </cell>
          <cell r="BX105">
            <v>0</v>
          </cell>
          <cell r="BY105">
            <v>-7.5550000000000033</v>
          </cell>
          <cell r="BZ105">
            <v>-3.706999999999999</v>
          </cell>
          <cell r="CA105">
            <v>3.4089999999999985</v>
          </cell>
          <cell r="CB105">
            <v>-0.1669999999999997</v>
          </cell>
          <cell r="CC105">
            <v>6.6069999999999975</v>
          </cell>
          <cell r="CD105">
            <v>12.591000000000001</v>
          </cell>
          <cell r="CE105">
            <v>21.994</v>
          </cell>
          <cell r="CF105">
            <v>44.747180372962944</v>
          </cell>
          <cell r="CG105">
            <v>57.242901835058831</v>
          </cell>
          <cell r="CH105">
            <v>101.1595986404086</v>
          </cell>
        </row>
        <row r="106">
          <cell r="A106" t="str">
            <v xml:space="preserve">     Cash Flow From Ops/Share</v>
          </cell>
          <cell r="AH106">
            <v>0</v>
          </cell>
          <cell r="AI106">
            <v>0</v>
          </cell>
          <cell r="AJ106">
            <v>0</v>
          </cell>
          <cell r="AK106">
            <v>-0.16320905904936331</v>
          </cell>
          <cell r="AL106">
            <v>2.226311865640539E-2</v>
          </cell>
          <cell r="AM106">
            <v>2.2020356854616303E-2</v>
          </cell>
          <cell r="AN106">
            <v>2.1760803299264771E-2</v>
          </cell>
          <cell r="AO106">
            <v>8.1114683815648431E-2</v>
          </cell>
          <cell r="AP106">
            <v>-1.8909171803943567E-2</v>
          </cell>
          <cell r="AQ106">
            <v>4.5412098806493273E-2</v>
          </cell>
          <cell r="AR106">
            <v>-4.0294561293493479E-2</v>
          </cell>
          <cell r="AS106">
            <v>6.7668098484402542E-3</v>
          </cell>
          <cell r="AT106">
            <v>9.3702850790121361E-3</v>
          </cell>
          <cell r="AU106">
            <v>2.8855360031694647E-2</v>
          </cell>
          <cell r="AV106">
            <v>2.5813340032659258E-2</v>
          </cell>
          <cell r="AW106">
            <v>0.14434358404347281</v>
          </cell>
          <cell r="AX106">
            <v>3.5713218373629049E-2</v>
          </cell>
          <cell r="AY106">
            <v>-2.1285198555956671E-2</v>
          </cell>
          <cell r="AZ106">
            <v>0.19770854498250365</v>
          </cell>
          <cell r="BA106">
            <v>0.14250375229306794</v>
          </cell>
          <cell r="BB106">
            <v>0.11265178864456842</v>
          </cell>
          <cell r="BC106">
            <v>-0.18701333692577121</v>
          </cell>
          <cell r="BD106">
            <v>0.2493742344357458</v>
          </cell>
          <cell r="BE106">
            <v>0.40378936364824258</v>
          </cell>
          <cell r="BF106">
            <v>0.3051312986112894</v>
          </cell>
          <cell r="BG106">
            <v>4.2105795233401445E-2</v>
          </cell>
          <cell r="BH106">
            <v>0.59732481533240167</v>
          </cell>
          <cell r="BI106">
            <v>0.17867609603079482</v>
          </cell>
          <cell r="BJ106">
            <v>0.42574135493932364</v>
          </cell>
          <cell r="BK106">
            <v>0.17154874441190618</v>
          </cell>
          <cell r="BL106">
            <v>0.2883340866163816</v>
          </cell>
          <cell r="BM106">
            <v>0.45944008355814303</v>
          </cell>
          <cell r="BN106">
            <v>0.59301269107231414</v>
          </cell>
          <cell r="BO106">
            <v>0.49110892310451254</v>
          </cell>
          <cell r="BP106">
            <v>0.53569419775241456</v>
          </cell>
          <cell r="BQ106">
            <v>0.60300412776215728</v>
          </cell>
          <cell r="BV106">
            <v>0</v>
          </cell>
          <cell r="BW106">
            <v>0</v>
          </cell>
          <cell r="BX106">
            <v>0</v>
          </cell>
          <cell r="BY106">
            <v>0</v>
          </cell>
          <cell r="BZ106">
            <v>-0.16320905904936331</v>
          </cell>
          <cell r="CA106">
            <v>0.14715896262593489</v>
          </cell>
          <cell r="CB106">
            <v>-7.0248244425035189E-3</v>
          </cell>
          <cell r="CC106">
            <v>0.20838256918683884</v>
          </cell>
          <cell r="CD106">
            <v>0.35464031709324395</v>
          </cell>
          <cell r="CE106">
            <v>0.5788020498027856</v>
          </cell>
          <cell r="CF106">
            <v>1.1232380052078872</v>
          </cell>
          <cell r="CG106">
            <v>1.3450642695257544</v>
          </cell>
          <cell r="CH106">
            <v>2.2228199396913983</v>
          </cell>
        </row>
        <row r="108">
          <cell r="A108" t="str">
            <v>Free Cash Flow</v>
          </cell>
          <cell r="AG108">
            <v>-10.423000000000004</v>
          </cell>
          <cell r="AH108">
            <v>0</v>
          </cell>
          <cell r="AI108">
            <v>0</v>
          </cell>
          <cell r="AJ108">
            <v>0</v>
          </cell>
          <cell r="AK108">
            <v>-6.198999999999999</v>
          </cell>
          <cell r="AL108">
            <v>-0.16899999999999971</v>
          </cell>
          <cell r="AM108">
            <v>-0.16899999999999971</v>
          </cell>
          <cell r="AN108">
            <v>-0.1690000000000017</v>
          </cell>
          <cell r="AO108">
            <v>0.49099999999999944</v>
          </cell>
          <cell r="AP108">
            <v>-1.0950000000000006</v>
          </cell>
          <cell r="AQ108">
            <v>1.5579999999999994</v>
          </cell>
          <cell r="AR108">
            <v>-4.5549999999999979</v>
          </cell>
          <cell r="AS108">
            <v>-1.0050000000000003</v>
          </cell>
          <cell r="AT108">
            <v>-1.0510000000000002</v>
          </cell>
          <cell r="AU108">
            <v>-0.28200000000000092</v>
          </cell>
          <cell r="AV108">
            <v>-0.61899999999999844</v>
          </cell>
          <cell r="AW108">
            <v>2.6549999999999971</v>
          </cell>
          <cell r="AX108">
            <v>0.20700000000000163</v>
          </cell>
          <cell r="AY108">
            <v>-1.7389999999999999</v>
          </cell>
          <cell r="AZ108">
            <v>4.4939999999999998</v>
          </cell>
          <cell r="BA108">
            <v>1.9959999999999982</v>
          </cell>
          <cell r="BB108">
            <v>1.8279999999999998</v>
          </cell>
          <cell r="BC108">
            <v>-10.672999999999998</v>
          </cell>
          <cell r="BD108">
            <v>4.9929999999999986</v>
          </cell>
          <cell r="BE108">
            <v>10.858000000000002</v>
          </cell>
          <cell r="BF108">
            <v>7.3030000000000026</v>
          </cell>
          <cell r="BG108">
            <v>-4.1770000000000049</v>
          </cell>
          <cell r="BH108">
            <v>16.236000000000001</v>
          </cell>
          <cell r="BI108">
            <v>3.758180372962947</v>
          </cell>
          <cell r="BJ108">
            <v>10.363771336549696</v>
          </cell>
          <cell r="BK108">
            <v>-2.4023787881687575E-2</v>
          </cell>
          <cell r="BL108">
            <v>5.1114589614175117</v>
          </cell>
          <cell r="BM108">
            <v>12.791695324973315</v>
          </cell>
          <cell r="BN108">
            <v>22.813159128260722</v>
          </cell>
          <cell r="BO108">
            <v>18.659816828321816</v>
          </cell>
          <cell r="BP108">
            <v>21.073364239298762</v>
          </cell>
          <cell r="BQ108">
            <v>24.613258444527297</v>
          </cell>
          <cell r="BV108">
            <v>0</v>
          </cell>
          <cell r="BW108">
            <v>0</v>
          </cell>
          <cell r="BX108">
            <v>0</v>
          </cell>
          <cell r="BY108">
            <v>-10.423000000000004</v>
          </cell>
          <cell r="BZ108">
            <v>-6.198999999999999</v>
          </cell>
          <cell r="CA108">
            <v>-1.600000000000168E-2</v>
          </cell>
          <cell r="CB108">
            <v>-5.0969999999999995</v>
          </cell>
          <cell r="CC108">
            <v>0.70299999999999763</v>
          </cell>
          <cell r="CD108">
            <v>4.9580000000000002</v>
          </cell>
          <cell r="CE108">
            <v>7.006000000000002</v>
          </cell>
          <cell r="CF108">
            <v>23.120180372962945</v>
          </cell>
          <cell r="CG108">
            <v>28.242901835058834</v>
          </cell>
          <cell r="CH108">
            <v>87.159598640408603</v>
          </cell>
        </row>
        <row r="109">
          <cell r="A109" t="str">
            <v xml:space="preserve">     Free Cash Flow/Share</v>
          </cell>
          <cell r="AH109">
            <v>0</v>
          </cell>
          <cell r="AI109">
            <v>0</v>
          </cell>
          <cell r="AJ109">
            <v>0</v>
          </cell>
          <cell r="AK109">
            <v>-0.27292499515700114</v>
          </cell>
          <cell r="AL109">
            <v>-7.4406072239930838E-3</v>
          </cell>
          <cell r="AM109">
            <v>-7.3594732533226372E-3</v>
          </cell>
          <cell r="AN109">
            <v>-7.2727272727273456E-3</v>
          </cell>
          <cell r="AO109">
            <v>2.1050375133976396E-2</v>
          </cell>
          <cell r="AP109">
            <v>-4.6845120193027591E-2</v>
          </cell>
          <cell r="AQ109">
            <v>6.6433849709405191E-2</v>
          </cell>
          <cell r="AR109">
            <v>-0.1929986610850295</v>
          </cell>
          <cell r="AS109">
            <v>-4.2240024209207916E-2</v>
          </cell>
          <cell r="AT109">
            <v>-4.1729532279838014E-2</v>
          </cell>
          <cell r="AU109">
            <v>-9.3103106738420191E-3</v>
          </cell>
          <cell r="AV109">
            <v>-1.9438512749654517E-2</v>
          </cell>
          <cell r="AW109">
            <v>8.1974805483512325E-2</v>
          </cell>
          <cell r="AX109">
            <v>6.1863064463106793E-3</v>
          </cell>
          <cell r="AY109">
            <v>-5.0223826714801439E-2</v>
          </cell>
          <cell r="AZ109">
            <v>0.12682018286488317</v>
          </cell>
          <cell r="BA109">
            <v>5.5478347879259496E-2</v>
          </cell>
          <cell r="BB109">
            <v>4.9994530138934463E-2</v>
          </cell>
          <cell r="BC109">
            <v>-0.28756567425569168</v>
          </cell>
          <cell r="BD109">
            <v>0.13295521116259248</v>
          </cell>
          <cell r="BE109">
            <v>0.28375800339736057</v>
          </cell>
          <cell r="BF109">
            <v>0.18746310034140212</v>
          </cell>
          <cell r="BG109">
            <v>-0.10556777112240011</v>
          </cell>
          <cell r="BH109">
            <v>0.40517069275304451</v>
          </cell>
          <cell r="BI109">
            <v>9.2515887276917605E-2</v>
          </cell>
          <cell r="BJ109">
            <v>0.25050206266435504</v>
          </cell>
          <cell r="BK109">
            <v>-5.7033825273461794E-4</v>
          </cell>
          <cell r="BL109">
            <v>0.11922604407113062</v>
          </cell>
          <cell r="BM109">
            <v>0.29323954254672674</v>
          </cell>
          <cell r="BN109">
            <v>0.51413411899983597</v>
          </cell>
          <cell r="BO109">
            <v>0.41354143939368415</v>
          </cell>
          <cell r="BP109">
            <v>0.45939493022538286</v>
          </cell>
          <cell r="BQ109">
            <v>0.52793227327286041</v>
          </cell>
          <cell r="BV109">
            <v>0</v>
          </cell>
          <cell r="BW109">
            <v>0</v>
          </cell>
          <cell r="BX109">
            <v>0</v>
          </cell>
          <cell r="BY109">
            <v>0</v>
          </cell>
          <cell r="BZ109">
            <v>-0.27292499515700114</v>
          </cell>
          <cell r="CA109">
            <v>-1.0224326160666736E-3</v>
          </cell>
          <cell r="CB109">
            <v>-0.21564995577785981</v>
          </cell>
          <cell r="CC109">
            <v>1.1496449780177775E-2</v>
          </cell>
          <cell r="CD109">
            <v>0.13826101047565192</v>
          </cell>
          <cell r="CE109">
            <v>0.17914207044319583</v>
          </cell>
          <cell r="CF109">
            <v>0.57958190924896413</v>
          </cell>
          <cell r="CG109">
            <v>0.66239731102947785</v>
          </cell>
          <cell r="CH109">
            <v>1.9150027618917633</v>
          </cell>
        </row>
        <row r="129">
          <cell r="A129" t="str">
            <v>Gross Margin</v>
          </cell>
          <cell r="AH129" t="str">
            <v>NA</v>
          </cell>
          <cell r="AI129" t="str">
            <v>NA</v>
          </cell>
          <cell r="AJ129" t="str">
            <v>NA</v>
          </cell>
          <cell r="AK129" t="str">
            <v>NA</v>
          </cell>
          <cell r="AL129">
            <v>0.60254682657323821</v>
          </cell>
          <cell r="AM129">
            <v>0.62063141483694939</v>
          </cell>
          <cell r="AN129">
            <v>0.6326369966696942</v>
          </cell>
          <cell r="AO129">
            <v>0.6296912245689894</v>
          </cell>
          <cell r="AP129">
            <v>0.66088067728023003</v>
          </cell>
          <cell r="AQ129">
            <v>0.68395372233400398</v>
          </cell>
          <cell r="AR129">
            <v>0.69652445572586152</v>
          </cell>
          <cell r="AS129">
            <v>0.70499316909788023</v>
          </cell>
          <cell r="AT129">
            <v>0.71213290547950769</v>
          </cell>
          <cell r="AU129">
            <v>0.72142774544193033</v>
          </cell>
          <cell r="AV129">
            <v>0.72042534337616304</v>
          </cell>
          <cell r="AW129">
            <v>0.72924011309295267</v>
          </cell>
          <cell r="AX129">
            <v>0.7245481731894422</v>
          </cell>
          <cell r="AY129">
            <v>0.72253118421466056</v>
          </cell>
          <cell r="AZ129">
            <v>0.72379213401733178</v>
          </cell>
          <cell r="BA129">
            <v>0.72316771555207282</v>
          </cell>
          <cell r="BB129">
            <v>0.7110106781566129</v>
          </cell>
          <cell r="BC129">
            <v>0.70619423251002189</v>
          </cell>
          <cell r="BD129">
            <v>0.69626920554153171</v>
          </cell>
          <cell r="BE129">
            <v>0.69284977043812512</v>
          </cell>
          <cell r="BF129">
            <v>0.71367484375811507</v>
          </cell>
          <cell r="BG129">
            <v>0.73504233153935739</v>
          </cell>
          <cell r="BH129">
            <v>0.74718361798435262</v>
          </cell>
          <cell r="BI129">
            <v>0.74070082042331553</v>
          </cell>
          <cell r="BJ129">
            <v>0.75353785900783277</v>
          </cell>
          <cell r="BK129">
            <v>0.76287484510532821</v>
          </cell>
          <cell r="BL129">
            <v>0.76652047448075267</v>
          </cell>
          <cell r="BM129">
            <v>0.76914338564360263</v>
          </cell>
          <cell r="BN129">
            <v>0.7623779163699218</v>
          </cell>
          <cell r="BO129">
            <v>0.75651782082858943</v>
          </cell>
          <cell r="BP129">
            <v>0.76486837892056891</v>
          </cell>
          <cell r="BQ129">
            <v>0.76434040734845321</v>
          </cell>
          <cell r="BR129" t="e">
            <v>#REF!</v>
          </cell>
          <cell r="BS129" t="e">
            <v>#REF!</v>
          </cell>
          <cell r="BT129" t="e">
            <v>#REF!</v>
          </cell>
          <cell r="BU129" t="e">
            <v>#REF!</v>
          </cell>
          <cell r="BV129" t="e">
            <v>#REF!</v>
          </cell>
          <cell r="BW129" t="str">
            <v>NA</v>
          </cell>
          <cell r="BX129">
            <v>0.65045510644862703</v>
          </cell>
          <cell r="BY129">
            <v>0.63156656120074262</v>
          </cell>
          <cell r="BZ129">
            <v>0.61255357731618854</v>
          </cell>
          <cell r="CA129">
            <v>0.6220713073005093</v>
          </cell>
          <cell r="CB129">
            <v>0.68763899411031537</v>
          </cell>
          <cell r="CC129">
            <v>0.72112517051601688</v>
          </cell>
          <cell r="CD129">
            <v>0.72348493087123267</v>
          </cell>
          <cell r="CE129">
            <v>0.70085937619819316</v>
          </cell>
          <cell r="CF129">
            <v>0.73511438854543798</v>
          </cell>
          <cell r="CG129">
            <v>0.76346898427345322</v>
          </cell>
          <cell r="CH129">
            <v>0.76215049148346237</v>
          </cell>
        </row>
        <row r="130">
          <cell r="A130" t="str">
            <v>Research and Development</v>
          </cell>
          <cell r="AH130" t="str">
            <v>NA</v>
          </cell>
          <cell r="AI130" t="str">
            <v>NA</v>
          </cell>
          <cell r="AJ130" t="str">
            <v>NA</v>
          </cell>
          <cell r="AK130" t="str">
            <v>NA</v>
          </cell>
          <cell r="AL130">
            <v>0.2361541571216817</v>
          </cell>
          <cell r="AM130">
            <v>0.25237105365726908</v>
          </cell>
          <cell r="AN130">
            <v>0.27865576748410537</v>
          </cell>
          <cell r="AO130">
            <v>0.25394977548644604</v>
          </cell>
          <cell r="AP130">
            <v>0.24828283903945475</v>
          </cell>
          <cell r="AQ130">
            <v>0.2312877263581489</v>
          </cell>
          <cell r="AR130">
            <v>0.20926486380943082</v>
          </cell>
          <cell r="AS130">
            <v>0.21960248556696488</v>
          </cell>
          <cell r="AT130">
            <v>0.22141435476664367</v>
          </cell>
          <cell r="AU130">
            <v>0.22094591990132212</v>
          </cell>
          <cell r="AV130">
            <v>0.21237631073696647</v>
          </cell>
          <cell r="AW130">
            <v>0.21012949841181194</v>
          </cell>
          <cell r="AX130">
            <v>0.22913145234689897</v>
          </cell>
          <cell r="AY130">
            <v>0.22069312219184969</v>
          </cell>
          <cell r="AZ130">
            <v>0.22598034953482307</v>
          </cell>
          <cell r="BA130">
            <v>0.21855180351152145</v>
          </cell>
          <cell r="BB130">
            <v>0.23161764705882357</v>
          </cell>
          <cell r="BC130">
            <v>0.21173326436484333</v>
          </cell>
          <cell r="BD130">
            <v>0.20735028125062113</v>
          </cell>
          <cell r="BE130">
            <v>0.2039185678186283</v>
          </cell>
          <cell r="BF130">
            <v>0.2033654761698665</v>
          </cell>
          <cell r="BG130">
            <v>0.20259339690932551</v>
          </cell>
          <cell r="BH130">
            <v>0.20412442696206742</v>
          </cell>
          <cell r="BI130">
            <v>0.20565296011686723</v>
          </cell>
          <cell r="BJ130">
            <v>0.20576471335153323</v>
          </cell>
          <cell r="BK130">
            <v>0.20655514250309806</v>
          </cell>
          <cell r="BL130">
            <v>0.20376766804526647</v>
          </cell>
          <cell r="BM130">
            <v>0.1990290694273848</v>
          </cell>
          <cell r="BN130">
            <v>0.20499999999999999</v>
          </cell>
          <cell r="BO130">
            <v>0.20499999999999999</v>
          </cell>
          <cell r="BP130">
            <v>0.20499999999999999</v>
          </cell>
          <cell r="BQ130">
            <v>0.20143491274880512</v>
          </cell>
          <cell r="BR130" t="e">
            <v>#DIV/0!</v>
          </cell>
          <cell r="BS130" t="e">
            <v>#DIV/0!</v>
          </cell>
          <cell r="BT130" t="e">
            <v>#DIV/0!</v>
          </cell>
          <cell r="BU130" t="e">
            <v>#DIV/0!</v>
          </cell>
          <cell r="BV130" t="e">
            <v>#DIV/0!</v>
          </cell>
          <cell r="BW130" t="str">
            <v>NA</v>
          </cell>
          <cell r="BX130">
            <v>0.23221999382906508</v>
          </cell>
          <cell r="BY130">
            <v>0.272128232617734</v>
          </cell>
          <cell r="BZ130">
            <v>0.22632294757665675</v>
          </cell>
          <cell r="CA130">
            <v>0.25579564747646244</v>
          </cell>
          <cell r="CB130">
            <v>0.22643515237420267</v>
          </cell>
          <cell r="CC130">
            <v>0.2159555952772943</v>
          </cell>
          <cell r="CD130">
            <v>0.22326380581595145</v>
          </cell>
          <cell r="CE130">
            <v>0.21270199941719878</v>
          </cell>
          <cell r="CF130">
            <v>0.20401295156518315</v>
          </cell>
          <cell r="CG130">
            <v>0.20355295499193879</v>
          </cell>
          <cell r="CH130">
            <v>0.20402939926855992</v>
          </cell>
        </row>
        <row r="131">
          <cell r="A131" t="str">
            <v>Sales and Marketing</v>
          </cell>
          <cell r="AH131" t="str">
            <v>NA</v>
          </cell>
          <cell r="AI131" t="str">
            <v>NA</v>
          </cell>
          <cell r="AJ131" t="str">
            <v>NA</v>
          </cell>
          <cell r="AK131" t="str">
            <v>NA</v>
          </cell>
          <cell r="AL131">
            <v>0.42015900821991642</v>
          </cell>
          <cell r="AM131">
            <v>0.44517344419903859</v>
          </cell>
          <cell r="AN131">
            <v>0.47605207387223736</v>
          </cell>
          <cell r="AO131">
            <v>0.4689838682853818</v>
          </cell>
          <cell r="AP131">
            <v>0.46179649645918741</v>
          </cell>
          <cell r="AQ131">
            <v>0.46413480885311875</v>
          </cell>
          <cell r="AR131">
            <v>0.49428878258322761</v>
          </cell>
          <cell r="AS131">
            <v>0.52465735313560447</v>
          </cell>
          <cell r="AT131">
            <v>0.46330070270928958</v>
          </cell>
          <cell r="AU131">
            <v>0.48120880391627791</v>
          </cell>
          <cell r="AV131">
            <v>0.48825875055383255</v>
          </cell>
          <cell r="AW131">
            <v>0.50884847638661035</v>
          </cell>
          <cell r="AX131">
            <v>0.49681445845793776</v>
          </cell>
          <cell r="AY131">
            <v>0.47645081220347513</v>
          </cell>
          <cell r="AZ131">
            <v>0.46990116801437548</v>
          </cell>
          <cell r="BA131">
            <v>0.46788451649239671</v>
          </cell>
          <cell r="BB131">
            <v>0.45953540651929559</v>
          </cell>
          <cell r="BC131">
            <v>0.4455364455364455</v>
          </cell>
          <cell r="BD131">
            <v>0.43527260440062804</v>
          </cell>
          <cell r="BE131">
            <v>0.44437128519058972</v>
          </cell>
          <cell r="BF131">
            <v>0.4630992157609542</v>
          </cell>
          <cell r="BG131">
            <v>0.49658515091429833</v>
          </cell>
          <cell r="BH131">
            <v>0.4824220162258312</v>
          </cell>
          <cell r="BI131">
            <v>0.48421115983618895</v>
          </cell>
          <cell r="BJ131">
            <v>0.4615013054830287</v>
          </cell>
          <cell r="BK131">
            <v>0.45907063197026016</v>
          </cell>
          <cell r="BL131">
            <v>0.44542789619597301</v>
          </cell>
          <cell r="BM131">
            <v>0.44601705915180301</v>
          </cell>
          <cell r="BN131">
            <v>0.45610438952333315</v>
          </cell>
          <cell r="BO131">
            <v>0.44627374057671465</v>
          </cell>
          <cell r="BP131">
            <v>0.43958001239837713</v>
          </cell>
          <cell r="BQ131">
            <v>0.44274685725361779</v>
          </cell>
          <cell r="BR131" t="e">
            <v>#DIV/0!</v>
          </cell>
          <cell r="BS131" t="e">
            <v>#DIV/0!</v>
          </cell>
          <cell r="BT131" t="e">
            <v>#DIV/0!</v>
          </cell>
          <cell r="BU131" t="e">
            <v>#DIV/0!</v>
          </cell>
          <cell r="BV131" t="e">
            <v>#DIV/0!</v>
          </cell>
          <cell r="BW131" t="str">
            <v>NA</v>
          </cell>
          <cell r="BX131">
            <v>0.74193921629126813</v>
          </cell>
          <cell r="BY131">
            <v>0.82558899667913099</v>
          </cell>
          <cell r="BZ131">
            <v>0.5449431256181998</v>
          </cell>
          <cell r="CA131">
            <v>0.45394350980089526</v>
          </cell>
          <cell r="CB131">
            <v>0.48792736870402492</v>
          </cell>
          <cell r="CC131">
            <v>0.48630697586904376</v>
          </cell>
          <cell r="CD131">
            <v>0.47681811920452977</v>
          </cell>
          <cell r="CE131">
            <v>0.44561799935585117</v>
          </cell>
          <cell r="CF131">
            <v>0.48209826282996404</v>
          </cell>
          <cell r="CG131">
            <v>0.45244201889476854</v>
          </cell>
          <cell r="CH131">
            <v>0.44586650515118875</v>
          </cell>
        </row>
        <row r="132">
          <cell r="A132" t="str">
            <v>General and Administrative</v>
          </cell>
          <cell r="AH132" t="str">
            <v>NA</v>
          </cell>
          <cell r="AI132" t="str">
            <v>NA</v>
          </cell>
          <cell r="AJ132" t="str">
            <v>NA</v>
          </cell>
          <cell r="AK132" t="str">
            <v>NA</v>
          </cell>
          <cell r="AL132">
            <v>9.991914836275434E-2</v>
          </cell>
          <cell r="AM132">
            <v>9.7700402754319876E-2</v>
          </cell>
          <cell r="AN132">
            <v>0.11377535573720861</v>
          </cell>
          <cell r="AO132">
            <v>9.5958756028604708E-2</v>
          </cell>
          <cell r="AP132">
            <v>9.6001277887226441E-2</v>
          </cell>
          <cell r="AQ132">
            <v>9.3209255533199212E-2</v>
          </cell>
          <cell r="AR132">
            <v>8.8987601288684964E-2</v>
          </cell>
          <cell r="AS132">
            <v>0.12463091093385043</v>
          </cell>
          <cell r="AT132">
            <v>0.10065396644867786</v>
          </cell>
          <cell r="AU132">
            <v>9.474617430520757E-2</v>
          </cell>
          <cell r="AV132">
            <v>0.10157288435976961</v>
          </cell>
          <cell r="AW132">
            <v>0.11850326363921952</v>
          </cell>
          <cell r="AX132">
            <v>0.10980366662332595</v>
          </cell>
          <cell r="AY132">
            <v>0.10227165614101236</v>
          </cell>
          <cell r="AZ132">
            <v>9.8397240819638881E-2</v>
          </cell>
          <cell r="BA132">
            <v>0.12128706810000736</v>
          </cell>
          <cell r="BB132">
            <v>9.5073061071562395E-2</v>
          </cell>
          <cell r="BC132">
            <v>0.10819431872063454</v>
          </cell>
          <cell r="BD132">
            <v>9.7891117250700654E-2</v>
          </cell>
          <cell r="BE132">
            <v>9.3728867850660216E-2</v>
          </cell>
          <cell r="BF132">
            <v>8.7807073732319996E-2</v>
          </cell>
          <cell r="BG132">
            <v>8.7747458533975364E-2</v>
          </cell>
          <cell r="BH132">
            <v>9.7224833330923091E-2</v>
          </cell>
          <cell r="BI132">
            <v>9.6226709306429042E-2</v>
          </cell>
          <cell r="BJ132">
            <v>9.5000000000000001E-2</v>
          </cell>
          <cell r="BK132">
            <v>9.2999999999999999E-2</v>
          </cell>
          <cell r="BL132">
            <v>9.1999999999999998E-2</v>
          </cell>
          <cell r="BM132">
            <v>0.09</v>
          </cell>
          <cell r="BN132">
            <v>0.09</v>
          </cell>
          <cell r="BO132">
            <v>0.09</v>
          </cell>
          <cell r="BP132">
            <v>0.09</v>
          </cell>
          <cell r="BQ132">
            <v>8.8831545373696669E-2</v>
          </cell>
          <cell r="BR132" t="e">
            <v>#DIV/0!</v>
          </cell>
          <cell r="BS132" t="e">
            <v>#DIV/0!</v>
          </cell>
          <cell r="BT132" t="e">
            <v>#DIV/0!</v>
          </cell>
          <cell r="BU132" t="e">
            <v>#DIV/0!</v>
          </cell>
          <cell r="BV132" t="e">
            <v>#DIV/0!</v>
          </cell>
          <cell r="BW132" t="str">
            <v>NA</v>
          </cell>
          <cell r="BX132">
            <v>0.138653193458809</v>
          </cell>
          <cell r="BY132">
            <v>0.1181131187406846</v>
          </cell>
          <cell r="BZ132">
            <v>0.10192054071876031</v>
          </cell>
          <cell r="CA132">
            <v>0.10182126871430779</v>
          </cell>
          <cell r="CB132">
            <v>0.10150541313326326</v>
          </cell>
          <cell r="CC132">
            <v>0.10425702055599979</v>
          </cell>
          <cell r="CD132">
            <v>0.10861227715306929</v>
          </cell>
          <cell r="CE132">
            <v>9.8524081449027898E-2</v>
          </cell>
          <cell r="CF132">
            <v>9.2598986366254313E-2</v>
          </cell>
          <cell r="CG132">
            <v>9.2352825372564507E-2</v>
          </cell>
          <cell r="CH132">
            <v>8.9681886350869974E-2</v>
          </cell>
        </row>
        <row r="135">
          <cell r="A135" t="str">
            <v>Operating Margin</v>
          </cell>
          <cell r="AH135" t="e">
            <v>#DIV/0!</v>
          </cell>
          <cell r="AI135" t="e">
            <v>#DIV/0!</v>
          </cell>
          <cell r="AJ135" t="e">
            <v>#DIV/0!</v>
          </cell>
          <cell r="AK135" t="e">
            <v>#DIV/0!</v>
          </cell>
          <cell r="AL135">
            <v>-0.15368548713111432</v>
          </cell>
          <cell r="AM135">
            <v>-0.17461348577367811</v>
          </cell>
          <cell r="AN135">
            <v>-0.23584620042385707</v>
          </cell>
          <cell r="AO135">
            <v>-0.18920117523144311</v>
          </cell>
          <cell r="AP135">
            <v>-0.1451999361056385</v>
          </cell>
          <cell r="AQ135">
            <v>-0.10467806841046284</v>
          </cell>
          <cell r="AR135">
            <v>-9.6016791955481809E-2</v>
          </cell>
          <cell r="AS135">
            <v>-0.15962275792164279</v>
          </cell>
          <cell r="AT135">
            <v>-7.3236118445103415E-2</v>
          </cell>
          <cell r="AU135">
            <v>-7.5473152680877245E-2</v>
          </cell>
          <cell r="AV135">
            <v>-8.178260227440555E-2</v>
          </cell>
          <cell r="AW135">
            <v>-0.10824112534468913</v>
          </cell>
          <cell r="AX135">
            <v>-0.10993368872708341</v>
          </cell>
          <cell r="AY135">
            <v>-7.1825808275992123E-2</v>
          </cell>
          <cell r="AZ135">
            <v>-7.0486624351505628E-2</v>
          </cell>
          <cell r="BA135">
            <v>-8.4555672551852742E-2</v>
          </cell>
          <cell r="BB135">
            <v>-7.5215436493068638E-2</v>
          </cell>
          <cell r="BC135">
            <v>-5.9269796111901536E-2</v>
          </cell>
          <cell r="BD135">
            <v>-4.4244797360418184E-2</v>
          </cell>
          <cell r="BE135">
            <v>-4.9168950421753177E-2</v>
          </cell>
          <cell r="BF135">
            <v>-2.7093468137042703E-2</v>
          </cell>
          <cell r="BG135">
            <v>-4.0726402920718753E-2</v>
          </cell>
          <cell r="BH135">
            <v>-1.3535987505242302E-2</v>
          </cell>
          <cell r="BI135">
            <v>-4.5390008836169705E-2</v>
          </cell>
          <cell r="BJ135">
            <v>-8.7281598267291913E-3</v>
          </cell>
          <cell r="BK135">
            <v>4.2490706319700863E-3</v>
          </cell>
          <cell r="BL135">
            <v>2.5324910239513176E-2</v>
          </cell>
          <cell r="BM135">
            <v>3.4097257064414993E-2</v>
          </cell>
          <cell r="BN135">
            <v>1.1273526846588691E-2</v>
          </cell>
          <cell r="BO135">
            <v>1.524408025187479E-2</v>
          </cell>
          <cell r="BP135">
            <v>3.0288366522191794E-2</v>
          </cell>
          <cell r="BQ135">
            <v>3.1327091972333743E-2</v>
          </cell>
          <cell r="BR135" t="e">
            <v>#DIV/0!</v>
          </cell>
          <cell r="BS135" t="e">
            <v>#DIV/0!</v>
          </cell>
          <cell r="BT135" t="e">
            <v>#DIV/0!</v>
          </cell>
          <cell r="BU135" t="e">
            <v>#DIV/0!</v>
          </cell>
          <cell r="BV135" t="e">
            <v>#DIV/0!</v>
          </cell>
          <cell r="BW135" t="e">
            <v>#DIV/0!</v>
          </cell>
          <cell r="BX135">
            <v>-0.46235729713051527</v>
          </cell>
          <cell r="BY135">
            <v>-0.58426378683680713</v>
          </cell>
          <cell r="BZ135">
            <v>-0.2606330365974282</v>
          </cell>
          <cell r="CA135">
            <v>-0.1894891186911562</v>
          </cell>
          <cell r="CB135">
            <v>-0.12704367164397953</v>
          </cell>
          <cell r="CC135">
            <v>-8.5394421186320929E-2</v>
          </cell>
          <cell r="CD135">
            <v>-8.3759270939817818E-2</v>
          </cell>
          <cell r="CE135">
            <v>-5.5984704023884585E-2</v>
          </cell>
          <cell r="CF135">
            <v>-3.1898578954996447E-2</v>
          </cell>
          <cell r="CG135">
            <v>1.5121185014181485E-2</v>
          </cell>
          <cell r="CH135">
            <v>2.2572700712843688E-2</v>
          </cell>
        </row>
        <row r="138">
          <cell r="A138" t="str">
            <v>Tax Rate</v>
          </cell>
          <cell r="AH138" t="e">
            <v>#DIV/0!</v>
          </cell>
          <cell r="AI138" t="e">
            <v>#DIV/0!</v>
          </cell>
          <cell r="AJ138" t="e">
            <v>#DIV/0!</v>
          </cell>
          <cell r="AK138" t="e">
            <v>#DIV/0!</v>
          </cell>
          <cell r="AL138" t="str">
            <v xml:space="preserve">NA </v>
          </cell>
          <cell r="AM138" t="str">
            <v xml:space="preserve">NA </v>
          </cell>
          <cell r="AN138" t="str">
            <v xml:space="preserve">NA </v>
          </cell>
          <cell r="AO138" t="str">
            <v xml:space="preserve">NA </v>
          </cell>
          <cell r="AP138" t="str">
            <v xml:space="preserve">NA </v>
          </cell>
          <cell r="AQ138" t="str">
            <v xml:space="preserve">NA </v>
          </cell>
          <cell r="AR138" t="str">
            <v xml:space="preserve">NA </v>
          </cell>
          <cell r="AS138" t="str">
            <v xml:space="preserve">NA </v>
          </cell>
          <cell r="AT138" t="str">
            <v xml:space="preserve">NA </v>
          </cell>
          <cell r="AU138" t="str">
            <v xml:space="preserve">NA </v>
          </cell>
          <cell r="AV138" t="str">
            <v xml:space="preserve">NA </v>
          </cell>
          <cell r="AW138" t="str">
            <v xml:space="preserve">NA </v>
          </cell>
          <cell r="AX138" t="str">
            <v xml:space="preserve">NA </v>
          </cell>
          <cell r="AY138" t="str">
            <v xml:space="preserve">NA </v>
          </cell>
          <cell r="AZ138" t="str">
            <v xml:space="preserve">NA </v>
          </cell>
          <cell r="BA138" t="str">
            <v xml:space="preserve">NA </v>
          </cell>
          <cell r="BB138" t="str">
            <v xml:space="preserve">NA </v>
          </cell>
          <cell r="BC138" t="str">
            <v xml:space="preserve">NA </v>
          </cell>
          <cell r="BD138" t="str">
            <v xml:space="preserve">NA </v>
          </cell>
          <cell r="BE138" t="str">
            <v xml:space="preserve">NA </v>
          </cell>
          <cell r="BF138" t="str">
            <v xml:space="preserve">NA </v>
          </cell>
          <cell r="BG138" t="str">
            <v xml:space="preserve">NA </v>
          </cell>
          <cell r="BH138" t="str">
            <v xml:space="preserve">NA </v>
          </cell>
          <cell r="BI138">
            <v>8.8028169014084362E-2</v>
          </cell>
          <cell r="BJ138">
            <v>0.1</v>
          </cell>
          <cell r="BK138">
            <v>0.1</v>
          </cell>
          <cell r="BL138">
            <v>0.1</v>
          </cell>
          <cell r="BM138">
            <v>0.1</v>
          </cell>
          <cell r="BN138">
            <v>0.20550000000000002</v>
          </cell>
          <cell r="BO138">
            <v>0.12820512820512794</v>
          </cell>
          <cell r="BP138">
            <v>0.12106537530266351</v>
          </cell>
          <cell r="BQ138">
            <v>8.8028169014084362E-2</v>
          </cell>
          <cell r="BR138" t="e">
            <v>#DIV/0!</v>
          </cell>
          <cell r="BS138" t="e">
            <v>#DIV/0!</v>
          </cell>
          <cell r="BT138" t="e">
            <v>#DIV/0!</v>
          </cell>
          <cell r="BU138" t="e">
            <v>#DIV/0!</v>
          </cell>
          <cell r="BV138" t="e">
            <v>#DIV/0!</v>
          </cell>
          <cell r="BW138" t="e">
            <v>#DIV/0!</v>
          </cell>
          <cell r="BX138" t="str">
            <v xml:space="preserve">NA </v>
          </cell>
          <cell r="BY138" t="str">
            <v xml:space="preserve">NA </v>
          </cell>
          <cell r="BZ138" t="str">
            <v xml:space="preserve">NA </v>
          </cell>
          <cell r="CA138" t="str">
            <v xml:space="preserve">NA </v>
          </cell>
          <cell r="CB138" t="str">
            <v xml:space="preserve">NA </v>
          </cell>
          <cell r="CC138">
            <v>6.5210407966591721E-2</v>
          </cell>
          <cell r="CD138" t="str">
            <v xml:space="preserve">NA </v>
          </cell>
          <cell r="CE138" t="str">
            <v xml:space="preserve">NA </v>
          </cell>
          <cell r="CF138" t="str">
            <v xml:space="preserve">NA </v>
          </cell>
          <cell r="CG138">
            <v>0</v>
          </cell>
          <cell r="CH138">
            <v>0</v>
          </cell>
        </row>
        <row r="146">
          <cell r="A146" t="str">
            <v>Total Revenue</v>
          </cell>
          <cell r="AL146" t="str">
            <v>NA</v>
          </cell>
          <cell r="AM146" t="str">
            <v>NA</v>
          </cell>
          <cell r="AN146" t="str">
            <v>NA</v>
          </cell>
          <cell r="AO146" t="str">
            <v>NA</v>
          </cell>
          <cell r="AP146">
            <v>0.26539549925886008</v>
          </cell>
          <cell r="AQ146">
            <v>0.29141223853449394</v>
          </cell>
          <cell r="AR146">
            <v>0.24044807750529817</v>
          </cell>
          <cell r="AS146">
            <v>0.25788569211153622</v>
          </cell>
          <cell r="AT146">
            <v>0.31084606783451352</v>
          </cell>
          <cell r="AU146">
            <v>0.30497987927565395</v>
          </cell>
          <cell r="AV146">
            <v>0.32207361124670508</v>
          </cell>
          <cell r="AW146">
            <v>0.26257106341721403</v>
          </cell>
          <cell r="AX146">
            <v>0.24960396441772636</v>
          </cell>
          <cell r="AY146">
            <v>0.22680491847511841</v>
          </cell>
          <cell r="AZ146">
            <v>0.27392556490917142</v>
          </cell>
          <cell r="BA146">
            <v>0.42542497120318323</v>
          </cell>
          <cell r="BB146">
            <v>0.38811597971655165</v>
          </cell>
          <cell r="BC146">
            <v>0.45781883306626447</v>
          </cell>
          <cell r="BD146">
            <v>0.45816305828478687</v>
          </cell>
          <cell r="BE146">
            <v>0.37605602762200974</v>
          </cell>
          <cell r="BF146">
            <v>0.35263675533907834</v>
          </cell>
          <cell r="BG146">
            <v>0.36958489590068555</v>
          </cell>
          <cell r="BH146">
            <v>0.37443103893780694</v>
          </cell>
          <cell r="BI146">
            <v>0.30100366587180138</v>
          </cell>
          <cell r="BJ146">
            <v>0.3261084084967889</v>
          </cell>
          <cell r="BK146">
            <v>0.26994618071947896</v>
          </cell>
          <cell r="BL146">
            <v>0.27278774819592511</v>
          </cell>
          <cell r="BM146">
            <v>0.30193244023274968</v>
          </cell>
          <cell r="BN146">
            <v>0.25014324692250822</v>
          </cell>
          <cell r="BO146">
            <v>0.22729058212607089</v>
          </cell>
          <cell r="BP146">
            <v>0.20940906133187642</v>
          </cell>
          <cell r="BQ146">
            <v>0.18400443199875838</v>
          </cell>
          <cell r="BR146">
            <v>-1</v>
          </cell>
          <cell r="BS146" t="str">
            <v>NA</v>
          </cell>
          <cell r="BT146" t="str">
            <v>NA</v>
          </cell>
          <cell r="BU146" t="str">
            <v>NA</v>
          </cell>
          <cell r="BV146" t="str">
            <v>NA</v>
          </cell>
          <cell r="BW146" t="str">
            <v>NA</v>
          </cell>
          <cell r="BX146" t="str">
            <v>NA</v>
          </cell>
          <cell r="BY146">
            <v>0.47496914532551648</v>
          </cell>
          <cell r="BZ146">
            <v>0.26893810632011106</v>
          </cell>
          <cell r="CA146">
            <v>0.33510550609957135</v>
          </cell>
          <cell r="CB146">
            <v>0.26312702577558289</v>
          </cell>
          <cell r="CC146">
            <v>0.2988465016251618</v>
          </cell>
          <cell r="CD146">
            <v>0.29762453549085111</v>
          </cell>
          <cell r="CE146">
            <v>0.41815110453777615</v>
          </cell>
          <cell r="CF146">
            <v>0.34742928422806929</v>
          </cell>
          <cell r="CG146">
            <v>0.29187255896612108</v>
          </cell>
          <cell r="CH146">
            <v>0.21570931741366195</v>
          </cell>
        </row>
        <row r="274">
          <cell r="A274" t="str">
            <v>Americas</v>
          </cell>
          <cell r="C274" t="e">
            <v>#DIV/0!</v>
          </cell>
          <cell r="D274" t="e">
            <v>#DIV/0!</v>
          </cell>
          <cell r="E274" t="e">
            <v>#DIV/0!</v>
          </cell>
          <cell r="F274" t="e">
            <v>#DIV/0!</v>
          </cell>
          <cell r="G274" t="e">
            <v>#DIV/0!</v>
          </cell>
          <cell r="H274" t="e">
            <v>#DIV/0!</v>
          </cell>
          <cell r="I274" t="e">
            <v>#DIV/0!</v>
          </cell>
          <cell r="J274" t="e">
            <v>#DIV/0!</v>
          </cell>
          <cell r="K274" t="e">
            <v>#DIV/0!</v>
          </cell>
          <cell r="L274" t="e">
            <v>#DIV/0!</v>
          </cell>
          <cell r="M274" t="e">
            <v>#DIV/0!</v>
          </cell>
          <cell r="N274" t="e">
            <v>#DIV/0!</v>
          </cell>
          <cell r="O274" t="e">
            <v>#DIV/0!</v>
          </cell>
          <cell r="P274" t="e">
            <v>#DIV/0!</v>
          </cell>
          <cell r="Q274" t="e">
            <v>#DIV/0!</v>
          </cell>
          <cell r="R274" t="e">
            <v>#DIV/0!</v>
          </cell>
          <cell r="S274" t="e">
            <v>#DIV/0!</v>
          </cell>
          <cell r="T274" t="e">
            <v>#DIV/0!</v>
          </cell>
          <cell r="U274" t="e">
            <v>#DIV/0!</v>
          </cell>
          <cell r="V274" t="e">
            <v>#DIV/0!</v>
          </cell>
          <cell r="W274" t="e">
            <v>#DIV/0!</v>
          </cell>
          <cell r="X274" t="e">
            <v>#DIV/0!</v>
          </cell>
          <cell r="Y274" t="e">
            <v>#DIV/0!</v>
          </cell>
          <cell r="Z274" t="e">
            <v>#DIV/0!</v>
          </cell>
          <cell r="AA274" t="e">
            <v>#DIV/0!</v>
          </cell>
          <cell r="AB274" t="e">
            <v>#DIV/0!</v>
          </cell>
          <cell r="AC274" t="e">
            <v>#DIV/0!</v>
          </cell>
          <cell r="AD274" t="e">
            <v>#DIV/0!</v>
          </cell>
          <cell r="AE274" t="e">
            <v>#DIV/0!</v>
          </cell>
          <cell r="AF274" t="e">
            <v>#DIV/0!</v>
          </cell>
          <cell r="AG274" t="e">
            <v>#DIV/0!</v>
          </cell>
          <cell r="AH274">
            <v>0.77</v>
          </cell>
          <cell r="AI274">
            <v>0.77</v>
          </cell>
          <cell r="AJ274">
            <v>0.77</v>
          </cell>
          <cell r="AK274">
            <v>0.77</v>
          </cell>
          <cell r="AL274">
            <v>0.8</v>
          </cell>
          <cell r="AM274">
            <v>0.8</v>
          </cell>
          <cell r="AN274">
            <v>0.8</v>
          </cell>
          <cell r="AO274">
            <v>0.8</v>
          </cell>
          <cell r="AP274">
            <v>0.78483573824609965</v>
          </cell>
          <cell r="AQ274">
            <v>0.79190140845070434</v>
          </cell>
          <cell r="AR274">
            <v>0.7918090403202187</v>
          </cell>
          <cell r="AS274">
            <v>0.80824996694724738</v>
          </cell>
          <cell r="AT274">
            <v>0.8150209188025509</v>
          </cell>
          <cell r="AU274">
            <v>0.8187565046447981</v>
          </cell>
          <cell r="AV274">
            <v>0.81103234381922906</v>
          </cell>
          <cell r="AW274">
            <v>0.81639847813187172</v>
          </cell>
          <cell r="AX274">
            <v>0.82918346118840192</v>
          </cell>
          <cell r="AY274">
            <v>0.82918346118840192</v>
          </cell>
          <cell r="AZ274">
            <v>0.82918346118840192</v>
          </cell>
          <cell r="BA274">
            <v>0.82918346118840192</v>
          </cell>
          <cell r="BB274">
            <v>0.82918346118840192</v>
          </cell>
          <cell r="BC274">
            <v>0.82918346118840192</v>
          </cell>
          <cell r="BD274">
            <v>0.82918346118840192</v>
          </cell>
          <cell r="BE274">
            <v>0.82918346118840192</v>
          </cell>
          <cell r="BF274">
            <v>0.82</v>
          </cell>
          <cell r="BG274">
            <v>0.82</v>
          </cell>
          <cell r="BH274">
            <v>0.82</v>
          </cell>
          <cell r="BI274">
            <v>0.82</v>
          </cell>
          <cell r="BJ274">
            <v>0.82</v>
          </cell>
          <cell r="BK274">
            <v>0.82</v>
          </cell>
          <cell r="BL274">
            <v>0.82</v>
          </cell>
          <cell r="BM274">
            <v>0.82</v>
          </cell>
          <cell r="BN274">
            <v>0.82</v>
          </cell>
          <cell r="BO274">
            <v>0.82</v>
          </cell>
          <cell r="BP274">
            <v>0.82</v>
          </cell>
          <cell r="BQ274">
            <v>0.82</v>
          </cell>
          <cell r="BR274" t="e">
            <v>#DIV/0!</v>
          </cell>
          <cell r="BS274" t="e">
            <v>#DIV/0!</v>
          </cell>
          <cell r="BT274" t="e">
            <v>#DIV/0!</v>
          </cell>
          <cell r="BU274" t="e">
            <v>#DIV/0!</v>
          </cell>
          <cell r="BV274" t="e">
            <v>#DIV/0!</v>
          </cell>
          <cell r="BW274" t="e">
            <v>#DIV/0!</v>
          </cell>
          <cell r="BX274" t="e">
            <v>#DIV/0!</v>
          </cell>
          <cell r="BY274" t="e">
            <v>#DIV/0!</v>
          </cell>
          <cell r="BZ274" t="e">
            <v>#DIV/0!</v>
          </cell>
          <cell r="CA274">
            <v>0.79677419354838719</v>
          </cell>
          <cell r="CB274">
            <v>0.79478970649331593</v>
          </cell>
          <cell r="CC274">
            <v>0.81528764288066213</v>
          </cell>
          <cell r="CD274">
            <v>0.82918346118840203</v>
          </cell>
          <cell r="CE274">
            <v>0.8291834611884018</v>
          </cell>
          <cell r="CF274">
            <v>0.82</v>
          </cell>
          <cell r="CG274">
            <v>0.82000000000000006</v>
          </cell>
          <cell r="CH274">
            <v>0.82000000000000006</v>
          </cell>
        </row>
        <row r="554">
          <cell r="A554" t="str">
            <v>Net Cash from Operating Activities</v>
          </cell>
          <cell r="AG554">
            <v>-7.5550000000000033</v>
          </cell>
          <cell r="AH554">
            <v>0</v>
          </cell>
          <cell r="AI554">
            <v>0</v>
          </cell>
          <cell r="AJ554">
            <v>0</v>
          </cell>
          <cell r="AK554">
            <v>-3.706999999999999</v>
          </cell>
          <cell r="AL554">
            <v>0.50566666666666693</v>
          </cell>
          <cell r="AM554">
            <v>0.50566666666666693</v>
          </cell>
          <cell r="AN554">
            <v>0.50566666666666515</v>
          </cell>
          <cell r="AO554">
            <v>1.8919999999999995</v>
          </cell>
          <cell r="AP554">
            <v>-0.4420000000000005</v>
          </cell>
          <cell r="AQ554">
            <v>1.0649999999999995</v>
          </cell>
          <cell r="AR554">
            <v>-0.95099999999999829</v>
          </cell>
          <cell r="AS554">
            <v>0.16099999999999959</v>
          </cell>
          <cell r="AT554">
            <v>0.23599999999999965</v>
          </cell>
          <cell r="AU554">
            <v>0.87399999999999922</v>
          </cell>
          <cell r="AV554">
            <v>0.8220000000000014</v>
          </cell>
          <cell r="AW554">
            <v>4.6749999999999972</v>
          </cell>
          <cell r="AX554">
            <v>1.1950000000000016</v>
          </cell>
          <cell r="AY554">
            <v>-0.73699999999999977</v>
          </cell>
          <cell r="AZ554">
            <v>7.0059999999999993</v>
          </cell>
          <cell r="BA554">
            <v>5.1269999999999989</v>
          </cell>
          <cell r="BB554">
            <v>4.1189999999999998</v>
          </cell>
          <cell r="BC554">
            <v>-6.9409999999999989</v>
          </cell>
          <cell r="BD554">
            <v>9.3649999999999984</v>
          </cell>
          <cell r="BE554">
            <v>15.451000000000002</v>
          </cell>
          <cell r="BF554">
            <v>11.887000000000002</v>
          </cell>
          <cell r="BG554">
            <v>1.665999999999995</v>
          </cell>
          <cell r="BH554">
            <v>23.936</v>
          </cell>
          <cell r="BI554">
            <v>7.258180372962947</v>
          </cell>
          <cell r="BJ554">
            <v>17.613771336549696</v>
          </cell>
          <cell r="BK554">
            <v>7.2259762121183124</v>
          </cell>
          <cell r="BL554">
            <v>12.361458961417512</v>
          </cell>
          <cell r="BM554">
            <v>20.041695324973315</v>
          </cell>
          <cell r="BN554">
            <v>26.313159128260722</v>
          </cell>
          <cell r="BO554">
            <v>22.159816828321816</v>
          </cell>
          <cell r="BP554">
            <v>24.573364239298762</v>
          </cell>
          <cell r="BQ554">
            <v>28.113258444527297</v>
          </cell>
          <cell r="BR554">
            <v>0</v>
          </cell>
          <cell r="BS554">
            <v>0</v>
          </cell>
          <cell r="BT554">
            <v>0</v>
          </cell>
          <cell r="BU554">
            <v>0</v>
          </cell>
          <cell r="BV554">
            <v>0</v>
          </cell>
          <cell r="BW554">
            <v>0</v>
          </cell>
          <cell r="BX554">
            <v>0</v>
          </cell>
          <cell r="BY554">
            <v>-7.5550000000000033</v>
          </cell>
          <cell r="BZ554">
            <v>-3.706999999999999</v>
          </cell>
          <cell r="CA554">
            <v>3.4090000000000042</v>
          </cell>
          <cell r="CB554">
            <v>-0.16699999999999893</v>
          </cell>
          <cell r="CC554">
            <v>6.6069999999999993</v>
          </cell>
          <cell r="CD554">
            <v>12.590999999999994</v>
          </cell>
          <cell r="CE554">
            <v>21.993999999999996</v>
          </cell>
          <cell r="CF554">
            <v>43.677180372962944</v>
          </cell>
          <cell r="CG554">
            <v>57.242901835058831</v>
          </cell>
          <cell r="CH554">
            <v>-4.5350961910404664</v>
          </cell>
        </row>
        <row r="559">
          <cell r="A559" t="str">
            <v>Purchase of property and equipment</v>
          </cell>
          <cell r="AG559">
            <v>-2.8679999999999999</v>
          </cell>
          <cell r="AK559">
            <v>-2.492</v>
          </cell>
          <cell r="AL559">
            <v>-0.67466666666666664</v>
          </cell>
          <cell r="AM559">
            <v>-0.67466666666666664</v>
          </cell>
          <cell r="AN559">
            <v>-0.67466666666666686</v>
          </cell>
          <cell r="AO559">
            <v>-1.401</v>
          </cell>
          <cell r="AP559">
            <v>-0.65300000000000002</v>
          </cell>
          <cell r="AQ559">
            <v>0.49299999999999999</v>
          </cell>
          <cell r="AR559">
            <v>-3.6039999999999996</v>
          </cell>
          <cell r="AS559">
            <v>-1.1659999999999999</v>
          </cell>
          <cell r="AT559">
            <v>-1.2869999999999999</v>
          </cell>
          <cell r="AU559">
            <v>-1.1560000000000001</v>
          </cell>
          <cell r="AV559">
            <v>-1.4409999999999998</v>
          </cell>
          <cell r="AW559">
            <v>-2.02</v>
          </cell>
          <cell r="AX559">
            <v>-0.98799999999999999</v>
          </cell>
          <cell r="AY559">
            <v>-1.002</v>
          </cell>
          <cell r="AZ559">
            <v>-2.512</v>
          </cell>
          <cell r="BA559">
            <v>-3.1310000000000007</v>
          </cell>
          <cell r="BB559">
            <v>-2.2909999999999999</v>
          </cell>
          <cell r="BC559">
            <v>-3.7319999999999998</v>
          </cell>
          <cell r="BD559">
            <v>-4.3719999999999999</v>
          </cell>
          <cell r="BE559">
            <v>-4.593</v>
          </cell>
          <cell r="BF559">
            <v>-4.5839999999999996</v>
          </cell>
          <cell r="BG559">
            <v>-5.843</v>
          </cell>
          <cell r="BH559">
            <v>-7.7</v>
          </cell>
          <cell r="BI559">
            <v>-3.5</v>
          </cell>
          <cell r="BJ559">
            <v>-7.25</v>
          </cell>
          <cell r="BK559">
            <v>-7.25</v>
          </cell>
          <cell r="BL559">
            <v>-7.25</v>
          </cell>
          <cell r="BM559">
            <v>-7.25</v>
          </cell>
          <cell r="BN559">
            <v>-3.5</v>
          </cell>
          <cell r="BO559">
            <v>-3.5</v>
          </cell>
          <cell r="BP559">
            <v>-3.5</v>
          </cell>
          <cell r="BQ559">
            <v>-3.5</v>
          </cell>
          <cell r="BR559">
            <v>0</v>
          </cell>
          <cell r="BS559">
            <v>0</v>
          </cell>
          <cell r="BT559">
            <v>0</v>
          </cell>
          <cell r="BU559">
            <v>0</v>
          </cell>
          <cell r="BV559">
            <v>0</v>
          </cell>
          <cell r="BW559">
            <v>0</v>
          </cell>
          <cell r="BX559">
            <v>0</v>
          </cell>
          <cell r="BY559">
            <v>-2.8679999999999999</v>
          </cell>
          <cell r="BZ559">
            <v>-2.492</v>
          </cell>
          <cell r="CA559">
            <v>-3.4249999999999998</v>
          </cell>
          <cell r="CB559">
            <v>-4.93</v>
          </cell>
          <cell r="CC559">
            <v>-5.9039999999999999</v>
          </cell>
          <cell r="CD559">
            <v>-7.6330000000000009</v>
          </cell>
          <cell r="CE559">
            <v>-14.988</v>
          </cell>
          <cell r="CF559">
            <v>-21.626999999999999</v>
          </cell>
          <cell r="CG559">
            <v>-29</v>
          </cell>
          <cell r="CH559">
            <v>-14</v>
          </cell>
        </row>
      </sheetData>
      <sheetData sheetId="5"/>
      <sheetData sheetId="6"/>
      <sheetData sheetId="7"/>
      <sheetData sheetId="8"/>
      <sheetData sheetId="9"/>
      <sheetData sheetId="10"/>
      <sheetData sheetId="11"/>
      <sheetData sheetId="12">
        <row r="3">
          <cell r="E3">
            <v>51</v>
          </cell>
        </row>
        <row r="4">
          <cell r="E4">
            <v>74</v>
          </cell>
        </row>
        <row r="5">
          <cell r="E5">
            <v>81</v>
          </cell>
        </row>
        <row r="48">
          <cell r="D48" t="e">
            <v>#NUM!</v>
          </cell>
        </row>
      </sheetData>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Earnings Cheat Sheet"/>
      <sheetName val="Upside_Downside"/>
      <sheetName val="QUICK SUMMARY"/>
      <sheetName val="guidance"/>
      <sheetName val="SOTP"/>
      <sheetName val="SENSITIVITY"/>
      <sheetName val="Job posting"/>
      <sheetName val="peak and trough"/>
      <sheetName val="Recent Acquisition"/>
      <sheetName val="COMP"/>
      <sheetName val="CF COMP"/>
      <sheetName val="LINKS&amp;INPUTS"/>
      <sheetName val="Exhibits"/>
      <sheetName val="Exhibit list"/>
      <sheetName val="initiation charts"/>
      <sheetName val="Disclosure"/>
      <sheetName val="RBC TIBX Model"/>
    </sheetNames>
    <sheetDataSet>
      <sheetData sheetId="0"/>
      <sheetData sheetId="1" refreshError="1">
        <row r="12">
          <cell r="A12" t="str">
            <v>Gross Profit</v>
          </cell>
          <cell r="Z12">
            <v>107.94</v>
          </cell>
          <cell r="AA12">
            <v>109.17399999999998</v>
          </cell>
          <cell r="AB12">
            <v>121.69499999999999</v>
          </cell>
          <cell r="AC12">
            <v>146.12100000000001</v>
          </cell>
          <cell r="AD12">
            <v>99.013999999999982</v>
          </cell>
          <cell r="AE12">
            <v>106.97699999999998</v>
          </cell>
          <cell r="AF12">
            <v>115.48000000000002</v>
          </cell>
          <cell r="AG12">
            <v>156.85399999999998</v>
          </cell>
          <cell r="AH12">
            <v>116.70000000000002</v>
          </cell>
          <cell r="AI12">
            <v>130.54400000000001</v>
          </cell>
          <cell r="AJ12">
            <v>139.124</v>
          </cell>
          <cell r="AK12">
            <v>188.83499999999998</v>
          </cell>
          <cell r="AL12">
            <v>138.06300000000002</v>
          </cell>
          <cell r="AM12">
            <v>160.59899999999999</v>
          </cell>
          <cell r="AN12">
            <v>169.828</v>
          </cell>
          <cell r="AO12">
            <v>224.60799999999998</v>
          </cell>
          <cell r="AP12">
            <v>164.15899999999999</v>
          </cell>
          <cell r="AQ12">
            <v>183.49099999999999</v>
          </cell>
          <cell r="AR12">
            <v>188.79900000000004</v>
          </cell>
          <cell r="AS12">
            <v>226.39</v>
          </cell>
          <cell r="AT12">
            <v>169.85299999999998</v>
          </cell>
          <cell r="AU12">
            <v>177.99</v>
          </cell>
          <cell r="AV12">
            <v>182.74</v>
          </cell>
          <cell r="AW12">
            <v>222.79829359999999</v>
          </cell>
          <cell r="AX12">
            <v>179.30205800000002</v>
          </cell>
          <cell r="AY12">
            <v>190.02185800000001</v>
          </cell>
          <cell r="AZ12">
            <v>205.23959999999997</v>
          </cell>
          <cell r="BA12">
            <v>258.89183823999997</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X12">
            <v>484.93</v>
          </cell>
          <cell r="BY12">
            <v>478.32500000000005</v>
          </cell>
          <cell r="BZ12">
            <v>575.20300000000009</v>
          </cell>
          <cell r="CA12">
            <v>693.09799999999984</v>
          </cell>
          <cell r="CB12">
            <v>762.83900000000006</v>
          </cell>
          <cell r="CC12">
            <v>753.38129360000005</v>
          </cell>
          <cell r="CD12">
            <v>833.45535424000013</v>
          </cell>
          <cell r="CE12">
            <v>0</v>
          </cell>
          <cell r="CF12">
            <v>0</v>
          </cell>
          <cell r="CG12">
            <v>0</v>
          </cell>
          <cell r="CH12">
            <v>0</v>
          </cell>
        </row>
        <row r="18">
          <cell r="A18" t="str">
            <v>Interest income</v>
          </cell>
          <cell r="Z18">
            <v>3.258</v>
          </cell>
          <cell r="AA18">
            <v>2.2440000000000002</v>
          </cell>
          <cell r="AB18">
            <v>1.925</v>
          </cell>
          <cell r="AC18">
            <v>1.6879999999999999</v>
          </cell>
          <cell r="AD18">
            <v>1.077</v>
          </cell>
          <cell r="AE18">
            <v>0.75700000000000001</v>
          </cell>
          <cell r="AF18">
            <v>0.219</v>
          </cell>
          <cell r="AG18">
            <v>0.21199999999999999</v>
          </cell>
          <cell r="AH18">
            <v>0.20399999999999999</v>
          </cell>
          <cell r="AI18">
            <v>0.224</v>
          </cell>
          <cell r="AJ18">
            <v>0.39800000000000002</v>
          </cell>
          <cell r="AK18">
            <v>0.52300000000000002</v>
          </cell>
          <cell r="AL18">
            <v>0.48199999999999998</v>
          </cell>
          <cell r="AM18">
            <v>0.44800000000000001</v>
          </cell>
          <cell r="AN18">
            <v>0.246</v>
          </cell>
          <cell r="AO18">
            <v>0.19800000000000001</v>
          </cell>
          <cell r="AP18">
            <v>0.255</v>
          </cell>
          <cell r="AQ18">
            <v>0.221</v>
          </cell>
          <cell r="AR18">
            <v>0.36599999999999999</v>
          </cell>
          <cell r="AS18">
            <v>0.26700000000000002</v>
          </cell>
          <cell r="AT18">
            <v>0.19800000000000001</v>
          </cell>
          <cell r="AU18">
            <v>0.22500000000000001</v>
          </cell>
          <cell r="AV18">
            <v>0.22500000000000001</v>
          </cell>
          <cell r="AW18">
            <v>0.22500000000000001</v>
          </cell>
          <cell r="AX18">
            <v>0.22500000000000001</v>
          </cell>
          <cell r="AY18">
            <v>0.22500000000000001</v>
          </cell>
          <cell r="AZ18">
            <v>0.22500000000000001</v>
          </cell>
          <cell r="BA18">
            <v>0.22500000000000001</v>
          </cell>
          <cell r="BX18">
            <v>9.1150000000000002</v>
          </cell>
          <cell r="BY18">
            <v>2.2650000000000001</v>
          </cell>
          <cell r="BZ18">
            <v>1.3490000000000002</v>
          </cell>
          <cell r="CA18">
            <v>1.3739999999999999</v>
          </cell>
          <cell r="CB18">
            <v>1.109</v>
          </cell>
          <cell r="CC18">
            <v>0.873</v>
          </cell>
          <cell r="CD18">
            <v>0.9</v>
          </cell>
        </row>
        <row r="19">
          <cell r="A19" t="str">
            <v>Interest expense</v>
          </cell>
          <cell r="Z19">
            <v>-0.84199999999999997</v>
          </cell>
          <cell r="AA19">
            <v>-0.876</v>
          </cell>
          <cell r="AB19">
            <v>-0.81</v>
          </cell>
          <cell r="AC19">
            <v>-0.71</v>
          </cell>
          <cell r="AD19">
            <v>-0.746</v>
          </cell>
          <cell r="AE19">
            <v>-0.79300000000000004</v>
          </cell>
          <cell r="AF19">
            <v>-0.67300000000000004</v>
          </cell>
          <cell r="AG19">
            <v>-0.75600000000000001</v>
          </cell>
          <cell r="AH19">
            <v>-0.98499999999999999</v>
          </cell>
          <cell r="AI19">
            <v>-0.98</v>
          </cell>
          <cell r="AJ19">
            <v>-1.1379999999999999</v>
          </cell>
          <cell r="AK19">
            <v>-1.02</v>
          </cell>
          <cell r="AL19">
            <v>-1.046</v>
          </cell>
          <cell r="AM19">
            <v>-0.95099999999999996</v>
          </cell>
          <cell r="AN19">
            <v>-0.94</v>
          </cell>
          <cell r="AO19">
            <v>-1.083</v>
          </cell>
          <cell r="AP19">
            <v>-1.4650000000000001</v>
          </cell>
          <cell r="AQ19">
            <v>-2.8309999999999995</v>
          </cell>
          <cell r="AR19">
            <v>-4.9959999999999987</v>
          </cell>
          <cell r="AS19">
            <v>-4.9720000000000004</v>
          </cell>
          <cell r="AT19">
            <v>-4.9630000000000001</v>
          </cell>
          <cell r="AU19">
            <v>-4.8090000000000002</v>
          </cell>
          <cell r="AV19">
            <v>-4.8090000000000002</v>
          </cell>
          <cell r="AW19">
            <v>-4.8090000000000002</v>
          </cell>
          <cell r="AX19">
            <v>-4.8090000000000002</v>
          </cell>
          <cell r="AY19">
            <v>-4.8090000000000002</v>
          </cell>
          <cell r="AZ19">
            <v>-4.8090000000000002</v>
          </cell>
          <cell r="BA19">
            <v>-4.8090000000000002</v>
          </cell>
          <cell r="BX19">
            <v>-3.238</v>
          </cell>
          <cell r="BY19">
            <v>-2.968</v>
          </cell>
          <cell r="BZ19">
            <v>-4.1229999999999993</v>
          </cell>
          <cell r="CA19">
            <v>-4.0199999999999996</v>
          </cell>
          <cell r="CB19">
            <v>-14.263999999999999</v>
          </cell>
          <cell r="CC19">
            <v>-19.39</v>
          </cell>
          <cell r="CD19">
            <v>-19.236000000000001</v>
          </cell>
        </row>
        <row r="77">
          <cell r="A77" t="str">
            <v>Cash Margin</v>
          </cell>
          <cell r="B77">
            <v>0.25473088409823019</v>
          </cell>
          <cell r="C77">
            <v>-0.14160393108010202</v>
          </cell>
          <cell r="D77">
            <v>-0.41589485607675908</v>
          </cell>
          <cell r="E77">
            <v>0.16235715482034038</v>
          </cell>
          <cell r="F77">
            <v>0.1776976863923998</v>
          </cell>
          <cell r="G77">
            <v>-8.7163383766295552E-2</v>
          </cell>
          <cell r="H77">
            <v>-0.37148002330467322</v>
          </cell>
          <cell r="I77">
            <v>4.2737135052954317E-2</v>
          </cell>
          <cell r="J77">
            <v>0.25142144125138283</v>
          </cell>
          <cell r="K77">
            <v>0.15944397082504502</v>
          </cell>
          <cell r="L77">
            <v>0.22932840418977199</v>
          </cell>
          <cell r="M77">
            <v>0.14015009230916772</v>
          </cell>
          <cell r="N77">
            <v>0.21164660745256739</v>
          </cell>
          <cell r="O77">
            <v>0.27526496929876015</v>
          </cell>
          <cell r="P77">
            <v>0.18094497642971724</v>
          </cell>
          <cell r="Q77">
            <v>8.2678265849451579E-2</v>
          </cell>
          <cell r="R77">
            <v>0.2712386925157006</v>
          </cell>
          <cell r="S77">
            <v>0.11574439136014347</v>
          </cell>
          <cell r="T77">
            <v>0.38928979274485515</v>
          </cell>
          <cell r="U77">
            <v>6.9231472382824122E-2</v>
          </cell>
          <cell r="V77">
            <v>0.33399678359314044</v>
          </cell>
          <cell r="W77">
            <v>8.0771507947351689E-2</v>
          </cell>
          <cell r="X77">
            <v>0.14342463820845433</v>
          </cell>
          <cell r="Y77">
            <v>0.14985814028075892</v>
          </cell>
          <cell r="Z77">
            <v>0.39012862736962212</v>
          </cell>
          <cell r="AA77">
            <v>0.20830548616293032</v>
          </cell>
          <cell r="AB77">
            <v>0.15054797539620529</v>
          </cell>
          <cell r="AC77">
            <v>0.19382987919076336</v>
          </cell>
          <cell r="AD77">
            <v>0.21157593867740676</v>
          </cell>
          <cell r="AE77">
            <v>0.30517516440838249</v>
          </cell>
          <cell r="AF77">
            <v>9.5151106820123482E-2</v>
          </cell>
          <cell r="AG77">
            <v>0.14157952151670178</v>
          </cell>
          <cell r="AH77">
            <v>0.2439321119261855</v>
          </cell>
          <cell r="AI77">
            <v>0.23446765440852713</v>
          </cell>
          <cell r="AJ77">
            <v>0.17798307420238438</v>
          </cell>
          <cell r="AK77">
            <v>0.14414752407012452</v>
          </cell>
          <cell r="AL77">
            <v>0.19143693532422129</v>
          </cell>
          <cell r="AM77">
            <v>0.19914877021034869</v>
          </cell>
          <cell r="AN77">
            <v>0.26072338345155288</v>
          </cell>
          <cell r="AO77">
            <v>0.2268125379256993</v>
          </cell>
          <cell r="AP77">
            <v>0.16674302720192022</v>
          </cell>
          <cell r="AQ77">
            <v>0.29616666210921477</v>
          </cell>
          <cell r="AR77">
            <v>0.17292300432897348</v>
          </cell>
          <cell r="AS77">
            <v>0.23805747479653844</v>
          </cell>
          <cell r="AT77">
            <v>0.27970518231447816</v>
          </cell>
          <cell r="AU77">
            <v>0.10213944619329812</v>
          </cell>
          <cell r="AV77">
            <v>0.17483049646189119</v>
          </cell>
          <cell r="AW77">
            <v>0.21192519659619571</v>
          </cell>
          <cell r="AX77">
            <v>0.18446933625723544</v>
          </cell>
          <cell r="AY77">
            <v>0.32793360114141873</v>
          </cell>
          <cell r="AZ77">
            <v>0.13498602619325881</v>
          </cell>
          <cell r="BA77">
            <v>0.25226191230757061</v>
          </cell>
          <cell r="BB77" t="e">
            <v>#REF!</v>
          </cell>
          <cell r="BC77" t="e">
            <v>#REF!</v>
          </cell>
          <cell r="BD77" t="e">
            <v>#REF!</v>
          </cell>
          <cell r="BE77" t="e">
            <v>#REF!</v>
          </cell>
          <cell r="BF77" t="e">
            <v>#REF!</v>
          </cell>
          <cell r="BG77" t="e">
            <v>#REF!</v>
          </cell>
          <cell r="BH77" t="e">
            <v>#REF!</v>
          </cell>
          <cell r="BI77" t="e">
            <v>#REF!</v>
          </cell>
          <cell r="BJ77" t="e">
            <v>#REF!</v>
          </cell>
          <cell r="BK77" t="e">
            <v>#REF!</v>
          </cell>
          <cell r="BL77" t="e">
            <v>#REF!</v>
          </cell>
          <cell r="BM77" t="e">
            <v>#REF!</v>
          </cell>
          <cell r="BN77" t="e">
            <v>#REF!</v>
          </cell>
          <cell r="BO77" t="e">
            <v>#REF!</v>
          </cell>
          <cell r="BP77" t="e">
            <v>#REF!</v>
          </cell>
          <cell r="BQ77" t="e">
            <v>#REF!</v>
          </cell>
          <cell r="BR77">
            <v>-6.5653547955165465E-3</v>
          </cell>
          <cell r="BS77">
            <v>-4.8621843909940295E-2</v>
          </cell>
          <cell r="BT77">
            <v>0.19026913638076229</v>
          </cell>
          <cell r="BU77">
            <v>0.17822975258539442</v>
          </cell>
          <cell r="BV77">
            <v>0.19569923456571209</v>
          </cell>
          <cell r="BW77">
            <v>0.17198876725689016</v>
          </cell>
          <cell r="BX77">
            <v>0.23372284074746186</v>
          </cell>
          <cell r="BY77">
            <v>0.18209576529549512</v>
          </cell>
          <cell r="BZ77">
            <v>0.19435476600787313</v>
          </cell>
          <cell r="CA77">
            <v>0.22113946614031121</v>
          </cell>
          <cell r="CB77">
            <v>0.21876336395676346</v>
          </cell>
          <cell r="CC77">
            <v>0.19178214108880517</v>
          </cell>
          <cell r="CD77">
            <v>0.22632707160513743</v>
          </cell>
          <cell r="CE77" t="e">
            <v>#REF!</v>
          </cell>
          <cell r="CF77" t="e">
            <v>#REF!</v>
          </cell>
          <cell r="CG77" t="e">
            <v>#REF!</v>
          </cell>
          <cell r="CH77" t="e">
            <v>#REF!</v>
          </cell>
        </row>
        <row r="80">
          <cell r="A80" t="str">
            <v>Free Cash Margin</v>
          </cell>
          <cell r="B80">
            <v>0.25473088409823019</v>
          </cell>
          <cell r="C80">
            <v>-0.14160393108010202</v>
          </cell>
          <cell r="D80">
            <v>-0.41589485607675908</v>
          </cell>
          <cell r="E80">
            <v>0.16235715482034038</v>
          </cell>
          <cell r="F80">
            <v>0.1776976863923998</v>
          </cell>
          <cell r="G80">
            <v>-8.7163383766295552E-2</v>
          </cell>
          <cell r="H80">
            <v>-0.37148002330467322</v>
          </cell>
          <cell r="I80">
            <v>4.2737135052954317E-2</v>
          </cell>
          <cell r="J80">
            <v>0.25142144125138283</v>
          </cell>
          <cell r="K80">
            <v>0.15944397082504502</v>
          </cell>
          <cell r="L80">
            <v>0.22932840418977199</v>
          </cell>
          <cell r="M80">
            <v>0.14015009230916772</v>
          </cell>
          <cell r="N80">
            <v>0.21164660745256739</v>
          </cell>
          <cell r="O80">
            <v>0.27526496929876015</v>
          </cell>
          <cell r="P80">
            <v>0.18094497642971724</v>
          </cell>
          <cell r="Q80">
            <v>8.2678265849451579E-2</v>
          </cell>
          <cell r="R80">
            <v>0.2712386925157006</v>
          </cell>
          <cell r="S80">
            <v>0.11574439136014347</v>
          </cell>
          <cell r="T80">
            <v>0.38928979274485515</v>
          </cell>
          <cell r="U80">
            <v>6.9231472382824122E-2</v>
          </cell>
          <cell r="V80">
            <v>0.33399678359314044</v>
          </cell>
          <cell r="W80">
            <v>8.0771507947351689E-2</v>
          </cell>
          <cell r="X80">
            <v>0.14342463820845433</v>
          </cell>
          <cell r="Y80">
            <v>0.14985814028075892</v>
          </cell>
          <cell r="Z80">
            <v>0.37550245066258653</v>
          </cell>
          <cell r="AA80">
            <v>0.19192810563540216</v>
          </cell>
          <cell r="AB80">
            <v>0.13930128962887275</v>
          </cell>
          <cell r="AC80">
            <v>0.18110580584082819</v>
          </cell>
          <cell r="AD80">
            <v>0.20206285277092081</v>
          </cell>
          <cell r="AE80">
            <v>0.29119233073696826</v>
          </cell>
          <cell r="AF80">
            <v>8.9226302519257339E-2</v>
          </cell>
          <cell r="AG80">
            <v>0.13556086367739995</v>
          </cell>
          <cell r="AH80">
            <v>0.23756007660896894</v>
          </cell>
          <cell r="AI80">
            <v>0.22646202759653927</v>
          </cell>
          <cell r="AJ80">
            <v>0.16760110012105797</v>
          </cell>
          <cell r="AK80">
            <v>0.1356653793924664</v>
          </cell>
          <cell r="AL80">
            <v>0.18312343364993786</v>
          </cell>
          <cell r="AM80">
            <v>0.18957667426895128</v>
          </cell>
          <cell r="AN80">
            <v>0.24519474058889626</v>
          </cell>
          <cell r="AO80">
            <v>0.20370048367464982</v>
          </cell>
          <cell r="AP80">
            <v>0.13956543422114281</v>
          </cell>
          <cell r="AQ80">
            <v>0.27850588497251855</v>
          </cell>
          <cell r="AR80">
            <v>0.15454184733845003</v>
          </cell>
          <cell r="AS80">
            <v>0.21374782329986089</v>
          </cell>
          <cell r="AT80">
            <v>0.26826462807138629</v>
          </cell>
          <cell r="AU80">
            <v>8.9062769691041974E-2</v>
          </cell>
          <cell r="AV80">
            <v>0.15780715015838925</v>
          </cell>
          <cell r="AW80">
            <v>0.20110777515335965</v>
          </cell>
          <cell r="AX80">
            <v>0.17072226302458551</v>
          </cell>
          <cell r="AY80">
            <v>0.31404942484987802</v>
          </cell>
          <cell r="AZ80">
            <v>0.12227122938419017</v>
          </cell>
          <cell r="BA80">
            <v>0.24189076738620624</v>
          </cell>
          <cell r="BB80" t="e">
            <v>#REF!</v>
          </cell>
          <cell r="BC80" t="e">
            <v>#REF!</v>
          </cell>
          <cell r="BD80" t="e">
            <v>#REF!</v>
          </cell>
          <cell r="BE80" t="e">
            <v>#REF!</v>
          </cell>
          <cell r="BF80" t="e">
            <v>#REF!</v>
          </cell>
          <cell r="BG80" t="e">
            <v>#REF!</v>
          </cell>
          <cell r="BH80" t="e">
            <v>#REF!</v>
          </cell>
          <cell r="BI80" t="e">
            <v>#REF!</v>
          </cell>
          <cell r="BJ80" t="e">
            <v>#REF!</v>
          </cell>
          <cell r="BK80" t="e">
            <v>#REF!</v>
          </cell>
          <cell r="BL80" t="e">
            <v>#REF!</v>
          </cell>
          <cell r="BM80" t="e">
            <v>#REF!</v>
          </cell>
          <cell r="BN80" t="e">
            <v>#REF!</v>
          </cell>
          <cell r="BO80" t="e">
            <v>#REF!</v>
          </cell>
          <cell r="BP80" t="e">
            <v>#REF!</v>
          </cell>
          <cell r="BQ80" t="e">
            <v>#REF!</v>
          </cell>
          <cell r="BR80">
            <v>-0.15408786921122156</v>
          </cell>
          <cell r="BS80">
            <v>-5.7588207426277009E-2</v>
          </cell>
          <cell r="BT80">
            <v>0.1721917864016374</v>
          </cell>
          <cell r="BU80">
            <v>0.14606886638578431</v>
          </cell>
          <cell r="BV80">
            <v>0.17173508289741996</v>
          </cell>
          <cell r="BW80">
            <v>0.15080293934655031</v>
          </cell>
          <cell r="BX80">
            <v>0.22002519741036836</v>
          </cell>
          <cell r="BY80">
            <v>0.17359353401208111</v>
          </cell>
          <cell r="BZ80">
            <v>0.18599431138937195</v>
          </cell>
          <cell r="CA80">
            <v>0.20628948064910094</v>
          </cell>
          <cell r="CB80">
            <v>0.19689900903956467</v>
          </cell>
          <cell r="CC80">
            <v>0.17876481925319493</v>
          </cell>
          <cell r="CD80">
            <v>0.21381505579972704</v>
          </cell>
          <cell r="CE80" t="e">
            <v>#REF!</v>
          </cell>
          <cell r="CF80" t="e">
            <v>#REF!</v>
          </cell>
          <cell r="CG80" t="e">
            <v>#REF!</v>
          </cell>
          <cell r="CH80" t="e">
            <v>#REF!</v>
          </cell>
        </row>
        <row r="83">
          <cell r="A83" t="str">
            <v>Revenue TTM</v>
          </cell>
          <cell r="B83">
            <v>74.682000000000002</v>
          </cell>
          <cell r="C83">
            <v>138.815</v>
          </cell>
          <cell r="D83">
            <v>202.10300000000001</v>
          </cell>
          <cell r="E83">
            <v>273.39300000000003</v>
          </cell>
          <cell r="F83">
            <v>262.36400000000003</v>
          </cell>
          <cell r="G83">
            <v>259.69900000000001</v>
          </cell>
          <cell r="H83">
            <v>262.52499999999998</v>
          </cell>
          <cell r="I83">
            <v>264.20999999999998</v>
          </cell>
          <cell r="J83">
            <v>274.95799999999997</v>
          </cell>
          <cell r="K83">
            <v>294.73899999999998</v>
          </cell>
          <cell r="L83">
            <v>334.53599999999994</v>
          </cell>
          <cell r="M83">
            <v>387.22</v>
          </cell>
          <cell r="N83">
            <v>416.96500000000003</v>
          </cell>
          <cell r="O83">
            <v>437.10400000000004</v>
          </cell>
          <cell r="P83">
            <v>437.13799999999998</v>
          </cell>
          <cell r="Q83">
            <v>445.90999999999997</v>
          </cell>
          <cell r="R83">
            <v>456.34399999999999</v>
          </cell>
          <cell r="S83">
            <v>476.20299999999997</v>
          </cell>
          <cell r="T83">
            <v>490.66099999999994</v>
          </cell>
          <cell r="U83">
            <v>517.279</v>
          </cell>
          <cell r="V83">
            <v>528.35300000000007</v>
          </cell>
          <cell r="W83">
            <v>537.62300000000005</v>
          </cell>
          <cell r="X83">
            <v>552.33400000000006</v>
          </cell>
          <cell r="Y83">
            <v>577.38599999999997</v>
          </cell>
          <cell r="Z83">
            <v>598.30999999999995</v>
          </cell>
          <cell r="AA83">
            <v>617.82499999999982</v>
          </cell>
          <cell r="AB83">
            <v>645.048</v>
          </cell>
          <cell r="AC83">
            <v>644.471</v>
          </cell>
          <cell r="AD83">
            <v>630.78899999999999</v>
          </cell>
          <cell r="AE83">
            <v>623.42699999999991</v>
          </cell>
          <cell r="AF83">
            <v>611.34199999999987</v>
          </cell>
          <cell r="AG83">
            <v>621.38799999999992</v>
          </cell>
          <cell r="AH83">
            <v>643.53600000000006</v>
          </cell>
          <cell r="AI83">
            <v>674.13599999999997</v>
          </cell>
          <cell r="AJ83">
            <v>708.36</v>
          </cell>
          <cell r="AK83">
            <v>754.00699999999995</v>
          </cell>
          <cell r="AL83">
            <v>784.30399999999997</v>
          </cell>
          <cell r="AM83">
            <v>827.45499999999993</v>
          </cell>
          <cell r="AN83">
            <v>871.952</v>
          </cell>
          <cell r="AO83">
            <v>920.24599999999998</v>
          </cell>
          <cell r="AP83">
            <v>960.60699999999997</v>
          </cell>
          <cell r="AQ83">
            <v>991.54899999999998</v>
          </cell>
          <cell r="AR83">
            <v>1017.597</v>
          </cell>
          <cell r="AS83">
            <v>1024.6130000000001</v>
          </cell>
          <cell r="AT83">
            <v>1036.701</v>
          </cell>
          <cell r="AU83">
            <v>1035.184</v>
          </cell>
          <cell r="AV83">
            <v>1037.163</v>
          </cell>
          <cell r="AW83">
            <v>1040.76458</v>
          </cell>
          <cell r="AX83">
            <v>1055.1507300000001</v>
          </cell>
          <cell r="AY83">
            <v>1074.8279300000002</v>
          </cell>
          <cell r="AZ83">
            <v>1101.6879300000001</v>
          </cell>
          <cell r="BA83">
            <v>1142.7936460000001</v>
          </cell>
          <cell r="BB83">
            <v>1142.7936460000001</v>
          </cell>
          <cell r="BC83">
            <v>1142.7936460000001</v>
          </cell>
          <cell r="BD83">
            <v>1142.7936459999999</v>
          </cell>
          <cell r="BE83">
            <v>1142.7936460000001</v>
          </cell>
          <cell r="BF83">
            <v>1142.7936460000001</v>
          </cell>
          <cell r="BG83">
            <v>1142.7936460000001</v>
          </cell>
          <cell r="BH83">
            <v>1142.7936459999999</v>
          </cell>
          <cell r="BI83">
            <v>1142.7936460000001</v>
          </cell>
          <cell r="BJ83">
            <v>1142.7936460000001</v>
          </cell>
          <cell r="BK83">
            <v>1142.7936460000001</v>
          </cell>
          <cell r="BL83">
            <v>1142.7936459999999</v>
          </cell>
          <cell r="BM83">
            <v>1142.7936460000001</v>
          </cell>
          <cell r="BN83">
            <v>1142.7936460000001</v>
          </cell>
          <cell r="BO83">
            <v>1142.7936460000001</v>
          </cell>
          <cell r="BP83">
            <v>1142.7936459999999</v>
          </cell>
          <cell r="BQ83">
            <v>1142.7936460000001</v>
          </cell>
          <cell r="BR83">
            <v>273.39300000000003</v>
          </cell>
          <cell r="BS83">
            <v>264.20999999999998</v>
          </cell>
          <cell r="BT83">
            <v>387.22</v>
          </cell>
          <cell r="BU83">
            <v>445.90999999999997</v>
          </cell>
          <cell r="BV83">
            <v>517.279</v>
          </cell>
          <cell r="BW83">
            <v>577.38599999999997</v>
          </cell>
          <cell r="BX83">
            <v>644.471</v>
          </cell>
          <cell r="BY83">
            <v>621.38799999999992</v>
          </cell>
          <cell r="BZ83">
            <v>754.00699999999995</v>
          </cell>
          <cell r="CA83">
            <v>920.24599999999998</v>
          </cell>
          <cell r="CB83">
            <v>1024.6130000000001</v>
          </cell>
          <cell r="CC83">
            <v>1040.76458</v>
          </cell>
          <cell r="CD83">
            <v>1142.7936460000001</v>
          </cell>
          <cell r="CE83">
            <v>1142.7936460000001</v>
          </cell>
          <cell r="CF83">
            <v>1142.7936460000001</v>
          </cell>
          <cell r="CG83">
            <v>1142.7936460000001</v>
          </cell>
          <cell r="CH83">
            <v>1142.7936460000001</v>
          </cell>
        </row>
        <row r="445">
          <cell r="A445" t="str">
            <v>Total Current Assets</v>
          </cell>
          <cell r="Z445">
            <v>449.08299999999997</v>
          </cell>
          <cell r="AA445">
            <v>437.05900000000003</v>
          </cell>
          <cell r="AB445">
            <v>436.49700000000001</v>
          </cell>
          <cell r="AC445">
            <v>447.15899999999999</v>
          </cell>
          <cell r="AD445">
            <v>447.78299999999996</v>
          </cell>
          <cell r="AE445">
            <v>472.20699999999999</v>
          </cell>
          <cell r="AF445">
            <v>433.73099999999999</v>
          </cell>
          <cell r="AG445">
            <v>500.23700000000002</v>
          </cell>
          <cell r="AH445">
            <v>439.05199999999996</v>
          </cell>
          <cell r="AI445">
            <v>442.40200000000004</v>
          </cell>
          <cell r="AJ445">
            <v>464.37400000000002</v>
          </cell>
          <cell r="AK445">
            <v>489.12200000000001</v>
          </cell>
          <cell r="AL445">
            <v>472.41500000000008</v>
          </cell>
          <cell r="AM445">
            <v>513.19800000000009</v>
          </cell>
          <cell r="AN445">
            <v>508.67399999999998</v>
          </cell>
          <cell r="AO445">
            <v>566.65600000000006</v>
          </cell>
          <cell r="AP445">
            <v>597.59400000000005</v>
          </cell>
          <cell r="AQ445">
            <v>887.60700000000008</v>
          </cell>
          <cell r="AR445">
            <v>955.15899999999999</v>
          </cell>
          <cell r="AS445">
            <v>1056.9940000000001</v>
          </cell>
          <cell r="AT445">
            <v>1047.7070000000001</v>
          </cell>
          <cell r="AU445">
            <v>978.66499999999996</v>
          </cell>
          <cell r="AV445">
            <v>1034.2587027445786</v>
          </cell>
          <cell r="AW445">
            <v>1106.3858689690076</v>
          </cell>
          <cell r="AX445">
            <v>1144.7098482122242</v>
          </cell>
          <cell r="AY445">
            <v>1202.4850034586859</v>
          </cell>
          <cell r="AZ445">
            <v>1280.9442901011107</v>
          </cell>
          <cell r="BA445">
            <v>1386.4189795904904</v>
          </cell>
          <cell r="BB445" t="e">
            <v>#REF!</v>
          </cell>
          <cell r="BC445" t="e">
            <v>#REF!</v>
          </cell>
          <cell r="BD445" t="e">
            <v>#REF!</v>
          </cell>
          <cell r="BE445" t="e">
            <v>#REF!</v>
          </cell>
          <cell r="BF445" t="e">
            <v>#REF!</v>
          </cell>
          <cell r="BG445" t="e">
            <v>#REF!</v>
          </cell>
          <cell r="BH445" t="e">
            <v>#REF!</v>
          </cell>
          <cell r="BI445" t="e">
            <v>#REF!</v>
          </cell>
          <cell r="BJ445" t="e">
            <v>#REF!</v>
          </cell>
          <cell r="BK445" t="e">
            <v>#REF!</v>
          </cell>
          <cell r="BL445" t="e">
            <v>#REF!</v>
          </cell>
          <cell r="BM445" t="e">
            <v>#REF!</v>
          </cell>
          <cell r="BN445" t="e">
            <v>#REF!</v>
          </cell>
          <cell r="BO445" t="e">
            <v>#REF!</v>
          </cell>
          <cell r="BP445" t="e">
            <v>#REF!</v>
          </cell>
          <cell r="BQ445" t="e">
            <v>#REF!</v>
          </cell>
          <cell r="BR445">
            <v>713.59300000000007</v>
          </cell>
          <cell r="BS445">
            <v>678.33100000000002</v>
          </cell>
          <cell r="BT445">
            <v>602.40699999999993</v>
          </cell>
          <cell r="BU445">
            <v>618.15100000000007</v>
          </cell>
          <cell r="BV445">
            <v>724.41</v>
          </cell>
          <cell r="BW445">
            <v>481.041</v>
          </cell>
          <cell r="BX445">
            <v>447.15899999999999</v>
          </cell>
          <cell r="BY445">
            <v>500.23700000000002</v>
          </cell>
          <cell r="BZ445">
            <v>489.12200000000001</v>
          </cell>
          <cell r="CA445">
            <v>566.65600000000006</v>
          </cell>
          <cell r="CB445">
            <v>1056.9940000000001</v>
          </cell>
          <cell r="CC445">
            <v>1106.3858689690076</v>
          </cell>
          <cell r="CD445">
            <v>1386.4189795904904</v>
          </cell>
          <cell r="CE445" t="e">
            <v>#REF!</v>
          </cell>
          <cell r="CF445" t="e">
            <v>#REF!</v>
          </cell>
          <cell r="CG445" t="e">
            <v>#REF!</v>
          </cell>
          <cell r="CH445" t="e">
            <v>#REF!</v>
          </cell>
        </row>
        <row r="446">
          <cell r="A446" t="str">
            <v>Current Deferred Revenue</v>
          </cell>
          <cell r="Z446">
            <v>138.018</v>
          </cell>
          <cell r="AA446">
            <v>142.85300000000001</v>
          </cell>
          <cell r="AB446">
            <v>131.14599999999999</v>
          </cell>
          <cell r="AC446">
            <v>140.221</v>
          </cell>
          <cell r="AD446">
            <v>147.047</v>
          </cell>
          <cell r="AE446">
            <v>145.62799999999999</v>
          </cell>
          <cell r="AF446">
            <v>141.83600000000001</v>
          </cell>
          <cell r="AG446">
            <v>159.24100000000001</v>
          </cell>
          <cell r="AH446">
            <v>173.02600000000001</v>
          </cell>
          <cell r="AI446">
            <v>178.84399999999999</v>
          </cell>
          <cell r="AJ446">
            <v>175.97</v>
          </cell>
          <cell r="AK446">
            <v>182.89500000000001</v>
          </cell>
          <cell r="AL446">
            <v>192.70099999999999</v>
          </cell>
          <cell r="AM446">
            <v>213.501</v>
          </cell>
          <cell r="AN446">
            <v>218.34</v>
          </cell>
          <cell r="AO446">
            <v>210.23400000000001</v>
          </cell>
          <cell r="AP446">
            <v>222.64400000000001</v>
          </cell>
          <cell r="AQ446">
            <v>231.63399999999999</v>
          </cell>
          <cell r="AR446">
            <v>257.30200000000002</v>
          </cell>
          <cell r="AS446">
            <v>263.476</v>
          </cell>
          <cell r="AT446">
            <v>274.01504</v>
          </cell>
          <cell r="AU446">
            <v>282.23549120000001</v>
          </cell>
          <cell r="AV446">
            <v>282.23549120000001</v>
          </cell>
          <cell r="AW446">
            <v>296.34726576000003</v>
          </cell>
          <cell r="AX446">
            <v>311.16462904800005</v>
          </cell>
          <cell r="AY446">
            <v>320.49956791944004</v>
          </cell>
          <cell r="AZ446">
            <v>320.49956791944004</v>
          </cell>
          <cell r="BA446">
            <v>336.52454631541207</v>
          </cell>
          <cell r="BR446">
            <v>49.780999999999999</v>
          </cell>
          <cell r="BS446">
            <v>42.914000000000001</v>
          </cell>
          <cell r="BT446">
            <v>60.633000000000003</v>
          </cell>
          <cell r="BU446">
            <v>82.3</v>
          </cell>
          <cell r="BV446">
            <v>102.26900000000001</v>
          </cell>
          <cell r="BW446">
            <v>127.2</v>
          </cell>
          <cell r="BX446">
            <v>140.221</v>
          </cell>
          <cell r="BY446">
            <v>159.24100000000001</v>
          </cell>
          <cell r="BZ446">
            <v>182.89500000000001</v>
          </cell>
          <cell r="CA446">
            <v>210.23400000000001</v>
          </cell>
          <cell r="CB446">
            <v>263.476</v>
          </cell>
          <cell r="CC446">
            <v>296.34726576000003</v>
          </cell>
          <cell r="CD446">
            <v>336.52454631541207</v>
          </cell>
        </row>
        <row r="447">
          <cell r="A447" t="str">
            <v>Property, Plant, and Equipment</v>
          </cell>
          <cell r="Z447">
            <v>109.629</v>
          </cell>
          <cell r="AA447">
            <v>108.084</v>
          </cell>
          <cell r="AB447">
            <v>105.551</v>
          </cell>
          <cell r="AC447">
            <v>103.53100000000001</v>
          </cell>
          <cell r="AD447">
            <v>100.79600000000001</v>
          </cell>
          <cell r="AE447">
            <v>99.584000000000003</v>
          </cell>
          <cell r="AF447">
            <v>97.168000000000006</v>
          </cell>
          <cell r="AG447">
            <v>94.631</v>
          </cell>
          <cell r="AH447">
            <v>92.024000000000001</v>
          </cell>
          <cell r="AI447">
            <v>90.644999999999996</v>
          </cell>
          <cell r="AJ447">
            <v>89.245000000000005</v>
          </cell>
          <cell r="AK447">
            <v>88.522999999999996</v>
          </cell>
          <cell r="AL447">
            <v>87.835999999999999</v>
          </cell>
          <cell r="AM447">
            <v>86.975999999999999</v>
          </cell>
          <cell r="AN447">
            <v>87.096000000000004</v>
          </cell>
          <cell r="AO447">
            <v>89.870999999999995</v>
          </cell>
          <cell r="AP447">
            <v>93.426000000000002</v>
          </cell>
          <cell r="AQ447">
            <v>93.525999999999996</v>
          </cell>
          <cell r="AR447">
            <v>94.861999999999995</v>
          </cell>
          <cell r="AS447">
            <v>98.474000000000004</v>
          </cell>
          <cell r="AT447">
            <v>97.073999999999998</v>
          </cell>
          <cell r="AU447">
            <v>95.959000000000003</v>
          </cell>
          <cell r="AV447">
            <v>96.592250000000007</v>
          </cell>
          <cell r="AW447">
            <v>97.024812499999996</v>
          </cell>
          <cell r="AX447">
            <v>96.662515625000012</v>
          </cell>
          <cell r="AY447">
            <v>96.559644531250015</v>
          </cell>
          <cell r="AZ447">
            <v>96.7098056640625</v>
          </cell>
          <cell r="BA447">
            <v>96.739194580078134</v>
          </cell>
          <cell r="BB447">
            <v>96.739194580078134</v>
          </cell>
          <cell r="BC447">
            <v>96.739194580078134</v>
          </cell>
          <cell r="BD447">
            <v>96.739194580078134</v>
          </cell>
          <cell r="BE447">
            <v>96.739194580078134</v>
          </cell>
          <cell r="BF447">
            <v>96.739194580078134</v>
          </cell>
          <cell r="BG447">
            <v>96.739194580078134</v>
          </cell>
          <cell r="BH447">
            <v>96.739194580078134</v>
          </cell>
          <cell r="BI447">
            <v>96.739194580078134</v>
          </cell>
          <cell r="BJ447">
            <v>96.739194580078134</v>
          </cell>
          <cell r="BK447">
            <v>96.739194580078134</v>
          </cell>
          <cell r="BL447">
            <v>96.739194580078134</v>
          </cell>
          <cell r="BM447">
            <v>96.739194580078134</v>
          </cell>
          <cell r="BN447">
            <v>96.739194580078134</v>
          </cell>
          <cell r="BO447">
            <v>96.739194580078134</v>
          </cell>
          <cell r="BP447">
            <v>96.739194580078134</v>
          </cell>
          <cell r="BQ447">
            <v>96.739194580078134</v>
          </cell>
          <cell r="BR447">
            <v>54.826999999999998</v>
          </cell>
          <cell r="BS447">
            <v>119.124</v>
          </cell>
          <cell r="BT447">
            <v>118.05800000000001</v>
          </cell>
          <cell r="BU447">
            <v>116.45699999999999</v>
          </cell>
          <cell r="BV447">
            <v>113.78700000000001</v>
          </cell>
          <cell r="BW447">
            <v>111.39</v>
          </cell>
          <cell r="BX447">
            <v>103.53100000000001</v>
          </cell>
          <cell r="BY447">
            <v>94.631</v>
          </cell>
          <cell r="BZ447">
            <v>88.522999999999996</v>
          </cell>
          <cell r="CA447">
            <v>89.870999999999995</v>
          </cell>
          <cell r="CB447">
            <v>98.474000000000004</v>
          </cell>
          <cell r="CC447">
            <v>97.024812499999996</v>
          </cell>
          <cell r="CD447">
            <v>96.739194580078134</v>
          </cell>
          <cell r="CE447">
            <v>96.739194580078134</v>
          </cell>
          <cell r="CF447">
            <v>96.739194580078134</v>
          </cell>
          <cell r="CG447">
            <v>96.739194580078134</v>
          </cell>
          <cell r="CH447">
            <v>96.739194580078134</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Upside_Downside"/>
      <sheetName val="QUICK SUMMARY"/>
      <sheetName val="guidance"/>
      <sheetName val="EHS"/>
      <sheetName val="MA Multiples"/>
      <sheetName val="SENSITIVITY"/>
      <sheetName val="Job Postings"/>
      <sheetName val="WACC"/>
      <sheetName val="DCF"/>
      <sheetName val="LINKS&amp;INPUTS"/>
      <sheetName val="RBC FLTX Model"/>
    </sheetNames>
    <sheetDataSet>
      <sheetData sheetId="0"/>
      <sheetData sheetId="1" refreshError="1">
        <row r="410">
          <cell r="A410" t="str">
            <v>Prepaid Expenses and Other Current Assets</v>
          </cell>
        </row>
        <row r="476">
          <cell r="A476" t="str">
            <v>Balance Sheet Ratios</v>
          </cell>
          <cell r="AD476" t="e">
            <v>#DIV/0!</v>
          </cell>
          <cell r="AE476" t="e">
            <v>#DIV/0!</v>
          </cell>
          <cell r="AF476" t="e">
            <v>#DIV/0!</v>
          </cell>
          <cell r="AG476" t="e">
            <v>#DIV/0!</v>
          </cell>
          <cell r="AH476" t="e">
            <v>#DIV/0!</v>
          </cell>
          <cell r="AI476">
            <v>1.8528881181784085E-2</v>
          </cell>
          <cell r="AJ476">
            <v>-4.2241978027510507E-2</v>
          </cell>
          <cell r="AK476">
            <v>-5.4036882922382845E-2</v>
          </cell>
          <cell r="AL476">
            <v>-6.4232756396914947E-2</v>
          </cell>
          <cell r="AM476">
            <v>-4.4607170004078545E-2</v>
          </cell>
          <cell r="AN476">
            <v>-1.3238346141066559E-2</v>
          </cell>
          <cell r="AO476">
            <v>-5.9317945875450695E-2</v>
          </cell>
          <cell r="AP476">
            <v>-5.4280069547434251E-2</v>
          </cell>
          <cell r="AQ476">
            <v>-0.11289963237938672</v>
          </cell>
          <cell r="AR476">
            <v>-0.11649349056523417</v>
          </cell>
          <cell r="AS476">
            <v>-8.2089170412107282E-2</v>
          </cell>
          <cell r="AT476">
            <v>-1.2112637286394112E-2</v>
          </cell>
          <cell r="AU476">
            <v>-3.2452107279693387E-2</v>
          </cell>
          <cell r="AV476">
            <v>-1.8492852334376031E-2</v>
          </cell>
          <cell r="AW476">
            <v>4.9705478899378708E-2</v>
          </cell>
          <cell r="AX476">
            <v>0.11442078560996216</v>
          </cell>
          <cell r="AY476">
            <v>1.8692878082428033E-2</v>
          </cell>
          <cell r="AZ476">
            <v>-3.817110742458607E-2</v>
          </cell>
          <cell r="BA476">
            <v>1.0196954966535943E-2</v>
          </cell>
          <cell r="BB476">
            <v>-1.453737707841285E-2</v>
          </cell>
          <cell r="BC476">
            <v>-2.0555823375109306E-2</v>
          </cell>
          <cell r="BD476">
            <v>-3.0802825892838559E-2</v>
          </cell>
          <cell r="BE476">
            <v>4.1655975603208661E-2</v>
          </cell>
          <cell r="BF476">
            <v>-1.4241456435265532E-3</v>
          </cell>
          <cell r="BG476">
            <v>-1.5839897827451543E-2</v>
          </cell>
          <cell r="BH476">
            <v>2.1657303360172131E-2</v>
          </cell>
          <cell r="BI476">
            <v>3.0282092863104904E-2</v>
          </cell>
          <cell r="BJ476">
            <v>6.736906824496236E-3</v>
          </cell>
          <cell r="BK476">
            <v>-1.0238491677027839E-2</v>
          </cell>
          <cell r="BL476">
            <v>3.344690225272684E-2</v>
          </cell>
          <cell r="BM476">
            <v>4.2721025025437509E-2</v>
          </cell>
          <cell r="BN476">
            <v>7.6478666361283754E-3</v>
          </cell>
          <cell r="BO476">
            <v>-1.1612425670427085E-2</v>
          </cell>
          <cell r="BP476">
            <v>3.7987975543415375E-2</v>
          </cell>
          <cell r="BQ476">
            <v>4.8308967828896598E-2</v>
          </cell>
        </row>
        <row r="482">
          <cell r="A482" t="str">
            <v>Net Working Capital</v>
          </cell>
          <cell r="AD482">
            <v>0</v>
          </cell>
          <cell r="AE482">
            <v>0</v>
          </cell>
          <cell r="AF482">
            <v>0</v>
          </cell>
          <cell r="AG482">
            <v>0</v>
          </cell>
          <cell r="AH482">
            <v>-4.8418796426884718</v>
          </cell>
          <cell r="AI482">
            <v>-6.7514754299877389</v>
          </cell>
          <cell r="AJ482">
            <v>-6.8397197334777502</v>
          </cell>
          <cell r="AK482">
            <v>-7.1916362785276959</v>
          </cell>
          <cell r="AL482">
            <v>-8.2529613202810133</v>
          </cell>
          <cell r="AM482">
            <v>-8.5267380769146754</v>
          </cell>
          <cell r="AN482">
            <v>-10.591146718102387</v>
          </cell>
          <cell r="AO482">
            <v>-0.38805230649735023</v>
          </cell>
          <cell r="AP482">
            <v>0.11010526305007318</v>
          </cell>
          <cell r="AQ482">
            <v>-2.8085891218535153</v>
          </cell>
          <cell r="AR482">
            <v>-6.1147732455639314</v>
          </cell>
          <cell r="AS482">
            <v>-8.8360963782327993</v>
          </cell>
          <cell r="AT482">
            <v>-8.5600000000000023</v>
          </cell>
          <cell r="AU482">
            <v>-7.1050000000000004</v>
          </cell>
          <cell r="AV482">
            <v>-12.857000000000006</v>
          </cell>
          <cell r="AW482">
            <v>89.135999999999981</v>
          </cell>
          <cell r="AX482">
            <v>104.38134159110921</v>
          </cell>
          <cell r="AY482">
            <v>119.36363363144454</v>
          </cell>
          <cell r="AZ482">
            <v>135.6365869566516</v>
          </cell>
          <cell r="BA482">
            <v>153.31745242872753</v>
          </cell>
          <cell r="BB482">
            <v>166.893938594952</v>
          </cell>
          <cell r="BC482">
            <v>183.17039532425954</v>
          </cell>
          <cell r="BD482">
            <v>201.1448038663369</v>
          </cell>
          <cell r="BE482">
            <v>220.06493259387597</v>
          </cell>
          <cell r="BF482">
            <v>236.70287787498447</v>
          </cell>
          <cell r="BG482">
            <v>254.03917016697</v>
          </cell>
          <cell r="BH482">
            <v>271.9884624589555</v>
          </cell>
          <cell r="BI482">
            <v>290.86738120933808</v>
          </cell>
          <cell r="BJ482">
            <v>300.91409529285005</v>
          </cell>
          <cell r="BK482">
            <v>313.26701404323273</v>
          </cell>
          <cell r="BL482">
            <v>327.23293279361525</v>
          </cell>
          <cell r="BM482">
            <v>343.20380329407442</v>
          </cell>
          <cell r="BN482">
            <v>358.92765496892901</v>
          </cell>
          <cell r="BO482">
            <v>377.75013753186909</v>
          </cell>
          <cell r="BP482">
            <v>397.68262009480907</v>
          </cell>
          <cell r="BQ482">
            <v>419.20344717033714</v>
          </cell>
        </row>
        <row r="483">
          <cell r="A483" t="str">
            <v>As a Percentage of TTM Revenue</v>
          </cell>
          <cell r="AD483" t="e">
            <v>#DIV/0!</v>
          </cell>
          <cell r="AE483" t="e">
            <v>#DIV/0!</v>
          </cell>
          <cell r="AF483" t="e">
            <v>#DIV/0!</v>
          </cell>
          <cell r="AG483" t="e">
            <v>#DIV/0!</v>
          </cell>
          <cell r="AH483">
            <v>-0.47898796967885227</v>
          </cell>
          <cell r="AI483">
            <v>-0.31847633424308153</v>
          </cell>
          <cell r="AJ483">
            <v>-0.20609708935405388</v>
          </cell>
          <cell r="AK483">
            <v>-0.15614600304339432</v>
          </cell>
          <cell r="AL483">
            <v>-0.16856625358460503</v>
          </cell>
          <cell r="AM483">
            <v>-0.1654065191521995</v>
          </cell>
          <cell r="AN483">
            <v>-0.18614060993466755</v>
          </cell>
          <cell r="AO483">
            <v>-5.998541979451882E-3</v>
          </cell>
          <cell r="AP483">
            <v>1.5324394635156328E-3</v>
          </cell>
          <cell r="AQ483">
            <v>-3.4852224404417188E-2</v>
          </cell>
          <cell r="AR483">
            <v>-7.0192145275668777E-2</v>
          </cell>
          <cell r="AS483">
            <v>-9.5715065697408827E-2</v>
          </cell>
          <cell r="AT483">
            <v>-8.5612047193628638E-2</v>
          </cell>
          <cell r="AU483">
            <v>-6.5705658591014848E-2</v>
          </cell>
          <cell r="AV483">
            <v>-0.10942722994065709</v>
          </cell>
          <cell r="AW483">
            <v>0.69938014907806978</v>
          </cell>
          <cell r="AX483">
            <v>0.76184643270328078</v>
          </cell>
          <cell r="AY483">
            <v>0.81786163122966404</v>
          </cell>
          <cell r="AZ483">
            <v>0.8766527294720925</v>
          </cell>
          <cell r="BA483">
            <v>0.93543290072439023</v>
          </cell>
          <cell r="BB483">
            <v>0.96192471812652469</v>
          </cell>
          <cell r="BC483">
            <v>0.998203789233022</v>
          </cell>
          <cell r="BD483">
            <v>1.0395080303169864</v>
          </cell>
          <cell r="BE483">
            <v>1.0814001601664665</v>
          </cell>
          <cell r="BF483">
            <v>1.099664937862878</v>
          </cell>
          <cell r="BG483">
            <v>1.1160424828861943</v>
          </cell>
          <cell r="BH483">
            <v>1.1303416621670879</v>
          </cell>
          <cell r="BI483">
            <v>1.1434589924691423</v>
          </cell>
          <cell r="BJ483">
            <v>1.1307246417767969</v>
          </cell>
          <cell r="BK483">
            <v>1.1248366752001175</v>
          </cell>
          <cell r="BL483">
            <v>1.1225829598408756</v>
          </cell>
          <cell r="BM483">
            <v>1.1243367839281717</v>
          </cell>
          <cell r="BN483">
            <v>1.1364763871413885</v>
          </cell>
          <cell r="BO483">
            <v>1.1553316895113939</v>
          </cell>
          <cell r="BP483">
            <v>1.1742741522749316</v>
          </cell>
          <cell r="BQ483">
            <v>1.1941842315146876</v>
          </cell>
        </row>
        <row r="484">
          <cell r="A484" t="str">
            <v>Current Ratio</v>
          </cell>
          <cell r="AD484" t="e">
            <v>#DIV/0!</v>
          </cell>
          <cell r="AE484" t="e">
            <v>#DIV/0!</v>
          </cell>
          <cell r="AF484" t="e">
            <v>#DIV/0!</v>
          </cell>
          <cell r="AG484" t="e">
            <v>#DIV/0!</v>
          </cell>
          <cell r="AH484">
            <v>0.83157901462997608</v>
          </cell>
          <cell r="AI484">
            <v>0.78177327084708492</v>
          </cell>
          <cell r="AJ484">
            <v>0.76894405351051309</v>
          </cell>
          <cell r="AK484">
            <v>0.7575366469857413</v>
          </cell>
          <cell r="AL484">
            <v>0.73209803068978252</v>
          </cell>
          <cell r="AM484">
            <v>0.72592158888063307</v>
          </cell>
          <cell r="AN484">
            <v>0.69224678737973544</v>
          </cell>
          <cell r="AO484">
            <v>0.98989696967148266</v>
          </cell>
          <cell r="AP484">
            <v>1.0030557993651181</v>
          </cell>
          <cell r="AQ484">
            <v>0.92339523609063956</v>
          </cell>
          <cell r="AR484">
            <v>0.83124465236973377</v>
          </cell>
          <cell r="AS484">
            <v>0.76238376098484895</v>
          </cell>
          <cell r="AT484">
            <v>0.77733846634065129</v>
          </cell>
          <cell r="AU484">
            <v>0.81694749317256654</v>
          </cell>
          <cell r="AV484">
            <v>0.71870213976283193</v>
          </cell>
          <cell r="AW484">
            <v>3.2587464300285598</v>
          </cell>
          <cell r="AX484">
            <v>3.0675580411692831</v>
          </cell>
          <cell r="AY484">
            <v>3.1043764878227429</v>
          </cell>
          <cell r="AZ484">
            <v>3.2125757471664631</v>
          </cell>
          <cell r="BA484">
            <v>3.1957792519703818</v>
          </cell>
          <cell r="BB484">
            <v>3.1929344602555907</v>
          </cell>
          <cell r="BC484">
            <v>3.2032096377885759</v>
          </cell>
          <cell r="BD484">
            <v>3.2942099566155014</v>
          </cell>
          <cell r="BE484">
            <v>3.4299465523507098</v>
          </cell>
          <cell r="BF484">
            <v>3.6833857611640988</v>
          </cell>
          <cell r="BG484">
            <v>4.0091305018863324</v>
          </cell>
          <cell r="BH484">
            <v>4.4232556451231995</v>
          </cell>
          <cell r="BI484">
            <v>4.6687437241680207</v>
          </cell>
          <cell r="BJ484">
            <v>4.8786434851380323</v>
          </cell>
          <cell r="BK484">
            <v>5.0483917609316578</v>
          </cell>
          <cell r="BL484">
            <v>5.3649945546636246</v>
          </cell>
          <cell r="BM484">
            <v>5.4553545961325813</v>
          </cell>
          <cell r="BN484">
            <v>5.8359107380653228</v>
          </cell>
          <cell r="BO484">
            <v>6.0866388249630159</v>
          </cell>
          <cell r="BP484">
            <v>6.515722128837881</v>
          </cell>
          <cell r="BQ484">
            <v>6.609117887044766</v>
          </cell>
        </row>
        <row r="486">
          <cell r="A486" t="str">
            <v>Total Asset Turnover</v>
          </cell>
          <cell r="AD486" t="e">
            <v>#DIV/0!</v>
          </cell>
          <cell r="AE486" t="e">
            <v>#DIV/0!</v>
          </cell>
          <cell r="AF486" t="e">
            <v>#DIV/0!</v>
          </cell>
          <cell r="AG486" t="e">
            <v>#DIV/0!</v>
          </cell>
          <cell r="AH486">
            <v>0.38963638970448666</v>
          </cell>
          <cell r="AI486">
            <v>0.80107576701866878</v>
          </cell>
          <cell r="AJ486">
            <v>1.2766695882040604</v>
          </cell>
          <cell r="AK486">
            <v>1.7892149173729999</v>
          </cell>
          <cell r="AL486">
            <v>0.9515273348278912</v>
          </cell>
          <cell r="AM486">
            <v>0.98972131292120435</v>
          </cell>
          <cell r="AN486">
            <v>0.80287511841898318</v>
          </cell>
          <cell r="AO486">
            <v>0.83025234379734814</v>
          </cell>
          <cell r="AP486">
            <v>0.92142783425346442</v>
          </cell>
          <cell r="AQ486">
            <v>1.0364155191879858</v>
          </cell>
          <cell r="AR486">
            <v>0.91056237534947537</v>
          </cell>
          <cell r="AS486">
            <v>0.9053876015090111</v>
          </cell>
          <cell r="AT486">
            <v>0.95427665175085952</v>
          </cell>
          <cell r="AU486">
            <v>1.0010006576251393</v>
          </cell>
          <cell r="AV486">
            <v>1.0684278226931796</v>
          </cell>
          <cell r="AW486">
            <v>0.82258534258025662</v>
          </cell>
          <cell r="AX486">
            <v>0.72652688669639731</v>
          </cell>
          <cell r="AY486">
            <v>0.72286244329844485</v>
          </cell>
          <cell r="AZ486">
            <v>0.71726509990052989</v>
          </cell>
          <cell r="BA486">
            <v>0.59767214878781649</v>
          </cell>
          <cell r="BB486">
            <v>0.54935355948823406</v>
          </cell>
          <cell r="BC486">
            <v>0.5451566291017973</v>
          </cell>
          <cell r="BD486">
            <v>0.53872520652362288</v>
          </cell>
          <cell r="BE486">
            <v>0.52876540344900691</v>
          </cell>
          <cell r="BF486">
            <v>0.53261773935813461</v>
          </cell>
          <cell r="BG486">
            <v>0.53698953160747365</v>
          </cell>
          <cell r="BH486">
            <v>0.54206473141090306</v>
          </cell>
          <cell r="BI486">
            <v>0.54469921837474622</v>
          </cell>
          <cell r="BJ486">
            <v>0.54791488801905297</v>
          </cell>
          <cell r="BK486">
            <v>0.55030350315954901</v>
          </cell>
          <cell r="BL486">
            <v>0.55496983017230439</v>
          </cell>
          <cell r="BM486">
            <v>0.5557506877515177</v>
          </cell>
          <cell r="BN486">
            <v>0.55700803753006323</v>
          </cell>
          <cell r="BO486">
            <v>0.55494545868420875</v>
          </cell>
          <cell r="BP486">
            <v>0.55519132831760687</v>
          </cell>
          <cell r="BQ486">
            <v>0.55146920647171094</v>
          </cell>
        </row>
        <row r="487">
          <cell r="A487" t="str">
            <v>Net Fixed Asset Turnover</v>
          </cell>
          <cell r="AD487" t="e">
            <v>#DIV/0!</v>
          </cell>
          <cell r="AE487" t="e">
            <v>#DIV/0!</v>
          </cell>
          <cell r="AF487" t="e">
            <v>#DIV/0!</v>
          </cell>
          <cell r="AG487" t="e">
            <v>#DIV/0!</v>
          </cell>
          <cell r="AH487">
            <v>48.287823664628135</v>
          </cell>
          <cell r="AI487">
            <v>93.129105781071104</v>
          </cell>
          <cell r="AJ487">
            <v>113.75448341987513</v>
          </cell>
          <cell r="AK487">
            <v>110.11498290463784</v>
          </cell>
          <cell r="AL487">
            <v>75.698687406154093</v>
          </cell>
          <cell r="AM487">
            <v>77.435345830189632</v>
          </cell>
          <cell r="AN487">
            <v>50.241148111976635</v>
          </cell>
          <cell r="AO487">
            <v>54.050518511570672</v>
          </cell>
          <cell r="AP487">
            <v>52.865156900763274</v>
          </cell>
          <cell r="AQ487">
            <v>53.470000488366843</v>
          </cell>
          <cell r="AR487">
            <v>37.91155031564945</v>
          </cell>
          <cell r="AS487">
            <v>38.534470049561357</v>
          </cell>
          <cell r="AT487">
            <v>31.604308682792297</v>
          </cell>
          <cell r="AU487">
            <v>29.130601816342409</v>
          </cell>
          <cell r="AV487">
            <v>5.8368652612446992</v>
          </cell>
          <cell r="AW487">
            <v>5.7453670583002792</v>
          </cell>
          <cell r="AX487">
            <v>6.0071466152227284</v>
          </cell>
          <cell r="AY487">
            <v>6.1557214559871776</v>
          </cell>
          <cell r="AZ487">
            <v>3.845098599599885</v>
          </cell>
          <cell r="BA487">
            <v>3.8445299305685867</v>
          </cell>
          <cell r="BB487">
            <v>4.0697128917245253</v>
          </cell>
          <cell r="BC487">
            <v>4.2056288962229562</v>
          </cell>
          <cell r="BD487">
            <v>4.3354543825058265</v>
          </cell>
          <cell r="BE487">
            <v>4.459589761570828</v>
          </cell>
          <cell r="BF487">
            <v>4.7693432597713379</v>
          </cell>
          <cell r="BG487">
            <v>5.0435389524062755</v>
          </cell>
          <cell r="BH487">
            <v>5.3315829123460077</v>
          </cell>
          <cell r="BI487">
            <v>5.6362447930514934</v>
          </cell>
          <cell r="BJ487">
            <v>5.3891093920861852</v>
          </cell>
          <cell r="BK487">
            <v>5.1927953460620531</v>
          </cell>
          <cell r="BL487">
            <v>5.0361079437476244</v>
          </cell>
          <cell r="BM487">
            <v>4.9129273160368241</v>
          </cell>
          <cell r="BN487">
            <v>4.7133135344068524</v>
          </cell>
          <cell r="BO487">
            <v>4.5486004841267631</v>
          </cell>
          <cell r="BP487">
            <v>4.4121383066039579</v>
          </cell>
          <cell r="BQ487">
            <v>4.3002437769502153</v>
          </cell>
        </row>
        <row r="488">
          <cell r="A488" t="str">
            <v>Net Working Capital Turnover</v>
          </cell>
          <cell r="AD488" t="e">
            <v>#DIV/0!</v>
          </cell>
          <cell r="AE488" t="e">
            <v>#DIV/0!</v>
          </cell>
          <cell r="AF488" t="e">
            <v>#DIV/0!</v>
          </cell>
          <cell r="AG488" t="e">
            <v>#DIV/0!</v>
          </cell>
          <cell r="AH488">
            <v>-4.1754702134605655</v>
          </cell>
          <cell r="AI488">
            <v>-6.2799014713396941</v>
          </cell>
          <cell r="AJ488">
            <v>-9.7041642182738599</v>
          </cell>
          <cell r="AK488">
            <v>-12.808525104828863</v>
          </cell>
          <cell r="AL488">
            <v>-7.4777155793968824</v>
          </cell>
          <cell r="AM488">
            <v>-6.7481965123528589</v>
          </cell>
          <cell r="AN488">
            <v>-6.5284919332140872</v>
          </cell>
          <cell r="AO488">
            <v>-17.069594311299802</v>
          </cell>
          <cell r="AP488">
            <v>-17.647288647589502</v>
          </cell>
          <cell r="AQ488">
            <v>-14.218495427955945</v>
          </cell>
          <cell r="AR488">
            <v>-10.429210663969265</v>
          </cell>
          <cell r="AS488">
            <v>-20.016301928072966</v>
          </cell>
          <cell r="AT488">
            <v>-23.665603245657703</v>
          </cell>
          <cell r="AU488">
            <v>-21.815259829370785</v>
          </cell>
          <cell r="AV488">
            <v>-12.386149247985236</v>
          </cell>
          <cell r="AW488">
            <v>3.1743500116842394</v>
          </cell>
          <cell r="AX488">
            <v>2.8597178399913488</v>
          </cell>
          <cell r="AY488">
            <v>2.6001741742047955</v>
          </cell>
          <cell r="AZ488">
            <v>2.52030494376277</v>
          </cell>
          <cell r="BA488">
            <v>1.3520120943477232</v>
          </cell>
          <cell r="BB488">
            <v>1.2791434581212153</v>
          </cell>
          <cell r="BC488">
            <v>1.2130866774452496</v>
          </cell>
          <cell r="BD488">
            <v>1.1491133730824408</v>
          </cell>
          <cell r="BE488">
            <v>1.0900353533693385</v>
          </cell>
          <cell r="BF488">
            <v>1.0666585622884057</v>
          </cell>
          <cell r="BG488">
            <v>1.0412626711140252</v>
          </cell>
          <cell r="BH488">
            <v>1.0171552800287078</v>
          </cell>
          <cell r="BI488">
            <v>0.99572876143423072</v>
          </cell>
          <cell r="BJ488">
            <v>0.9900171061635008</v>
          </cell>
          <cell r="BK488">
            <v>0.98183311852214195</v>
          </cell>
          <cell r="BL488">
            <v>0.97292921217251682</v>
          </cell>
          <cell r="BM488">
            <v>0.96282564942314353</v>
          </cell>
          <cell r="BN488">
            <v>0.9572749825990936</v>
          </cell>
          <cell r="BO488">
            <v>0.94632238651304945</v>
          </cell>
          <cell r="BP488">
            <v>0.93435021127798967</v>
          </cell>
          <cell r="BQ488">
            <v>0.92086611134972696</v>
          </cell>
        </row>
        <row r="495">
          <cell r="A495" t="str">
            <v>Accounts Payable Days Outstanding</v>
          </cell>
          <cell r="AD495" t="e">
            <v>#DIV/0!</v>
          </cell>
          <cell r="AE495" t="e">
            <v>#DIV/0!</v>
          </cell>
          <cell r="AF495" t="e">
            <v>#DIV/0!</v>
          </cell>
          <cell r="AG495" t="e">
            <v>#DIV/0!</v>
          </cell>
          <cell r="AH495">
            <v>-107.881451851675</v>
          </cell>
          <cell r="AI495">
            <v>-64.067232427671584</v>
          </cell>
          <cell r="AJ495">
            <v>-37.415753985893026</v>
          </cell>
          <cell r="AK495">
            <v>-33.465978581372376</v>
          </cell>
          <cell r="AL495">
            <v>-58.406646687306058</v>
          </cell>
          <cell r="AM495">
            <v>-55.332279770091162</v>
          </cell>
          <cell r="AN495">
            <v>-57.610586490856541</v>
          </cell>
          <cell r="AO495">
            <v>-59.899220221886331</v>
          </cell>
          <cell r="AP495">
            <v>-54.135224904129835</v>
          </cell>
          <cell r="AQ495">
            <v>-55.827512308211666</v>
          </cell>
          <cell r="AR495">
            <v>-57.471202779121285</v>
          </cell>
          <cell r="AS495">
            <v>-63.503711650296964</v>
          </cell>
          <cell r="AT495">
            <v>-77.743274777235044</v>
          </cell>
          <cell r="AU495">
            <v>-78.352873324596587</v>
          </cell>
          <cell r="AV495">
            <v>-62.136140682421605</v>
          </cell>
          <cell r="AW495">
            <v>-75.078105399301279</v>
          </cell>
          <cell r="AX495">
            <v>-93.320964669069767</v>
          </cell>
          <cell r="AY495">
            <v>-86.774397982042558</v>
          </cell>
          <cell r="AZ495">
            <v>-74.439886610927957</v>
          </cell>
          <cell r="BA495">
            <v>-80.089833848545439</v>
          </cell>
          <cell r="BB495">
            <v>-75.816240690412272</v>
          </cell>
          <cell r="BC495">
            <v>-74.273148339375439</v>
          </cell>
          <cell r="BD495">
            <v>-73.891391074333171</v>
          </cell>
          <cell r="BE495">
            <v>-74.436238385151995</v>
          </cell>
          <cell r="BF495">
            <v>-73.103183087685736</v>
          </cell>
          <cell r="BG495">
            <v>-72.937799677983108</v>
          </cell>
          <cell r="BH495">
            <v>-67.161395690410345</v>
          </cell>
          <cell r="BI495">
            <v>-69.877690938670767</v>
          </cell>
          <cell r="BJ495">
            <v>-72.391016186885096</v>
          </cell>
          <cell r="BK495">
            <v>-75.302558949696163</v>
          </cell>
          <cell r="BL495">
            <v>-67.753291185402233</v>
          </cell>
          <cell r="BM495">
            <v>-74.585823616786513</v>
          </cell>
          <cell r="BN495">
            <v>-71.535376598743227</v>
          </cell>
          <cell r="BO495">
            <v>-75.220118629291221</v>
          </cell>
          <cell r="BP495">
            <v>-68.39098687256417</v>
          </cell>
          <cell r="BQ495">
            <v>-76.059851751505619</v>
          </cell>
        </row>
        <row r="501">
          <cell r="A501" t="str">
            <v>Cash Conversion Cycle</v>
          </cell>
          <cell r="AD501" t="e">
            <v>#DIV/0!</v>
          </cell>
          <cell r="AE501" t="e">
            <v>#DIV/0!</v>
          </cell>
          <cell r="AF501" t="e">
            <v>#DIV/0!</v>
          </cell>
          <cell r="AG501" t="e">
            <v>#DIV/0!</v>
          </cell>
          <cell r="AH501">
            <v>-95.42169111604656</v>
          </cell>
          <cell r="AI501">
            <v>-57.058832230588578</v>
          </cell>
          <cell r="AJ501">
            <v>-33.044437047658064</v>
          </cell>
          <cell r="AK501">
            <v>-27.617506584187236</v>
          </cell>
          <cell r="AL501">
            <v>-50.077554249778707</v>
          </cell>
          <cell r="AM501">
            <v>-46.337329124441389</v>
          </cell>
          <cell r="AN501">
            <v>-44.481815328714454</v>
          </cell>
          <cell r="AO501">
            <v>-47.525762653435613</v>
          </cell>
          <cell r="AP501">
            <v>-40.895344279506169</v>
          </cell>
          <cell r="AQ501">
            <v>-42.458667613648423</v>
          </cell>
          <cell r="AR501">
            <v>-39.770558097502544</v>
          </cell>
          <cell r="AS501">
            <v>-47.12310678543129</v>
          </cell>
          <cell r="AT501">
            <v>-57.628634344639202</v>
          </cell>
          <cell r="AU501">
            <v>-58.973507117109286</v>
          </cell>
          <cell r="AV501">
            <v>-41.900133635479264</v>
          </cell>
          <cell r="AW501">
            <v>-54.677386568585831</v>
          </cell>
          <cell r="AX501">
            <v>-65.277881541884</v>
          </cell>
          <cell r="AY501">
            <v>-57.882144473508497</v>
          </cell>
          <cell r="AZ501">
            <v>-56.694439039298679</v>
          </cell>
          <cell r="BA501">
            <v>-61.154141774185781</v>
          </cell>
          <cell r="BB501">
            <v>-52.956392246410587</v>
          </cell>
          <cell r="BC501">
            <v>-48.185961893832634</v>
          </cell>
          <cell r="BD501">
            <v>-56.577563613010128</v>
          </cell>
          <cell r="BE501">
            <v>-56.422816717466858</v>
          </cell>
          <cell r="BF501">
            <v>-57.408607062060042</v>
          </cell>
          <cell r="BG501">
            <v>-55.822696322773794</v>
          </cell>
          <cell r="BH501">
            <v>-51.331130481213819</v>
          </cell>
          <cell r="BI501">
            <v>-53.807468700670924</v>
          </cell>
          <cell r="BJ501">
            <v>-55.914481808933488</v>
          </cell>
          <cell r="BK501">
            <v>-56.972968675359212</v>
          </cell>
          <cell r="BL501">
            <v>-52.188200548046495</v>
          </cell>
          <cell r="BM501">
            <v>-58.747424704565745</v>
          </cell>
          <cell r="BN501">
            <v>-55.255427902634636</v>
          </cell>
          <cell r="BO501">
            <v>-56.912962840336554</v>
          </cell>
          <cell r="BP501">
            <v>-52.680985497583514</v>
          </cell>
          <cell r="BQ501">
            <v>-59.908441003074969</v>
          </cell>
        </row>
        <row r="503">
          <cell r="A503" t="str">
            <v>Period Ending EV / Trailing 12-Month Total Revenue</v>
          </cell>
          <cell r="AD503" t="e">
            <v>#REF!</v>
          </cell>
          <cell r="AE503" t="e">
            <v>#REF!</v>
          </cell>
          <cell r="AF503" t="e">
            <v>#REF!</v>
          </cell>
          <cell r="AG503" t="e">
            <v>#REF!</v>
          </cell>
          <cell r="AH503" t="e">
            <v>#REF!</v>
          </cell>
          <cell r="AI503" t="e">
            <v>#REF!</v>
          </cell>
          <cell r="AJ503" t="e">
            <v>#REF!</v>
          </cell>
          <cell r="AK503" t="e">
            <v>#REF!</v>
          </cell>
          <cell r="AL503" t="e">
            <v>#REF!</v>
          </cell>
          <cell r="AM503" t="e">
            <v>#REF!</v>
          </cell>
          <cell r="AN503" t="e">
            <v>#REF!</v>
          </cell>
          <cell r="AO503" t="e">
            <v>#REF!</v>
          </cell>
          <cell r="AP503" t="e">
            <v>#REF!</v>
          </cell>
          <cell r="AQ503" t="e">
            <v>#REF!</v>
          </cell>
          <cell r="AR503" t="e">
            <v>#REF!</v>
          </cell>
          <cell r="AS503" t="e">
            <v>#REF!</v>
          </cell>
        </row>
        <row r="504">
          <cell r="A504" t="str">
            <v>Period Ending EV / Leading 12-Month Total Revenue</v>
          </cell>
          <cell r="AD504" t="e">
            <v>#REF!</v>
          </cell>
          <cell r="AE504" t="e">
            <v>#REF!</v>
          </cell>
          <cell r="AF504" t="e">
            <v>#REF!</v>
          </cell>
          <cell r="AG504" t="e">
            <v>#REF!</v>
          </cell>
          <cell r="AH504" t="e">
            <v>#REF!</v>
          </cell>
          <cell r="AI504" t="e">
            <v>#REF!</v>
          </cell>
          <cell r="AJ504" t="e">
            <v>#REF!</v>
          </cell>
          <cell r="AK504" t="e">
            <v>#REF!</v>
          </cell>
          <cell r="AL504" t="e">
            <v>#REF!</v>
          </cell>
          <cell r="AM504" t="e">
            <v>#REF!</v>
          </cell>
          <cell r="AN504" t="e">
            <v>#REF!</v>
          </cell>
          <cell r="AO504" t="e">
            <v>#REF!</v>
          </cell>
          <cell r="AP504" t="e">
            <v>#REF!</v>
          </cell>
          <cell r="AQ504" t="e">
            <v>#REF!</v>
          </cell>
          <cell r="AR504" t="e">
            <v>#REF!</v>
          </cell>
          <cell r="AS504" t="e">
            <v>#REF!</v>
          </cell>
          <cell r="AT504">
            <v>9.7323027618060082E-2</v>
          </cell>
          <cell r="AU504">
            <v>0.11226885823304963</v>
          </cell>
          <cell r="AV504">
            <v>0.83787266183854003</v>
          </cell>
          <cell r="AW504">
            <v>0.15348449042322881</v>
          </cell>
          <cell r="AX504">
            <v>0.15169484734353714</v>
          </cell>
          <cell r="AY504">
            <v>0.14294722473627203</v>
          </cell>
          <cell r="AZ504">
            <v>0.12197964607064495</v>
          </cell>
          <cell r="BA504">
            <v>0.11792966017790889</v>
          </cell>
          <cell r="BB504">
            <v>0.11896883005722032</v>
          </cell>
          <cell r="BC504">
            <v>0.11698314575712117</v>
          </cell>
          <cell r="BD504">
            <v>0.11276507149559034</v>
          </cell>
          <cell r="BE504">
            <v>0.10610585384448634</v>
          </cell>
          <cell r="BF504">
            <v>0.10061852989831865</v>
          </cell>
          <cell r="BG504">
            <v>9.2413223726391158E-2</v>
          </cell>
          <cell r="BH504">
            <v>8.560455110550097E-2</v>
          </cell>
          <cell r="BI504">
            <v>7.9508402466680408E-2</v>
          </cell>
          <cell r="BJ504">
            <v>7.3425969597302659E-2</v>
          </cell>
          <cell r="BK504">
            <v>6.7579840074187575E-2</v>
          </cell>
          <cell r="BL504">
            <v>6.2524150228006253E-2</v>
          </cell>
          <cell r="BM504">
            <v>5.787618802154687E-2</v>
          </cell>
          <cell r="BN504">
            <v>5.5083018496558292E-2</v>
          </cell>
          <cell r="BO504">
            <v>5.2044099066987697E-2</v>
          </cell>
          <cell r="BP504">
            <v>4.9376764145254728E-2</v>
          </cell>
          <cell r="BQ504">
            <v>4.683135092016566E-2</v>
          </cell>
        </row>
        <row r="509">
          <cell r="A509" t="str">
            <v>Enterprise Value - Book Value</v>
          </cell>
          <cell r="AD509" t="e">
            <v>#REF!</v>
          </cell>
          <cell r="AE509" t="e">
            <v>#REF!</v>
          </cell>
          <cell r="AF509" t="e">
            <v>#REF!</v>
          </cell>
          <cell r="AG509" t="e">
            <v>#REF!</v>
          </cell>
          <cell r="AH509" t="e">
            <v>#REF!</v>
          </cell>
          <cell r="AI509" t="e">
            <v>#REF!</v>
          </cell>
          <cell r="AJ509" t="e">
            <v>#REF!</v>
          </cell>
          <cell r="AK509" t="e">
            <v>#REF!</v>
          </cell>
          <cell r="AL509" t="e">
            <v>#REF!</v>
          </cell>
          <cell r="AM509" t="e">
            <v>#REF!</v>
          </cell>
          <cell r="AN509" t="e">
            <v>#REF!</v>
          </cell>
          <cell r="AO509" t="e">
            <v>#REF!</v>
          </cell>
          <cell r="AP509" t="e">
            <v>#REF!</v>
          </cell>
          <cell r="AQ509" t="e">
            <v>#REF!</v>
          </cell>
          <cell r="AR509" t="e">
            <v>#REF!</v>
          </cell>
          <cell r="AS509" t="e">
            <v>#REF!</v>
          </cell>
        </row>
        <row r="511">
          <cell r="A511" t="str">
            <v>Net Cash &amp; Investments Per Diluted Share</v>
          </cell>
          <cell r="AD511" t="e">
            <v>#REF!</v>
          </cell>
          <cell r="AE511" t="e">
            <v>#REF!</v>
          </cell>
          <cell r="AF511" t="e">
            <v>#REF!</v>
          </cell>
          <cell r="AG511" t="e">
            <v>#REF!</v>
          </cell>
          <cell r="AH511" t="e">
            <v>#REF!</v>
          </cell>
          <cell r="AI511" t="e">
            <v>#REF!</v>
          </cell>
          <cell r="AJ511" t="e">
            <v>#REF!</v>
          </cell>
          <cell r="AK511" t="e">
            <v>#REF!</v>
          </cell>
          <cell r="AL511" t="e">
            <v>#REF!</v>
          </cell>
          <cell r="AM511" t="e">
            <v>#REF!</v>
          </cell>
          <cell r="AN511" t="e">
            <v>#REF!</v>
          </cell>
          <cell r="AO511" t="e">
            <v>#REF!</v>
          </cell>
          <cell r="AP511" t="e">
            <v>#REF!</v>
          </cell>
          <cell r="AQ511" t="e">
            <v>#REF!</v>
          </cell>
          <cell r="AR511" t="e">
            <v>#REF!</v>
          </cell>
          <cell r="AS511" t="e">
            <v>#REF!</v>
          </cell>
        </row>
        <row r="513">
          <cell r="A513" t="str">
            <v>Tangible Book Value Per Diluted Share</v>
          </cell>
          <cell r="AD513" t="e">
            <v>#REF!</v>
          </cell>
          <cell r="AE513" t="e">
            <v>#REF!</v>
          </cell>
          <cell r="AF513" t="e">
            <v>#REF!</v>
          </cell>
          <cell r="AG513" t="e">
            <v>#REF!</v>
          </cell>
          <cell r="AH513" t="e">
            <v>#REF!</v>
          </cell>
          <cell r="AI513" t="e">
            <v>#REF!</v>
          </cell>
          <cell r="AJ513" t="e">
            <v>#REF!</v>
          </cell>
          <cell r="AK513" t="e">
            <v>#REF!</v>
          </cell>
          <cell r="AL513" t="e">
            <v>#REF!</v>
          </cell>
          <cell r="AM513" t="e">
            <v>#REF!</v>
          </cell>
          <cell r="AN513" t="e">
            <v>#REF!</v>
          </cell>
          <cell r="AO513" t="e">
            <v>#REF!</v>
          </cell>
          <cell r="AP513" t="e">
            <v>#REF!</v>
          </cell>
          <cell r="AQ513" t="e">
            <v>#REF!</v>
          </cell>
          <cell r="AR513" t="e">
            <v>#REF!</v>
          </cell>
          <cell r="AS513" t="e">
            <v>#REF!</v>
          </cell>
        </row>
        <row r="514">
          <cell r="A514" t="str">
            <v>Enterprise Value - Book Value</v>
          </cell>
          <cell r="AD514" t="e">
            <v>#REF!</v>
          </cell>
          <cell r="AE514" t="e">
            <v>#REF!</v>
          </cell>
          <cell r="AF514" t="e">
            <v>#REF!</v>
          </cell>
          <cell r="AG514" t="e">
            <v>#REF!</v>
          </cell>
          <cell r="AH514" t="e">
            <v>#REF!</v>
          </cell>
          <cell r="AI514" t="e">
            <v>#REF!</v>
          </cell>
          <cell r="AJ514" t="e">
            <v>#REF!</v>
          </cell>
          <cell r="AK514" t="e">
            <v>#REF!</v>
          </cell>
          <cell r="AL514" t="e">
            <v>#REF!</v>
          </cell>
          <cell r="AM514" t="e">
            <v>#REF!</v>
          </cell>
          <cell r="AN514" t="e">
            <v>#REF!</v>
          </cell>
          <cell r="AO514" t="e">
            <v>#REF!</v>
          </cell>
          <cell r="AP514" t="e">
            <v>#REF!</v>
          </cell>
          <cell r="AQ514" t="e">
            <v>#REF!</v>
          </cell>
          <cell r="AR514" t="e">
            <v>#REF!</v>
          </cell>
          <cell r="AS514" t="e">
            <v>#REF!</v>
          </cell>
        </row>
      </sheetData>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sheetNames>
    <sheetDataSet>
      <sheetData sheetId="0" refreshError="1">
        <row r="7">
          <cell r="G7">
            <v>225043</v>
          </cell>
        </row>
        <row r="8">
          <cell r="G8">
            <v>0.2271</v>
          </cell>
        </row>
        <row r="9">
          <cell r="G9">
            <v>3.6</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Table"/>
      <sheetName val="first glance table"/>
      <sheetName val="2007 NAV"/>
      <sheetName val="2008 NAV"/>
      <sheetName val="Chart1"/>
      <sheetName val="1pg"/>
      <sheetName val="Target Breakdown"/>
      <sheetName val="Prod"/>
      <sheetName val="Reserve Deplete"/>
      <sheetName val="Model"/>
      <sheetName val="NAV Summary"/>
      <sheetName val="Country Expo"/>
      <sheetName val="2006 NAV"/>
      <sheetName val="MODEL CLEAN"/>
      <sheetName val="Turquoise Ridge"/>
      <sheetName val="South Deep"/>
      <sheetName val="Porgera"/>
      <sheetName val="Golden Sunlight"/>
      <sheetName val="Pueblo Viejo"/>
      <sheetName val="Bald Mtn"/>
      <sheetName val="Henty"/>
      <sheetName val="Kanowna"/>
      <sheetName val="Osbourne"/>
      <sheetName val="Zaldivar"/>
      <sheetName val="Granny Smith"/>
      <sheetName val="Cortez-Pipeline"/>
      <sheetName val="North Mara"/>
      <sheetName val="Goldstrike - Open Pit"/>
      <sheetName val="Goldstrike - Underground"/>
      <sheetName val="Veladero"/>
      <sheetName val="Pascua"/>
      <sheetName val="Bulyanhulu"/>
      <sheetName val="Lagunas Norte"/>
      <sheetName val="Pierina"/>
      <sheetName val="Round Mountain"/>
      <sheetName val="Marigold"/>
      <sheetName val="East Archimedes"/>
      <sheetName val="Eskay Creek"/>
      <sheetName val="Hemlo (Williams)"/>
      <sheetName val="Hemlo (David Bell)"/>
      <sheetName val="Cowal"/>
      <sheetName val="Kalgoorlie"/>
      <sheetName val="Plutonic"/>
      <sheetName val="Darlot"/>
      <sheetName val="Lawlers"/>
      <sheetName val="Tulawaka"/>
      <sheetName val="RBCCM_Key_Information"/>
      <sheetName val="RBCCM_Income_Statement"/>
      <sheetName val="RBCCM_Valuation_Measures"/>
      <sheetName val="RBCCM_Cash_Flow"/>
      <sheetName val="RBCCM_Quarterly_Estimates_Data"/>
      <sheetName val="RBCCM_Balance_Sheet"/>
      <sheetName val="RBCCM_Industry_Specif"/>
      <sheetName val="Comps_Output"/>
      <sheetName val="Sensitivity"/>
      <sheetName val="RBCGold"/>
      <sheetName val="Reserves-Resources (old)"/>
      <sheetName val="PubFinancials(old)"/>
      <sheetName val="SumPage (old)"/>
      <sheetName val="KalWest"/>
      <sheetName val="Williams"/>
      <sheetName val="David Bell"/>
      <sheetName val="FG"/>
      <sheetName val="Target Metrics"/>
      <sheetName val="Sheet1"/>
      <sheetName val="Buzwagi"/>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comeStatement"/>
      <sheetName val="Wireline"/>
      <sheetName val="Local Voice"/>
      <sheetName val="Long Distance"/>
      <sheetName val="Network Access"/>
      <sheetName val="Wireless"/>
      <sheetName val="Directory Revenue"/>
      <sheetName val="Cashflow"/>
      <sheetName val="Other Revenue"/>
      <sheetName val="Costs"/>
      <sheetName val="Balance Sheet"/>
      <sheetName val="IncomeStatement-save"/>
      <sheetName val="Debt"/>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Forecast"/>
      <sheetName val="APS_Composite"/>
      <sheetName val="SPAs"/>
      <sheetName val="Definitions"/>
      <sheetName val="Notes"/>
      <sheetName val="Glossary"/>
    </sheetNames>
    <sheetDataSet>
      <sheetData sheetId="0"/>
      <sheetData sheetId="1"/>
      <sheetData sheetId="2"/>
      <sheetData sheetId="3"/>
      <sheetData sheetId="4"/>
      <sheetData sheetId="5"/>
      <sheetData sheetId="6" refreshError="1">
        <row r="6">
          <cell r="A6" t="str">
            <v>6-1</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Main"/>
      <sheetName val="Output"/>
      <sheetName val="NAV"/>
      <sheetName val="Prod Sched"/>
      <sheetName val="Prod for SD"/>
      <sheetName val="Ezul Ext"/>
      <sheetName val="FIU Summary"/>
      <sheetName val="CF for NAV"/>
      <sheetName val="ResRes"/>
      <sheetName val="WarrOpt"/>
      <sheetName val="Expansion"/>
      <sheetName val="Acid Consump"/>
      <sheetName val="GoldCompSheet"/>
      <sheetName val="OLDGoldCompSheet"/>
      <sheetName val="Output for T&amp;V"/>
      <sheetName val="Output for Cheat Sheet"/>
      <sheetName val="RBCCM_Key_Information"/>
      <sheetName val="RBCCM_Valuation_Measures"/>
      <sheetName val="RBCCM_Quarterly_Estimates_Data"/>
      <sheetName val="RBCCM_Income_Statement"/>
      <sheetName val="RBCCM_Cash_Flow"/>
      <sheetName val="RBCCM_Balance_Sheet"/>
      <sheetName val="RBCCM_Industry_Specif"/>
      <sheetName val="Ex1-AuU"/>
      <sheetName val="Ex2-Summary"/>
      <sheetName val="CompCos"/>
      <sheetName val="NEWGoldCompSheet"/>
    </sheetNames>
    <sheetDataSet>
      <sheetData sheetId="0"/>
      <sheetData sheetId="1"/>
      <sheetData sheetId="2" refreshError="1">
        <row r="15">
          <cell r="Q15">
            <v>0.98000001907348633</v>
          </cell>
        </row>
        <row r="19">
          <cell r="Q19">
            <v>180.84700000000001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Debt"/>
      <sheetName val="Summ Fins"/>
      <sheetName val="1pg"/>
      <sheetName val="Sensitivity"/>
      <sheetName val="NAV-Valuation"/>
      <sheetName val="xPeers"/>
      <sheetName val="exhibits"/>
      <sheetName val="Summ Ops"/>
      <sheetName val="Donlin"/>
      <sheetName val="DonlinFeas"/>
      <sheetName val="Rock Creek"/>
      <sheetName val="Ambler"/>
      <sheetName val="RBCCM_Key_Information"/>
      <sheetName val="RBCCM_Valuation_Measures"/>
      <sheetName val="RBCCM_Quarterly_Estimates_Data"/>
      <sheetName val="RBCCM_Income_Statement"/>
      <sheetName val="RBCCM_Cash_Flow"/>
      <sheetName val="RBCCM_Balance_Sheet"/>
      <sheetName val="RBCCM_Industry_Specif"/>
      <sheetName val="Catalysts"/>
      <sheetName val="Galore 2"/>
      <sheetName val="Comps_Output"/>
      <sheetName val="Galore Old"/>
      <sheetName val="Galore"/>
    </sheetNames>
    <sheetDataSet>
      <sheetData sheetId="0" refreshError="1">
        <row r="3">
          <cell r="D3">
            <v>1</v>
          </cell>
        </row>
      </sheetData>
      <sheetData sheetId="1"/>
      <sheetData sheetId="2"/>
      <sheetData sheetId="3"/>
      <sheetData sheetId="4"/>
      <sheetData sheetId="5" refreshError="1">
        <row r="33">
          <cell r="I33">
            <v>10.339562846331571</v>
          </cell>
          <cell r="J33">
            <v>10.534056310528909</v>
          </cell>
          <cell r="M33">
            <v>-6.1158830936618773E-2</v>
          </cell>
          <cell r="N33">
            <v>-5.7612177025500054E-2</v>
          </cell>
        </row>
        <row r="36">
          <cell r="I36">
            <v>9.4545188493590011</v>
          </cell>
          <cell r="J36">
            <v>9.5740883205316525</v>
          </cell>
        </row>
        <row r="37">
          <cell r="I37">
            <v>9.6757798486021436</v>
          </cell>
          <cell r="J37">
            <v>9.8140803180309657</v>
          </cell>
        </row>
        <row r="38">
          <cell r="I38">
            <v>9.897040847845286</v>
          </cell>
          <cell r="J38">
            <v>10.054072315530281</v>
          </cell>
        </row>
        <row r="39">
          <cell r="I39">
            <v>10.118301847088429</v>
          </cell>
          <cell r="J39">
            <v>10.294064313029596</v>
          </cell>
        </row>
        <row r="40">
          <cell r="I40">
            <v>10.339562846331571</v>
          </cell>
          <cell r="J40">
            <v>10.534056310528909</v>
          </cell>
        </row>
        <row r="41">
          <cell r="I41">
            <v>11.003345844060998</v>
          </cell>
          <cell r="J41">
            <v>11.254032303026854</v>
          </cell>
        </row>
      </sheetData>
      <sheetData sheetId="6"/>
      <sheetData sheetId="7"/>
      <sheetData sheetId="8"/>
      <sheetData sheetId="9" refreshError="1">
        <row r="40">
          <cell r="I40">
            <v>1600</v>
          </cell>
          <cell r="J40">
            <v>1800</v>
          </cell>
          <cell r="K40">
            <v>1800</v>
          </cell>
          <cell r="L40">
            <v>1600</v>
          </cell>
          <cell r="M40">
            <v>1400</v>
          </cell>
          <cell r="N40">
            <v>1200</v>
          </cell>
          <cell r="O40">
            <v>1200</v>
          </cell>
          <cell r="P40">
            <v>1200</v>
          </cell>
          <cell r="Q40">
            <v>1200</v>
          </cell>
          <cell r="R40">
            <v>1200</v>
          </cell>
          <cell r="S40">
            <v>1200</v>
          </cell>
          <cell r="T40">
            <v>1200</v>
          </cell>
          <cell r="U40">
            <v>1200</v>
          </cell>
          <cell r="V40">
            <v>1200</v>
          </cell>
          <cell r="W40">
            <v>1200</v>
          </cell>
          <cell r="X40">
            <v>1200</v>
          </cell>
          <cell r="Y40">
            <v>1200</v>
          </cell>
          <cell r="Z40">
            <v>1200</v>
          </cell>
          <cell r="AA40">
            <v>1200</v>
          </cell>
          <cell r="AB40">
            <v>1200</v>
          </cell>
          <cell r="AC40">
            <v>1200</v>
          </cell>
          <cell r="AD40">
            <v>1200</v>
          </cell>
          <cell r="AE40">
            <v>1200</v>
          </cell>
          <cell r="AF40">
            <v>1200</v>
          </cell>
          <cell r="AG40">
            <v>1200</v>
          </cell>
          <cell r="AH40">
            <v>1200</v>
          </cell>
          <cell r="AI40">
            <v>1200</v>
          </cell>
          <cell r="AJ40">
            <v>1200</v>
          </cell>
        </row>
      </sheetData>
      <sheetData sheetId="10"/>
      <sheetData sheetId="11"/>
      <sheetData sheetId="12"/>
      <sheetData sheetId="13"/>
      <sheetData sheetId="14" refreshError="1"/>
      <sheetData sheetId="15"/>
      <sheetData sheetId="16"/>
      <sheetData sheetId="17"/>
      <sheetData sheetId="18"/>
      <sheetData sheetId="19" refreshError="1"/>
      <sheetData sheetId="20"/>
      <sheetData sheetId="21"/>
      <sheetData sheetId="22"/>
      <sheetData sheetId="23"/>
      <sheetData sheetId="2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2">
          <cell r="AF2" t="str">
            <v>P/S Multiple</v>
          </cell>
        </row>
        <row r="3">
          <cell r="B3" t="str">
            <v>Ticker</v>
          </cell>
          <cell r="C3" t="str">
            <v>Industry Leaders</v>
          </cell>
          <cell r="D3" t="str">
            <v>Price</v>
          </cell>
          <cell r="E3" t="str">
            <v># shares</v>
          </cell>
          <cell r="F3" t="str">
            <v>Ent. Value</v>
          </cell>
          <cell r="G3" t="str">
            <v>Mkt Cap</v>
          </cell>
          <cell r="H3" t="str">
            <v>Cash</v>
          </cell>
          <cell r="J3" t="str">
            <v>Net Cash Per share</v>
          </cell>
          <cell r="L3">
            <v>2002</v>
          </cell>
          <cell r="N3">
            <v>2004</v>
          </cell>
          <cell r="P3" t="str">
            <v>'02-'03 Growth</v>
          </cell>
          <cell r="R3" t="str">
            <v>'04-'05 Growth</v>
          </cell>
          <cell r="T3">
            <v>2002</v>
          </cell>
          <cell r="V3">
            <v>2004</v>
          </cell>
          <cell r="X3" t="str">
            <v>'02-'03 Growth</v>
          </cell>
          <cell r="Z3" t="str">
            <v>'04-'05 Growth</v>
          </cell>
          <cell r="AB3">
            <v>2002</v>
          </cell>
          <cell r="AD3">
            <v>2004</v>
          </cell>
          <cell r="AF3">
            <v>2001</v>
          </cell>
        </row>
        <row r="4">
          <cell r="C4" t="str">
            <v>BEA Systems</v>
          </cell>
          <cell r="D4">
            <v>12.64</v>
          </cell>
          <cell r="E4">
            <v>433.56</v>
          </cell>
          <cell r="F4">
            <v>4564.3664000000008</v>
          </cell>
          <cell r="G4">
            <v>5480.1984000000002</v>
          </cell>
          <cell r="H4">
            <v>1472.48</v>
          </cell>
          <cell r="J4">
            <v>2.112353538149276</v>
          </cell>
          <cell r="L4">
            <v>0.28225864460160283</v>
          </cell>
          <cell r="N4">
            <v>0.36586276089168368</v>
          </cell>
          <cell r="P4">
            <v>0.1418263926939487</v>
          </cell>
          <cell r="R4">
            <v>0.11226116701709032</v>
          </cell>
          <cell r="T4">
            <v>934.05799999999999</v>
          </cell>
          <cell r="V4">
            <v>1122.9963750000002</v>
          </cell>
          <cell r="X4">
            <v>8.39712309085731E-2</v>
          </cell>
          <cell r="Z4">
            <v>9.896086365372285E-2</v>
          </cell>
          <cell r="AB4">
            <v>44.781622252317099</v>
          </cell>
          <cell r="AD4">
            <v>34.548473775231159</v>
          </cell>
          <cell r="AF4">
            <v>5.6155730187633282</v>
          </cell>
        </row>
        <row r="5">
          <cell r="C5" t="str">
            <v>Microsoft</v>
          </cell>
          <cell r="D5">
            <v>25.03</v>
          </cell>
          <cell r="E5">
            <v>10812.468999999999</v>
          </cell>
          <cell r="F5">
            <v>217859.09907</v>
          </cell>
          <cell r="G5">
            <v>270636.09907</v>
          </cell>
          <cell r="H5">
            <v>52777</v>
          </cell>
          <cell r="J5">
            <v>4.8811238210255219</v>
          </cell>
          <cell r="L5">
            <v>1</v>
          </cell>
          <cell r="N5">
            <v>1.22</v>
          </cell>
          <cell r="P5">
            <v>0.14000000000000001</v>
          </cell>
          <cell r="R5">
            <v>0.1</v>
          </cell>
          <cell r="T5">
            <v>30785</v>
          </cell>
          <cell r="V5">
            <v>37111</v>
          </cell>
          <cell r="X5">
            <v>0.113139515998051</v>
          </cell>
          <cell r="Z5">
            <v>0.1</v>
          </cell>
          <cell r="AB5">
            <v>25.03</v>
          </cell>
          <cell r="AD5">
            <v>20.516393442622952</v>
          </cell>
          <cell r="AF5">
            <v>10.023559224814814</v>
          </cell>
        </row>
        <row r="6">
          <cell r="C6" t="str">
            <v>Netscreen</v>
          </cell>
          <cell r="D6">
            <v>35.450000000000003</v>
          </cell>
          <cell r="E6">
            <v>100.375</v>
          </cell>
          <cell r="F6">
            <v>3178.8977500000001</v>
          </cell>
          <cell r="G6">
            <v>3558.2937500000003</v>
          </cell>
          <cell r="H6">
            <v>379.39600000000002</v>
          </cell>
          <cell r="J6">
            <v>3.7797858032378584</v>
          </cell>
          <cell r="L6">
            <v>0.28292117923044946</v>
          </cell>
          <cell r="N6">
            <v>0.64676018339472874</v>
          </cell>
          <cell r="P6">
            <v>1.1712095384119792</v>
          </cell>
          <cell r="R6">
            <v>0.33931325460714018</v>
          </cell>
          <cell r="T6">
            <v>160.57900000000001</v>
          </cell>
          <cell r="V6">
            <v>409.13400946001298</v>
          </cell>
          <cell r="X6">
            <v>0.71435243711817842</v>
          </cell>
          <cell r="Z6">
            <v>0.23067003974910633</v>
          </cell>
          <cell r="AB6" t="str">
            <v>--</v>
          </cell>
          <cell r="AD6">
            <v>54.811661122874447</v>
          </cell>
          <cell r="AF6">
            <v>36.540293181351409</v>
          </cell>
        </row>
        <row r="7">
          <cell r="C7" t="str">
            <v>Oracle</v>
          </cell>
          <cell r="D7">
            <v>11.92</v>
          </cell>
          <cell r="E7">
            <v>5355.75</v>
          </cell>
          <cell r="F7">
            <v>56087.54</v>
          </cell>
          <cell r="G7">
            <v>63840.54</v>
          </cell>
          <cell r="H7">
            <v>8074</v>
          </cell>
          <cell r="J7">
            <v>1.4476030434579656</v>
          </cell>
          <cell r="L7">
            <v>0.40638090707461194</v>
          </cell>
          <cell r="N7">
            <v>0.50994487201454231</v>
          </cell>
          <cell r="P7">
            <v>0.13462217584207092</v>
          </cell>
          <cell r="R7">
            <v>0.13261957707561003</v>
          </cell>
          <cell r="T7">
            <v>9363.1569999999992</v>
          </cell>
          <cell r="V7">
            <v>10475.466204</v>
          </cell>
          <cell r="X7">
            <v>3.6926006901304827E-2</v>
          </cell>
          <cell r="Z7">
            <v>7.2384392854082547E-2</v>
          </cell>
          <cell r="AB7">
            <v>29.33208670113893</v>
          </cell>
          <cell r="AD7">
            <v>23.375075727126976</v>
          </cell>
          <cell r="AF7">
            <v>6.0580330746449826</v>
          </cell>
        </row>
        <row r="8">
          <cell r="C8" t="str">
            <v>PeopleSoft</v>
          </cell>
          <cell r="D8">
            <v>18.36</v>
          </cell>
          <cell r="E8">
            <v>374.93799999999999</v>
          </cell>
          <cell r="F8">
            <v>5482.5706799999998</v>
          </cell>
          <cell r="G8">
            <v>6883.86168</v>
          </cell>
          <cell r="H8">
            <v>1401.2909999999999</v>
          </cell>
          <cell r="J8">
            <v>3.7373939157940779</v>
          </cell>
          <cell r="L8">
            <v>0.6</v>
          </cell>
          <cell r="N8">
            <v>0.91</v>
          </cell>
          <cell r="P8">
            <v>0.05</v>
          </cell>
          <cell r="R8">
            <v>0.17582417582417587</v>
          </cell>
          <cell r="T8">
            <v>1948.9480000000001</v>
          </cell>
          <cell r="V8">
            <v>2857.47</v>
          </cell>
          <cell r="X8">
            <v>0.16320040349973416</v>
          </cell>
          <cell r="Z8">
            <v>9.8051738075990338E-2</v>
          </cell>
          <cell r="AB8">
            <v>30.6</v>
          </cell>
          <cell r="AD8">
            <v>20.175824175824175</v>
          </cell>
          <cell r="AF8">
            <v>3.2780293714285715</v>
          </cell>
        </row>
        <row r="9">
          <cell r="B9" t="str">
            <v>SAP</v>
          </cell>
          <cell r="C9" t="str">
            <v>SAP</v>
          </cell>
          <cell r="D9">
            <v>37.9</v>
          </cell>
          <cell r="E9">
            <v>1244.4760000000001</v>
          </cell>
          <cell r="F9">
            <v>44525.640400000004</v>
          </cell>
          <cell r="G9">
            <v>47165.640400000004</v>
          </cell>
          <cell r="H9">
            <v>2640</v>
          </cell>
          <cell r="I9">
            <v>0</v>
          </cell>
          <cell r="J9">
            <v>2.1213747794252358</v>
          </cell>
          <cell r="K9">
            <v>0.56999999999999995</v>
          </cell>
          <cell r="L9">
            <v>0.83</v>
          </cell>
          <cell r="M9">
            <v>1.1200000000000001</v>
          </cell>
          <cell r="N9">
            <v>1.33</v>
          </cell>
          <cell r="O9">
            <v>1.51</v>
          </cell>
          <cell r="P9">
            <v>0.34939759036144596</v>
          </cell>
          <cell r="Q9">
            <v>0.1875</v>
          </cell>
          <cell r="R9">
            <v>0.13533834586466159</v>
          </cell>
          <cell r="S9">
            <v>6500</v>
          </cell>
          <cell r="T9">
            <v>7279.4620000000004</v>
          </cell>
          <cell r="U9">
            <v>8234.7528999999995</v>
          </cell>
          <cell r="V9">
            <v>9291.2402000000002</v>
          </cell>
          <cell r="W9">
            <v>10185.6504</v>
          </cell>
          <cell r="X9">
            <v>0.13123097558583299</v>
          </cell>
          <cell r="Y9">
            <v>0.1282961751044164</v>
          </cell>
          <cell r="Z9">
            <v>9.6263812015106476E-2</v>
          </cell>
          <cell r="AA9">
            <v>66.491228070175438</v>
          </cell>
          <cell r="AB9">
            <v>45.662650602409641</v>
          </cell>
          <cell r="AC9">
            <v>33.839285714285708</v>
          </cell>
          <cell r="AD9">
            <v>28.496240601503757</v>
          </cell>
          <cell r="AE9">
            <v>25.099337748344368</v>
          </cell>
          <cell r="AF9">
            <v>7.2562523692307694</v>
          </cell>
          <cell r="AG9">
            <v>6.4792755838274863</v>
          </cell>
          <cell r="AH9">
            <v>5.7276327502188931</v>
          </cell>
          <cell r="AI9">
            <v>5.0763557269781918</v>
          </cell>
          <cell r="AJ9">
            <v>4.6305968247251057</v>
          </cell>
          <cell r="AK9">
            <v>0.96850369458128016</v>
          </cell>
          <cell r="AL9">
            <v>2.5786050559498257</v>
          </cell>
          <cell r="AM9">
            <v>31.945201089798896</v>
          </cell>
          <cell r="AN9">
            <v>5.4070402525375121</v>
          </cell>
          <cell r="AO9">
            <v>1.5197994987468675</v>
          </cell>
          <cell r="AP9">
            <v>2.2211293967502557</v>
          </cell>
          <cell r="AQ9">
            <v>26.901221970356968</v>
          </cell>
          <cell r="AR9">
            <v>4.7922171251153323</v>
          </cell>
          <cell r="AS9">
            <v>6.1645513698148638E-6</v>
          </cell>
          <cell r="AT9">
            <v>2.0099608331902714E-3</v>
          </cell>
          <cell r="AU9">
            <v>23.694453788460109</v>
          </cell>
          <cell r="AV9">
            <v>4.3714086633093165</v>
          </cell>
        </row>
        <row r="10">
          <cell r="C10" t="str">
            <v>Siebel</v>
          </cell>
          <cell r="D10">
            <v>11.6</v>
          </cell>
          <cell r="E10">
            <v>495.87900000000002</v>
          </cell>
          <cell r="F10">
            <v>3737.0313999999994</v>
          </cell>
          <cell r="G10">
            <v>5752.1963999999998</v>
          </cell>
          <cell r="H10">
            <v>2023.3240000000001</v>
          </cell>
          <cell r="J10">
            <v>4.063824037718879</v>
          </cell>
          <cell r="L10">
            <v>0.25</v>
          </cell>
          <cell r="N10">
            <v>0.3</v>
          </cell>
          <cell r="P10">
            <v>-0.44</v>
          </cell>
          <cell r="R10">
            <v>0.33333333333333348</v>
          </cell>
          <cell r="T10">
            <v>1635</v>
          </cell>
          <cell r="V10">
            <v>1436.3199</v>
          </cell>
          <cell r="X10">
            <v>-0.1717510703363915</v>
          </cell>
          <cell r="Z10">
            <v>9.9727226504346261E-2</v>
          </cell>
          <cell r="AB10">
            <v>46.4</v>
          </cell>
          <cell r="AD10">
            <v>38.666666666666664</v>
          </cell>
          <cell r="AF10">
            <v>2.8760981999999999</v>
          </cell>
        </row>
        <row r="11">
          <cell r="C11" t="str">
            <v>Symantec</v>
          </cell>
          <cell r="D11">
            <v>46.26</v>
          </cell>
          <cell r="E11">
            <v>354.19714999999997</v>
          </cell>
          <cell r="F11">
            <v>14964.486159</v>
          </cell>
          <cell r="G11">
            <v>16385.160158999999</v>
          </cell>
          <cell r="H11">
            <v>2026.57</v>
          </cell>
          <cell r="J11">
            <v>4.0109695970168033</v>
          </cell>
          <cell r="L11">
            <v>0.83181585750349019</v>
          </cell>
          <cell r="N11">
            <v>1.2866009879147799</v>
          </cell>
          <cell r="P11">
            <v>0.27797455237414587</v>
          </cell>
          <cell r="R11">
            <v>0.16396841891265257</v>
          </cell>
          <cell r="T11">
            <v>1327.69</v>
          </cell>
          <cell r="V11">
            <v>2135.4042390000004</v>
          </cell>
          <cell r="X11">
            <v>0.28323102531464411</v>
          </cell>
          <cell r="Z11">
            <v>0.15131257299147829</v>
          </cell>
          <cell r="AB11">
            <v>55.613270151928901</v>
          </cell>
          <cell r="AD11">
            <v>35.955203232802198</v>
          </cell>
          <cell r="AF11">
            <v>16.20688443026706</v>
          </cell>
        </row>
        <row r="12">
          <cell r="C12" t="str">
            <v>Veritas</v>
          </cell>
          <cell r="D12">
            <v>26.91</v>
          </cell>
          <cell r="E12">
            <v>427.57600000000002</v>
          </cell>
          <cell r="F12">
            <v>10117.64716</v>
          </cell>
          <cell r="G12">
            <v>11506.070160000001</v>
          </cell>
          <cell r="H12">
            <v>2289.0529999999999</v>
          </cell>
          <cell r="I12">
            <v>900.63</v>
          </cell>
          <cell r="J12">
            <v>3.2471958201582871</v>
          </cell>
          <cell r="M12">
            <v>0.82</v>
          </cell>
          <cell r="N12">
            <v>0.94</v>
          </cell>
          <cell r="O12">
            <v>1.0900000000000001</v>
          </cell>
          <cell r="Q12">
            <v>0.14634146341463414</v>
          </cell>
          <cell r="R12">
            <v>0.15957446808510653</v>
          </cell>
          <cell r="U12">
            <v>1771.2271000000001</v>
          </cell>
          <cell r="V12">
            <v>2021</v>
          </cell>
          <cell r="W12">
            <v>2247.5500000000002</v>
          </cell>
          <cell r="Y12">
            <v>0.14101686903954888</v>
          </cell>
          <cell r="Z12">
            <v>0.11209797130133606</v>
          </cell>
          <cell r="AC12">
            <v>32.81707317073171</v>
          </cell>
          <cell r="AD12">
            <v>28.627659574468087</v>
          </cell>
          <cell r="AE12">
            <v>24.688073394495412</v>
          </cell>
          <cell r="AH12">
            <v>6.4961010138112725</v>
          </cell>
          <cell r="AI12">
            <v>5.6932558931222177</v>
          </cell>
          <cell r="AJ12">
            <v>5.1193833997018974</v>
          </cell>
          <cell r="AK12" t="str">
            <v>-</v>
          </cell>
          <cell r="AL12" t="str">
            <v>-</v>
          </cell>
          <cell r="AM12">
            <v>28.857078268099649</v>
          </cell>
          <cell r="AN12">
            <v>5.7122246831024661</v>
          </cell>
          <cell r="AO12">
            <v>1.9562234042553195</v>
          </cell>
          <cell r="AP12">
            <v>2.0300875894811785</v>
          </cell>
          <cell r="AQ12">
            <v>25.173195936001822</v>
          </cell>
          <cell r="AR12">
            <v>5.0062578723404254</v>
          </cell>
          <cell r="AS12">
            <v>3.2143003531970669E-5</v>
          </cell>
          <cell r="AT12">
            <v>2.2691694362625774E-3</v>
          </cell>
          <cell r="AU12">
            <v>21.708994660405239</v>
          </cell>
          <cell r="AV12">
            <v>4.501633850192432</v>
          </cell>
        </row>
        <row r="13">
          <cell r="V13" t="str">
            <v>Group Mean</v>
          </cell>
          <cell r="X13">
            <v>8.9621183138926613E-2</v>
          </cell>
          <cell r="Z13">
            <v>9.6722086302067078E-2</v>
          </cell>
          <cell r="AB13">
            <v>41.848263404839187</v>
          </cell>
          <cell r="AD13">
            <v>35.220199718396664</v>
          </cell>
          <cell r="AF13">
            <v>11.233460553372039</v>
          </cell>
        </row>
        <row r="14">
          <cell r="V14" t="str">
            <v>Group Mean</v>
          </cell>
          <cell r="X14">
            <v>0.10088124964278269</v>
          </cell>
          <cell r="Z14">
            <v>9.7407558839995578E-2</v>
          </cell>
          <cell r="AB14">
            <v>39.631375672542084</v>
          </cell>
          <cell r="AD14">
            <v>32.068192343081542</v>
          </cell>
          <cell r="AF14">
            <v>10.981840358812615</v>
          </cell>
        </row>
        <row r="15">
          <cell r="V15" t="str">
            <v>Group Median</v>
          </cell>
          <cell r="AA15">
            <v>27.720930232558139</v>
          </cell>
          <cell r="AB15">
            <v>44.781622252317099</v>
          </cell>
          <cell r="AC15">
            <v>36.529288657439317</v>
          </cell>
          <cell r="AD15">
            <v>31.522357188367458</v>
          </cell>
          <cell r="AE15">
            <v>27.049668874172184</v>
          </cell>
          <cell r="AF15">
            <v>6.657142721937876</v>
          </cell>
          <cell r="AG15">
            <v>6.6487731935736747</v>
          </cell>
          <cell r="AH15">
            <v>6.1515489413391364</v>
          </cell>
          <cell r="AI15">
            <v>5.5853233917531666</v>
          </cell>
          <cell r="AJ15">
            <v>5.15676603215352</v>
          </cell>
          <cell r="AK15">
            <v>1.5682957393483721</v>
          </cell>
          <cell r="AL15">
            <v>1.9406252675904521</v>
          </cell>
          <cell r="AM15">
            <v>32.305149455313767</v>
          </cell>
          <cell r="AN15">
            <v>5.5919799014791529</v>
          </cell>
          <cell r="AO15">
            <v>1.9578727930017572</v>
          </cell>
          <cell r="AP15">
            <v>2.3470328139076697</v>
          </cell>
          <cell r="AQ15">
            <v>26.010904255647016</v>
          </cell>
          <cell r="AR15">
            <v>5.0731989615789175</v>
          </cell>
          <cell r="AS15">
            <v>2.0100105792555794E-5</v>
          </cell>
          <cell r="AT15">
            <v>2.1840786262629012E-3</v>
          </cell>
          <cell r="AU15">
            <v>21.267446847081452</v>
          </cell>
          <cell r="AV15">
            <v>4.6820950072932206</v>
          </cell>
        </row>
        <row r="16">
          <cell r="AF16" t="str">
            <v>P/S Multiple</v>
          </cell>
        </row>
        <row r="17">
          <cell r="C17" t="str">
            <v>Security Software</v>
          </cell>
          <cell r="D17" t="str">
            <v>Price</v>
          </cell>
          <cell r="E17" t="str">
            <v># shares</v>
          </cell>
          <cell r="F17" t="str">
            <v>Ent. Value</v>
          </cell>
          <cell r="G17" t="str">
            <v>Mkt Cap</v>
          </cell>
          <cell r="H17" t="str">
            <v>Cash</v>
          </cell>
          <cell r="J17" t="str">
            <v>Net Cash Per share</v>
          </cell>
          <cell r="K17" t="str">
            <v>EPS</v>
          </cell>
          <cell r="L17">
            <v>2002</v>
          </cell>
          <cell r="N17">
            <v>2004</v>
          </cell>
          <cell r="Q17" t="str">
            <v>'03-'04 Growth</v>
          </cell>
          <cell r="S17" t="str">
            <v>Revenue</v>
          </cell>
          <cell r="U17">
            <v>2003</v>
          </cell>
          <cell r="X17" t="str">
            <v>'02-'03 Growth</v>
          </cell>
          <cell r="Z17" t="str">
            <v>'04-'05 Growth</v>
          </cell>
          <cell r="AA17" t="str">
            <v>P/E Multiple</v>
          </cell>
          <cell r="AB17">
            <v>2002</v>
          </cell>
          <cell r="AE17">
            <v>2005</v>
          </cell>
          <cell r="AF17" t="str">
            <v>P/S Multiple</v>
          </cell>
          <cell r="AG17">
            <v>2002</v>
          </cell>
          <cell r="AJ17">
            <v>2005</v>
          </cell>
          <cell r="AK17">
            <v>2003</v>
          </cell>
          <cell r="AL17" t="str">
            <v>'03 Rev</v>
          </cell>
          <cell r="AM17" t="str">
            <v xml:space="preserve">'03 EPS </v>
          </cell>
          <cell r="AN17" t="str">
            <v>'03 Rev</v>
          </cell>
          <cell r="AO17">
            <v>2004</v>
          </cell>
          <cell r="AP17" t="str">
            <v>'04 Rev</v>
          </cell>
          <cell r="AQ17" t="str">
            <v xml:space="preserve">'04 EPS </v>
          </cell>
          <cell r="AR17" t="str">
            <v>'04 Rev</v>
          </cell>
          <cell r="AS17">
            <v>2005</v>
          </cell>
          <cell r="AT17" t="str">
            <v>'04 Rev</v>
          </cell>
          <cell r="AU17" t="str">
            <v xml:space="preserve">'04 EPS </v>
          </cell>
          <cell r="AV17" t="str">
            <v>'04 Rev</v>
          </cell>
        </row>
        <row r="18">
          <cell r="C18" t="str">
            <v>Security Software</v>
          </cell>
          <cell r="D18" t="str">
            <v>Price</v>
          </cell>
          <cell r="E18" t="str">
            <v># shares</v>
          </cell>
          <cell r="F18" t="str">
            <v>Ent. Value</v>
          </cell>
          <cell r="G18" t="str">
            <v>Mkt Cap</v>
          </cell>
          <cell r="H18" t="str">
            <v>Cash</v>
          </cell>
          <cell r="J18" t="str">
            <v>Net Cash Per share</v>
          </cell>
          <cell r="L18">
            <v>2002</v>
          </cell>
          <cell r="N18">
            <v>2004</v>
          </cell>
          <cell r="P18" t="str">
            <v>'02-'03 Growth</v>
          </cell>
          <cell r="R18" t="str">
            <v>'04-'05 Growth</v>
          </cell>
          <cell r="T18">
            <v>2002</v>
          </cell>
          <cell r="V18">
            <v>2004</v>
          </cell>
          <cell r="X18" t="str">
            <v>'02-'03 Growth</v>
          </cell>
          <cell r="Z18" t="str">
            <v>'04-'05 Growth</v>
          </cell>
          <cell r="AB18">
            <v>2002</v>
          </cell>
          <cell r="AD18">
            <v>2004</v>
          </cell>
          <cell r="AF18">
            <v>2001</v>
          </cell>
        </row>
        <row r="19">
          <cell r="C19" t="str">
            <v>Checkpoint Software</v>
          </cell>
          <cell r="D19">
            <v>22.21</v>
          </cell>
          <cell r="E19">
            <v>264.59500000000003</v>
          </cell>
          <cell r="F19">
            <v>4273.9309500000008</v>
          </cell>
          <cell r="G19">
            <v>5876.654950000001</v>
          </cell>
          <cell r="H19">
            <v>1602.7239999999999</v>
          </cell>
          <cell r="J19">
            <v>6.0572724352312015</v>
          </cell>
          <cell r="L19">
            <v>1.0087795618128608</v>
          </cell>
          <cell r="N19">
            <v>1.0141717897403224</v>
          </cell>
          <cell r="P19">
            <v>-5.2259622942191192E-2</v>
          </cell>
          <cell r="R19">
            <v>8.4486260661897419E-2</v>
          </cell>
          <cell r="T19">
            <v>426.98900000000003</v>
          </cell>
          <cell r="V19">
            <v>515.50670306862753</v>
          </cell>
          <cell r="X19">
            <v>1.307527828585741E-2</v>
          </cell>
          <cell r="Z19">
            <v>0.1033860161411297</v>
          </cell>
          <cell r="AB19">
            <v>22.016702995138782</v>
          </cell>
          <cell r="AD19">
            <v>21.899642865916086</v>
          </cell>
          <cell r="AF19">
            <v>11.137622147676447</v>
          </cell>
        </row>
        <row r="20">
          <cell r="C20" t="str">
            <v>Entrust</v>
          </cell>
          <cell r="D20">
            <v>4.24</v>
          </cell>
          <cell r="E20">
            <v>63.55</v>
          </cell>
          <cell r="F20">
            <v>176.08199999999999</v>
          </cell>
          <cell r="G20">
            <v>269.452</v>
          </cell>
          <cell r="H20">
            <v>93.37</v>
          </cell>
          <cell r="J20">
            <v>1.4692368214004723</v>
          </cell>
          <cell r="L20">
            <v>-0.24</v>
          </cell>
          <cell r="N20">
            <v>0.02</v>
          </cell>
          <cell r="P20">
            <v>1.3333333333333337</v>
          </cell>
          <cell r="R20">
            <v>5</v>
          </cell>
          <cell r="T20">
            <v>102.741</v>
          </cell>
          <cell r="V20">
            <v>96.47</v>
          </cell>
          <cell r="X20">
            <v>-0.14491780301924251</v>
          </cell>
          <cell r="Z20">
            <v>0.13672644345392349</v>
          </cell>
          <cell r="AB20" t="str">
            <v>-</v>
          </cell>
          <cell r="AD20" t="str">
            <v>--</v>
          </cell>
          <cell r="AF20">
            <v>2.2841690331878097</v>
          </cell>
        </row>
        <row r="21">
          <cell r="C21" t="str">
            <v>Internet Security Systems</v>
          </cell>
          <cell r="D21">
            <v>17.079999999999998</v>
          </cell>
          <cell r="E21">
            <v>50.087249999999997</v>
          </cell>
          <cell r="F21">
            <v>614.23222999999984</v>
          </cell>
          <cell r="G21">
            <v>855.49022999999988</v>
          </cell>
          <cell r="H21">
            <v>241.25800000000001</v>
          </cell>
          <cell r="J21">
            <v>4.8167547629386727</v>
          </cell>
          <cell r="L21">
            <v>0.47570200815154118</v>
          </cell>
          <cell r="N21">
            <v>0.62505339871485732</v>
          </cell>
          <cell r="P21">
            <v>0.10334407989427788</v>
          </cell>
          <cell r="R21">
            <v>0.16129101506864518</v>
          </cell>
          <cell r="T21">
            <v>243.285</v>
          </cell>
          <cell r="V21">
            <v>279.99560150000002</v>
          </cell>
          <cell r="X21">
            <v>1.0259572106788257E-2</v>
          </cell>
          <cell r="Z21">
            <v>9.6957374578614641E-2</v>
          </cell>
          <cell r="AB21">
            <v>35.904830560561642</v>
          </cell>
          <cell r="AD21">
            <v>27.325665351340184</v>
          </cell>
          <cell r="AF21">
            <v>3.8266866017471894</v>
          </cell>
        </row>
        <row r="22">
          <cell r="C22" t="str">
            <v>Macrovision</v>
          </cell>
          <cell r="D22">
            <v>18.25</v>
          </cell>
          <cell r="E22">
            <v>49.451250000000002</v>
          </cell>
          <cell r="F22">
            <v>648.68031250000013</v>
          </cell>
          <cell r="G22">
            <v>902.48531250000008</v>
          </cell>
          <cell r="H22">
            <v>253.80500000000001</v>
          </cell>
          <cell r="J22">
            <v>5.1324284017087534</v>
          </cell>
          <cell r="L22">
            <v>0.69983923890903665</v>
          </cell>
          <cell r="N22">
            <v>0.8511722646556128</v>
          </cell>
          <cell r="P22">
            <v>7.9040696818660008E-2</v>
          </cell>
          <cell r="R22">
            <v>8.9474281203121786E-2</v>
          </cell>
          <cell r="T22">
            <v>102.265</v>
          </cell>
          <cell r="V22">
            <v>139.20870159999998</v>
          </cell>
          <cell r="X22">
            <v>0.20729907593018135</v>
          </cell>
          <cell r="Z22">
            <v>0.12776226212571795</v>
          </cell>
          <cell r="AB22">
            <v>26.077417477261644</v>
          </cell>
          <cell r="AD22">
            <v>21.441018179068621</v>
          </cell>
          <cell r="AF22">
            <v>9.1332649803163548</v>
          </cell>
        </row>
        <row r="23">
          <cell r="C23" t="str">
            <v>Netegrity</v>
          </cell>
          <cell r="D23">
            <v>8.16</v>
          </cell>
          <cell r="E23">
            <v>36.332749999999997</v>
          </cell>
          <cell r="F23">
            <v>203.40123999999997</v>
          </cell>
          <cell r="G23">
            <v>296.47523999999999</v>
          </cell>
          <cell r="H23">
            <v>93.073999999999998</v>
          </cell>
          <cell r="J23">
            <v>2.5617108531558994</v>
          </cell>
          <cell r="L23">
            <v>-0.65354517829389258</v>
          </cell>
          <cell r="N23">
            <v>0.159792175001716</v>
          </cell>
          <cell r="P23">
            <v>-1.0088673853110379</v>
          </cell>
          <cell r="R23">
            <v>0.76749025982166519</v>
          </cell>
          <cell r="T23">
            <v>69.262</v>
          </cell>
          <cell r="V23">
            <v>97.661722806330005</v>
          </cell>
          <cell r="X23">
            <v>0.13251133377609653</v>
          </cell>
          <cell r="Z23">
            <v>0.14358810941512465</v>
          </cell>
          <cell r="AB23">
            <v>17.342596686806814</v>
          </cell>
          <cell r="AD23" t="str">
            <v>-</v>
          </cell>
          <cell r="AF23">
            <v>3.4242528961319456</v>
          </cell>
        </row>
        <row r="24">
          <cell r="C24" t="str">
            <v>Netscreen</v>
          </cell>
          <cell r="D24">
            <v>35.450000000000003</v>
          </cell>
          <cell r="E24">
            <v>100.375</v>
          </cell>
          <cell r="F24">
            <v>3178.8977500000001</v>
          </cell>
          <cell r="G24">
            <v>3558.2937500000003</v>
          </cell>
          <cell r="H24">
            <v>379.39600000000002</v>
          </cell>
          <cell r="J24">
            <v>3.7797858032378584</v>
          </cell>
          <cell r="L24">
            <v>0.28292117923044946</v>
          </cell>
          <cell r="N24">
            <v>0.64676018339472874</v>
          </cell>
          <cell r="P24">
            <v>1.1712095384119792</v>
          </cell>
          <cell r="R24">
            <v>0.33931325460714018</v>
          </cell>
          <cell r="T24">
            <v>160.57900000000001</v>
          </cell>
          <cell r="V24">
            <v>409.13400946001298</v>
          </cell>
          <cell r="X24">
            <v>0.71435243711817842</v>
          </cell>
          <cell r="Z24">
            <v>0.23067003974910633</v>
          </cell>
          <cell r="AB24" t="str">
            <v>--</v>
          </cell>
          <cell r="AD24">
            <v>54.811661122874447</v>
          </cell>
          <cell r="AF24" t="str">
            <v>--</v>
          </cell>
        </row>
        <row r="25">
          <cell r="C25" t="str">
            <v>Network Associates</v>
          </cell>
          <cell r="D25">
            <v>17.71</v>
          </cell>
          <cell r="E25">
            <v>186.39400000000003</v>
          </cell>
          <cell r="F25">
            <v>2514.2327400000004</v>
          </cell>
          <cell r="G25">
            <v>3301.0377400000007</v>
          </cell>
          <cell r="H25">
            <v>786.80499999999995</v>
          </cell>
          <cell r="J25">
            <v>4.2211927422556519</v>
          </cell>
          <cell r="L25">
            <v>1.1885659835791151</v>
          </cell>
          <cell r="N25">
            <v>0.70123397788579478</v>
          </cell>
          <cell r="P25">
            <v>-0.4565802194067084</v>
          </cell>
          <cell r="R25">
            <v>0.12751894763914659</v>
          </cell>
          <cell r="T25">
            <v>1043.0440000000001</v>
          </cell>
          <cell r="V25">
            <v>941.33915460000003</v>
          </cell>
          <cell r="X25">
            <v>-0.1059638903056824</v>
          </cell>
          <cell r="Z25">
            <v>9.9841961609401911E-2</v>
          </cell>
          <cell r="AB25">
            <v>14.900308644767101</v>
          </cell>
          <cell r="AD25">
            <v>25.255478996319127</v>
          </cell>
          <cell r="AF25">
            <v>4.2734424833064502</v>
          </cell>
        </row>
        <row r="26">
          <cell r="C26" t="str">
            <v>RSA Security</v>
          </cell>
          <cell r="D26">
            <v>16.75</v>
          </cell>
          <cell r="E26">
            <v>60.183999999999997</v>
          </cell>
          <cell r="F26">
            <v>800.75900000000001</v>
          </cell>
          <cell r="G26">
            <v>1008.082</v>
          </cell>
          <cell r="H26">
            <v>207.32300000000001</v>
          </cell>
          <cell r="J26">
            <v>3.4448192210554303</v>
          </cell>
          <cell r="L26">
            <v>-0.13</v>
          </cell>
          <cell r="N26">
            <v>0.43</v>
          </cell>
          <cell r="P26">
            <v>-2.8461538461538458</v>
          </cell>
          <cell r="R26">
            <v>0.37209302325581389</v>
          </cell>
          <cell r="T26">
            <v>232</v>
          </cell>
          <cell r="V26">
            <v>293.86</v>
          </cell>
          <cell r="X26">
            <v>0.12011206896551718</v>
          </cell>
          <cell r="Z26">
            <v>0.12029537875178645</v>
          </cell>
          <cell r="AB26" t="str">
            <v>-</v>
          </cell>
          <cell r="AD26" t="str">
            <v>--</v>
          </cell>
          <cell r="AF26">
            <v>3.566512885102529</v>
          </cell>
        </row>
        <row r="27">
          <cell r="C27" t="str">
            <v>Secure Computing</v>
          </cell>
          <cell r="D27">
            <v>15.45</v>
          </cell>
          <cell r="E27">
            <v>33.552999999999997</v>
          </cell>
          <cell r="F27">
            <v>494.11684999999994</v>
          </cell>
          <cell r="G27">
            <v>518.39384999999993</v>
          </cell>
          <cell r="H27">
            <v>24.277000000000001</v>
          </cell>
          <cell r="J27">
            <v>0.72354185914821334</v>
          </cell>
          <cell r="L27">
            <v>4.3802432646792802E-2</v>
          </cell>
          <cell r="N27">
            <v>0.41001814251073898</v>
          </cell>
          <cell r="P27">
            <v>4.554868610822413</v>
          </cell>
          <cell r="R27">
            <v>0.28646495947489092</v>
          </cell>
          <cell r="T27">
            <v>65.837000000000003</v>
          </cell>
          <cell r="V27">
            <v>99.422889999999995</v>
          </cell>
          <cell r="X27">
            <v>0.18825280617282061</v>
          </cell>
          <cell r="Z27">
            <v>0.2193939584737479</v>
          </cell>
          <cell r="AB27" t="str">
            <v>--</v>
          </cell>
          <cell r="AD27">
            <v>37.681259432551428</v>
          </cell>
          <cell r="AF27">
            <v>9.8803790954314135</v>
          </cell>
        </row>
        <row r="28">
          <cell r="C28" t="str">
            <v>SonicWall</v>
          </cell>
          <cell r="D28">
            <v>8.6</v>
          </cell>
          <cell r="E28">
            <v>73.415000000000006</v>
          </cell>
          <cell r="F28">
            <v>631.12552300000004</v>
          </cell>
          <cell r="G28">
            <v>631.36900000000003</v>
          </cell>
          <cell r="H28">
            <v>0.243477</v>
          </cell>
          <cell r="J28">
            <v>3.3164475924538578E-3</v>
          </cell>
          <cell r="L28">
            <v>6.2001626573124378E-2</v>
          </cell>
          <cell r="N28">
            <v>0.11962465681010354</v>
          </cell>
          <cell r="P28">
            <v>-2.4385565678055814</v>
          </cell>
          <cell r="R28">
            <v>0.21075510903889502</v>
          </cell>
          <cell r="T28">
            <v>103.21900000000001</v>
          </cell>
          <cell r="V28">
            <v>124.99818249999998</v>
          </cell>
          <cell r="X28">
            <v>-8.5430008041155456E-2</v>
          </cell>
          <cell r="Z28">
            <v>0.2000509441707283</v>
          </cell>
          <cell r="AB28" t="str">
            <v>--</v>
          </cell>
          <cell r="AD28" t="str">
            <v>--</v>
          </cell>
          <cell r="AF28">
            <v>5.6372232142857142</v>
          </cell>
        </row>
        <row r="29">
          <cell r="C29" t="str">
            <v>Symantec</v>
          </cell>
          <cell r="D29">
            <v>46.26</v>
          </cell>
          <cell r="E29">
            <v>354.19714999999997</v>
          </cell>
          <cell r="F29">
            <v>14964.486159</v>
          </cell>
          <cell r="G29">
            <v>16385.160158999999</v>
          </cell>
          <cell r="H29">
            <v>2026.57</v>
          </cell>
          <cell r="J29">
            <v>4.0109695970168033</v>
          </cell>
          <cell r="L29">
            <v>0.83181585750349019</v>
          </cell>
          <cell r="N29">
            <v>1.2866009879147799</v>
          </cell>
          <cell r="P29">
            <v>0.27797455237414587</v>
          </cell>
          <cell r="R29">
            <v>0.16396841891265257</v>
          </cell>
          <cell r="T29">
            <v>1327.69</v>
          </cell>
          <cell r="V29">
            <v>2135.4042390000004</v>
          </cell>
          <cell r="X29">
            <v>0.28323102531464411</v>
          </cell>
          <cell r="Z29">
            <v>0.15131257299147829</v>
          </cell>
          <cell r="AB29">
            <v>55.613270151928901</v>
          </cell>
          <cell r="AD29">
            <v>35.955203232802198</v>
          </cell>
          <cell r="AF29">
            <v>16.20688443026706</v>
          </cell>
        </row>
        <row r="30">
          <cell r="C30" t="str">
            <v>VeriSign</v>
          </cell>
          <cell r="D30">
            <v>16.260000000000002</v>
          </cell>
          <cell r="E30">
            <v>248.75</v>
          </cell>
          <cell r="F30">
            <v>3404.2170000000001</v>
          </cell>
          <cell r="G30">
            <v>4044.6750000000002</v>
          </cell>
          <cell r="H30">
            <v>640.45799999999997</v>
          </cell>
          <cell r="J30">
            <v>2.5747055276381907</v>
          </cell>
          <cell r="L30">
            <v>0.62686443567173922</v>
          </cell>
          <cell r="N30">
            <v>0.58231815560078137</v>
          </cell>
          <cell r="P30">
            <v>-5.8347515167172188E-2</v>
          </cell>
          <cell r="R30">
            <v>0.14503747524355182</v>
          </cell>
          <cell r="T30">
            <v>1221.6690000000001</v>
          </cell>
          <cell r="V30">
            <v>924.8761770000001</v>
          </cell>
          <cell r="X30">
            <v>-0.13660737892178659</v>
          </cell>
          <cell r="Z30">
            <v>7.0020913918512395E-2</v>
          </cell>
          <cell r="AB30">
            <v>25.938622570884903</v>
          </cell>
          <cell r="AD30">
            <v>27.922880033208745</v>
          </cell>
          <cell r="AF30">
            <v>4.1122641739632604</v>
          </cell>
        </row>
        <row r="31">
          <cell r="C31" t="str">
            <v>Watchguard</v>
          </cell>
          <cell r="D31">
            <v>7.74</v>
          </cell>
          <cell r="E31">
            <v>33.387</v>
          </cell>
          <cell r="F31">
            <v>175.29038000000003</v>
          </cell>
          <cell r="G31">
            <v>258.41538000000003</v>
          </cell>
          <cell r="H31">
            <v>83.125</v>
          </cell>
          <cell r="J31">
            <v>2.489741516158984</v>
          </cell>
          <cell r="L31">
            <v>-0.33</v>
          </cell>
          <cell r="N31">
            <v>-0.11</v>
          </cell>
          <cell r="P31">
            <v>-0.15151515151515146</v>
          </cell>
          <cell r="R31">
            <v>-1.8181818181818183</v>
          </cell>
          <cell r="T31">
            <v>75.47</v>
          </cell>
          <cell r="V31">
            <v>88.55</v>
          </cell>
          <cell r="X31">
            <v>6.1733138995627483E-2</v>
          </cell>
          <cell r="Z31">
            <v>0.15968379446640318</v>
          </cell>
          <cell r="AB31" t="str">
            <v>-</v>
          </cell>
          <cell r="AD31" t="str">
            <v>-</v>
          </cell>
          <cell r="AF31">
            <v>4.0199645318357886</v>
          </cell>
        </row>
        <row r="32">
          <cell r="C32" t="str">
            <v>Websense</v>
          </cell>
          <cell r="D32">
            <v>29.1</v>
          </cell>
          <cell r="E32">
            <v>22.375</v>
          </cell>
          <cell r="F32">
            <v>468.25350000000009</v>
          </cell>
          <cell r="G32">
            <v>651.11249999999995</v>
          </cell>
          <cell r="H32">
            <v>182.85899999999998</v>
          </cell>
          <cell r="J32">
            <v>8.1724692737430153</v>
          </cell>
          <cell r="L32">
            <v>0.67</v>
          </cell>
          <cell r="N32">
            <v>0.88</v>
          </cell>
          <cell r="P32">
            <v>7.4626865671641687E-2</v>
          </cell>
          <cell r="R32">
            <v>0.17045454545454547</v>
          </cell>
          <cell r="T32">
            <v>60.984999999999999</v>
          </cell>
          <cell r="V32">
            <v>102.59</v>
          </cell>
          <cell r="X32">
            <v>0.33973928015085669</v>
          </cell>
          <cell r="Z32">
            <v>0.18910225168145034</v>
          </cell>
          <cell r="AB32">
            <v>43.432835820895519</v>
          </cell>
          <cell r="AD32">
            <v>33.06818181818182</v>
          </cell>
          <cell r="AF32">
            <v>18.140375560694288</v>
          </cell>
        </row>
        <row r="33">
          <cell r="X33">
            <v>5.5076124610437108E-2</v>
          </cell>
          <cell r="Z33">
            <v>0.12965760480866539</v>
          </cell>
          <cell r="AB33">
            <v>30.613987173179115</v>
          </cell>
        </row>
        <row r="34">
          <cell r="V34" t="str">
            <v>Group Mean</v>
          </cell>
          <cell r="X34">
            <v>5.6107827359320323E-2</v>
          </cell>
          <cell r="Z34">
            <v>0.13080225743365156</v>
          </cell>
          <cell r="AB34">
            <v>30.153323113530664</v>
          </cell>
          <cell r="AD34">
            <v>31.706776781362514</v>
          </cell>
          <cell r="AF34">
            <v>7.3571570795343266</v>
          </cell>
        </row>
        <row r="35">
          <cell r="V35" t="str">
            <v>Group Median</v>
          </cell>
          <cell r="AB35">
            <v>26.008020024073275</v>
          </cell>
          <cell r="AD35">
            <v>27.922880033208745</v>
          </cell>
          <cell r="AF35">
            <v>4.2734424833064502</v>
          </cell>
        </row>
        <row r="37">
          <cell r="C37" t="str">
            <v>Infrastructure &amp; Platforms</v>
          </cell>
          <cell r="D37" t="str">
            <v>Price</v>
          </cell>
          <cell r="E37" t="str">
            <v># shares</v>
          </cell>
          <cell r="F37" t="str">
            <v>Ent. Value</v>
          </cell>
          <cell r="G37" t="str">
            <v>Mkt Cap</v>
          </cell>
          <cell r="H37" t="str">
            <v>Cash</v>
          </cell>
          <cell r="J37" t="str">
            <v>Net Cash Per share</v>
          </cell>
          <cell r="K37" t="str">
            <v>EPS</v>
          </cell>
          <cell r="L37">
            <v>2002</v>
          </cell>
          <cell r="N37">
            <v>2004</v>
          </cell>
          <cell r="Q37" t="str">
            <v>'03-'04 Growth</v>
          </cell>
          <cell r="S37" t="str">
            <v>Revenue</v>
          </cell>
          <cell r="U37">
            <v>2003</v>
          </cell>
          <cell r="X37" t="str">
            <v>'02-'03 Growth</v>
          </cell>
          <cell r="Z37" t="str">
            <v>'04-'05 Growth</v>
          </cell>
          <cell r="AA37" t="str">
            <v>P/E Multiple</v>
          </cell>
          <cell r="AB37">
            <v>2002</v>
          </cell>
          <cell r="AE37">
            <v>2005</v>
          </cell>
          <cell r="AF37" t="str">
            <v>P/S Multiple</v>
          </cell>
          <cell r="AG37">
            <v>2002</v>
          </cell>
          <cell r="AJ37">
            <v>2005</v>
          </cell>
          <cell r="AK37">
            <v>2003</v>
          </cell>
          <cell r="AL37" t="str">
            <v>'03 Rev</v>
          </cell>
          <cell r="AM37" t="str">
            <v xml:space="preserve">'03 EPS </v>
          </cell>
          <cell r="AN37" t="str">
            <v>'03 Rev</v>
          </cell>
          <cell r="AO37">
            <v>2004</v>
          </cell>
          <cell r="AP37" t="str">
            <v>'04 Rev</v>
          </cell>
          <cell r="AQ37" t="str">
            <v xml:space="preserve">'04 EPS </v>
          </cell>
          <cell r="AR37" t="str">
            <v>'04 Rev</v>
          </cell>
          <cell r="AS37">
            <v>2005</v>
          </cell>
          <cell r="AT37" t="str">
            <v>'04 Rev</v>
          </cell>
          <cell r="AU37" t="str">
            <v xml:space="preserve">'04 EPS </v>
          </cell>
          <cell r="AV37" t="str">
            <v>'04 Rev</v>
          </cell>
        </row>
        <row r="38">
          <cell r="C38" t="str">
            <v>Infrastructure &amp; Platforms</v>
          </cell>
          <cell r="D38" t="str">
            <v>Price</v>
          </cell>
          <cell r="E38" t="str">
            <v># shares</v>
          </cell>
          <cell r="F38" t="str">
            <v>Ent. Value</v>
          </cell>
          <cell r="G38" t="str">
            <v>Mkt Cap</v>
          </cell>
          <cell r="H38" t="str">
            <v>Cash</v>
          </cell>
          <cell r="J38" t="str">
            <v>Net Cash Per share</v>
          </cell>
          <cell r="L38">
            <v>2002</v>
          </cell>
          <cell r="N38">
            <v>2004</v>
          </cell>
          <cell r="P38" t="str">
            <v>'02-'03 Growth</v>
          </cell>
          <cell r="R38" t="str">
            <v>'04-'05 Growth</v>
          </cell>
          <cell r="T38">
            <v>2002</v>
          </cell>
          <cell r="V38">
            <v>2004</v>
          </cell>
          <cell r="X38" t="str">
            <v>'02-'03 Growth</v>
          </cell>
          <cell r="Z38" t="str">
            <v>'04-'05 Growth</v>
          </cell>
          <cell r="AB38">
            <v>2002</v>
          </cell>
          <cell r="AD38">
            <v>2004</v>
          </cell>
          <cell r="AF38">
            <v>2001</v>
          </cell>
        </row>
        <row r="39">
          <cell r="C39" t="str">
            <v>BEA Systems</v>
          </cell>
          <cell r="D39">
            <v>12.64</v>
          </cell>
          <cell r="E39">
            <v>433.56</v>
          </cell>
          <cell r="F39">
            <v>4564.3664000000008</v>
          </cell>
          <cell r="G39">
            <v>5480.1984000000002</v>
          </cell>
          <cell r="H39">
            <v>1472.48</v>
          </cell>
          <cell r="J39">
            <v>2.112353538149276</v>
          </cell>
          <cell r="L39">
            <v>0.32052791039574252</v>
          </cell>
          <cell r="N39">
            <v>0.36586276089168368</v>
          </cell>
          <cell r="P39">
            <v>5.4986150011488702E-3</v>
          </cell>
          <cell r="R39">
            <v>0.11226116701709032</v>
          </cell>
          <cell r="T39">
            <v>975.89299999999992</v>
          </cell>
          <cell r="V39">
            <v>1122.9963750000002</v>
          </cell>
          <cell r="X39">
            <v>3.7503086916291076E-2</v>
          </cell>
          <cell r="Z39">
            <v>9.896086365372285E-2</v>
          </cell>
          <cell r="AB39">
            <v>39.434943385722377</v>
          </cell>
          <cell r="AD39">
            <v>34.548473775231159</v>
          </cell>
          <cell r="AF39">
            <v>5.6155730187633282</v>
          </cell>
        </row>
        <row r="40">
          <cell r="C40" t="str">
            <v>BMC Software</v>
          </cell>
          <cell r="D40">
            <v>19.22</v>
          </cell>
          <cell r="E40">
            <v>228.25</v>
          </cell>
          <cell r="F40">
            <v>3322.0650000000001</v>
          </cell>
          <cell r="G40">
            <v>4386.9650000000001</v>
          </cell>
          <cell r="H40">
            <v>1064.9000000000001</v>
          </cell>
          <cell r="J40">
            <v>4.6654983570646227</v>
          </cell>
          <cell r="L40">
            <v>0.42923777981670663</v>
          </cell>
          <cell r="N40">
            <v>0.79759268022826035</v>
          </cell>
          <cell r="P40">
            <v>0.1225093444916197</v>
          </cell>
          <cell r="R40">
            <v>0.14298662597001807</v>
          </cell>
          <cell r="T40">
            <v>1277.8</v>
          </cell>
          <cell r="V40">
            <v>1498.890516719538</v>
          </cell>
          <cell r="X40">
            <v>9.5007043355767803E-2</v>
          </cell>
          <cell r="Z40">
            <v>5.690170703239511E-2</v>
          </cell>
          <cell r="AB40">
            <v>44.777046438473647</v>
          </cell>
          <cell r="AD40">
            <v>24.097513024441863</v>
          </cell>
          <cell r="AF40">
            <v>3.2002954479136272</v>
          </cell>
        </row>
        <row r="41">
          <cell r="C41" t="str">
            <v>Citrix</v>
          </cell>
          <cell r="D41">
            <v>22.21</v>
          </cell>
          <cell r="E41">
            <v>164.12</v>
          </cell>
          <cell r="F41">
            <v>3384.2142000000003</v>
          </cell>
          <cell r="G41">
            <v>3645.1052000000004</v>
          </cell>
          <cell r="H41">
            <v>612.31400000000008</v>
          </cell>
          <cell r="J41">
            <v>1.589635632464051</v>
          </cell>
          <cell r="L41">
            <v>0.56000000000000005</v>
          </cell>
          <cell r="N41">
            <v>0.81</v>
          </cell>
          <cell r="P41">
            <v>0.39285714285714279</v>
          </cell>
          <cell r="R41">
            <v>0.12345679012345676</v>
          </cell>
          <cell r="T41">
            <v>527</v>
          </cell>
          <cell r="V41">
            <v>646.22</v>
          </cell>
          <cell r="X41">
            <v>0.11680075901328268</v>
          </cell>
          <cell r="Z41">
            <v>8.5265080003713939E-2</v>
          </cell>
          <cell r="AB41">
            <v>39.660714285714285</v>
          </cell>
          <cell r="AD41">
            <v>27.419753086419753</v>
          </cell>
          <cell r="AF41">
            <v>6.1572722972972977</v>
          </cell>
        </row>
        <row r="42">
          <cell r="C42" t="str">
            <v>Computer Associates</v>
          </cell>
          <cell r="D42">
            <v>26.75</v>
          </cell>
          <cell r="E42">
            <v>579.08199999999999</v>
          </cell>
          <cell r="F42">
            <v>16438.443500000001</v>
          </cell>
          <cell r="G42">
            <v>15490.443499999999</v>
          </cell>
          <cell r="H42">
            <v>1352</v>
          </cell>
          <cell r="J42">
            <v>-1.6370738513716538</v>
          </cell>
          <cell r="L42">
            <v>0.11</v>
          </cell>
          <cell r="N42">
            <v>0.83</v>
          </cell>
          <cell r="P42">
            <v>3.7272727272727275</v>
          </cell>
          <cell r="R42">
            <v>0.45783132530120485</v>
          </cell>
          <cell r="T42">
            <v>3087</v>
          </cell>
          <cell r="V42">
            <v>3640.6401000000001</v>
          </cell>
          <cell r="X42">
            <v>6.6083576287657916E-2</v>
          </cell>
          <cell r="Z42">
            <v>0.13734667153723867</v>
          </cell>
          <cell r="AB42">
            <v>243.18181818181819</v>
          </cell>
          <cell r="AD42">
            <v>32.228915662650607</v>
          </cell>
          <cell r="AF42">
            <v>5.3415322413793103</v>
          </cell>
        </row>
        <row r="43">
          <cell r="C43" t="str">
            <v>Compuware</v>
          </cell>
          <cell r="D43">
            <v>7.52</v>
          </cell>
          <cell r="E43">
            <v>384.07799999999997</v>
          </cell>
          <cell r="F43">
            <v>2346.0245599999998</v>
          </cell>
          <cell r="G43">
            <v>2888.2665599999996</v>
          </cell>
          <cell r="H43">
            <v>542.24199999999996</v>
          </cell>
          <cell r="J43">
            <v>1.4118017694322507</v>
          </cell>
          <cell r="L43">
            <v>0.3</v>
          </cell>
          <cell r="N43">
            <v>0.11</v>
          </cell>
          <cell r="P43">
            <v>-0.63333333333333341</v>
          </cell>
          <cell r="R43">
            <v>0.18181818181818185</v>
          </cell>
          <cell r="T43">
            <v>1444.893</v>
          </cell>
          <cell r="V43">
            <v>1278.0599</v>
          </cell>
          <cell r="X43">
            <v>-0.12482239169267206</v>
          </cell>
          <cell r="Z43">
            <v>1.4467240541699188E-2</v>
          </cell>
          <cell r="AB43">
            <v>25.066666666666666</v>
          </cell>
          <cell r="AD43" t="str">
            <v>--</v>
          </cell>
          <cell r="AF43">
            <v>1.5739872261580379</v>
          </cell>
        </row>
        <row r="44">
          <cell r="C44" t="str">
            <v>Embarcadero Technologies</v>
          </cell>
          <cell r="D44">
            <v>12.61</v>
          </cell>
          <cell r="E44">
            <v>26.602</v>
          </cell>
          <cell r="F44">
            <v>277.48421999999999</v>
          </cell>
          <cell r="G44">
            <v>335.45121999999998</v>
          </cell>
          <cell r="H44">
            <v>57.966999999999999</v>
          </cell>
          <cell r="I44">
            <v>0</v>
          </cell>
          <cell r="J44">
            <v>2.1790466882189308</v>
          </cell>
          <cell r="K44">
            <v>0.25</v>
          </cell>
          <cell r="L44">
            <v>0.21</v>
          </cell>
          <cell r="M44">
            <v>0.24</v>
          </cell>
          <cell r="N44">
            <v>0.35</v>
          </cell>
          <cell r="O44">
            <v>0.42</v>
          </cell>
          <cell r="P44">
            <v>0.14285714285714285</v>
          </cell>
          <cell r="Q44">
            <v>0.45833333333333331</v>
          </cell>
          <cell r="R44">
            <v>0.2</v>
          </cell>
          <cell r="T44">
            <v>49.302</v>
          </cell>
          <cell r="V44">
            <v>60.22</v>
          </cell>
          <cell r="X44">
            <v>5.2249401646992016E-2</v>
          </cell>
          <cell r="Z44">
            <v>0.14596479574892074</v>
          </cell>
          <cell r="AB44">
            <v>60.047619047619044</v>
          </cell>
          <cell r="AD44">
            <v>36.028571428571432</v>
          </cell>
          <cell r="AF44">
            <v>6.5143748786266356</v>
          </cell>
        </row>
        <row r="45">
          <cell r="C45" t="str">
            <v>Mercury Interative</v>
          </cell>
          <cell r="D45">
            <v>43.97</v>
          </cell>
          <cell r="E45">
            <v>90.034000000000006</v>
          </cell>
          <cell r="F45">
            <v>4063.5939800000001</v>
          </cell>
          <cell r="G45">
            <v>3958.7949800000001</v>
          </cell>
          <cell r="H45">
            <v>706.36</v>
          </cell>
          <cell r="J45">
            <v>-1.1639936024168644</v>
          </cell>
          <cell r="L45">
            <v>0.72</v>
          </cell>
          <cell r="N45">
            <v>1.07</v>
          </cell>
          <cell r="P45">
            <v>0.2777777777777779</v>
          </cell>
          <cell r="R45">
            <v>0.22429906542056072</v>
          </cell>
          <cell r="T45">
            <v>400.12200000000001</v>
          </cell>
          <cell r="V45">
            <v>648</v>
          </cell>
          <cell r="X45">
            <v>0.26589390235978022</v>
          </cell>
          <cell r="Z45">
            <v>0.17501543209876538</v>
          </cell>
          <cell r="AB45">
            <v>61.069444444444443</v>
          </cell>
          <cell r="AD45">
            <v>41.09345794392523</v>
          </cell>
          <cell r="AF45">
            <v>10.966191080332411</v>
          </cell>
        </row>
        <row r="46">
          <cell r="C46" t="str">
            <v>Microsoft</v>
          </cell>
          <cell r="D46">
            <v>25.03</v>
          </cell>
          <cell r="E46">
            <v>10812.468999999999</v>
          </cell>
          <cell r="F46">
            <v>217859.09907</v>
          </cell>
          <cell r="G46">
            <v>270636.09907</v>
          </cell>
          <cell r="H46">
            <v>52777</v>
          </cell>
          <cell r="J46">
            <v>4.8811238210255219</v>
          </cell>
          <cell r="L46">
            <v>1</v>
          </cell>
          <cell r="N46">
            <v>1.22</v>
          </cell>
          <cell r="P46">
            <v>0.14000000000000001</v>
          </cell>
          <cell r="R46">
            <v>0.1</v>
          </cell>
          <cell r="T46">
            <v>30785</v>
          </cell>
          <cell r="V46">
            <v>37111</v>
          </cell>
          <cell r="X46">
            <v>0.113139515998051</v>
          </cell>
          <cell r="Z46">
            <v>0.1</v>
          </cell>
          <cell r="AB46">
            <v>25.03</v>
          </cell>
          <cell r="AD46">
            <v>20.516393442622952</v>
          </cell>
          <cell r="AF46">
            <v>10.023559224814814</v>
          </cell>
        </row>
        <row r="47">
          <cell r="C47" t="str">
            <v>NetIQ</v>
          </cell>
          <cell r="D47">
            <v>13.72</v>
          </cell>
          <cell r="E47">
            <v>52.279000000000003</v>
          </cell>
          <cell r="F47">
            <v>378.18988000000013</v>
          </cell>
          <cell r="G47">
            <v>717.2678800000001</v>
          </cell>
          <cell r="H47">
            <v>339.07799999999997</v>
          </cell>
          <cell r="J47">
            <v>6.4859312534669744</v>
          </cell>
          <cell r="L47">
            <v>0.99</v>
          </cell>
          <cell r="N47">
            <v>0.05</v>
          </cell>
          <cell r="P47">
            <v>-0.79797979797979801</v>
          </cell>
          <cell r="R47">
            <v>1</v>
          </cell>
          <cell r="T47">
            <v>278</v>
          </cell>
          <cell r="V47">
            <v>254.98</v>
          </cell>
          <cell r="X47">
            <v>0.11605395683453229</v>
          </cell>
          <cell r="Z47">
            <v>8.6595027060946003E-2</v>
          </cell>
          <cell r="AB47">
            <v>13.85858585858586</v>
          </cell>
          <cell r="AD47" t="str">
            <v>--</v>
          </cell>
          <cell r="AF47">
            <v>3.2020887500000006</v>
          </cell>
        </row>
        <row r="48">
          <cell r="C48" t="str">
            <v>Oracle</v>
          </cell>
          <cell r="D48">
            <v>11.92</v>
          </cell>
          <cell r="E48">
            <v>5355.75</v>
          </cell>
          <cell r="F48">
            <v>56087.54</v>
          </cell>
          <cell r="G48">
            <v>63840.54</v>
          </cell>
          <cell r="H48">
            <v>8074</v>
          </cell>
          <cell r="J48">
            <v>1.4476030434579656</v>
          </cell>
          <cell r="L48">
            <v>0.40638090707461194</v>
          </cell>
          <cell r="N48">
            <v>0.50994487201454231</v>
          </cell>
          <cell r="P48">
            <v>0.13462217584207092</v>
          </cell>
          <cell r="R48">
            <v>0.13261957707561003</v>
          </cell>
          <cell r="T48">
            <v>9363.1569999999992</v>
          </cell>
          <cell r="V48">
            <v>10475.466204</v>
          </cell>
          <cell r="X48">
            <v>3.6926006901304827E-2</v>
          </cell>
          <cell r="Z48">
            <v>7.2384392854082547E-2</v>
          </cell>
          <cell r="AB48">
            <v>29.33208670113893</v>
          </cell>
          <cell r="AD48">
            <v>23.375075727126976</v>
          </cell>
          <cell r="AF48">
            <v>6.0580330746449826</v>
          </cell>
        </row>
        <row r="49">
          <cell r="C49" t="str">
            <v>Quest</v>
          </cell>
          <cell r="D49">
            <v>16.010000000000002</v>
          </cell>
          <cell r="E49">
            <v>93.972999999999999</v>
          </cell>
          <cell r="F49">
            <v>1410.3017300000001</v>
          </cell>
          <cell r="G49">
            <v>1504.50773</v>
          </cell>
          <cell r="H49">
            <v>94.206000000000003</v>
          </cell>
          <cell r="J49">
            <v>1.002479435582561</v>
          </cell>
          <cell r="L49">
            <v>0.22</v>
          </cell>
          <cell r="N49">
            <v>0.4</v>
          </cell>
          <cell r="P49">
            <v>0.59090909090909083</v>
          </cell>
          <cell r="R49">
            <v>0.25</v>
          </cell>
          <cell r="T49">
            <v>260</v>
          </cell>
          <cell r="V49">
            <v>339.83</v>
          </cell>
          <cell r="X49">
            <v>0.1735576923076923</v>
          </cell>
          <cell r="Z49">
            <v>0.12532736956713661</v>
          </cell>
          <cell r="AB49">
            <v>72.77272727272728</v>
          </cell>
          <cell r="AD49">
            <v>40.024999999999999</v>
          </cell>
          <cell r="AF49">
            <v>6.1408478775510202</v>
          </cell>
        </row>
        <row r="50">
          <cell r="C50" t="str">
            <v xml:space="preserve">   </v>
          </cell>
          <cell r="X50">
            <v>7.7352711816733935E-2</v>
          </cell>
          <cell r="Z50">
            <v>9.3195764416559523E-2</v>
          </cell>
          <cell r="AB50">
            <v>60.902310607711279</v>
          </cell>
        </row>
        <row r="51">
          <cell r="V51" t="str">
            <v>Group Mean</v>
          </cell>
          <cell r="X51">
            <v>8.7893851587821578E-2</v>
          </cell>
          <cell r="Z51">
            <v>9.5070491376182925E-2</v>
          </cell>
          <cell r="AB51">
            <v>59.475604752991877</v>
          </cell>
          <cell r="AD51">
            <v>31.037017121221108</v>
          </cell>
          <cell r="AF51">
            <v>5.8903413743164972</v>
          </cell>
        </row>
        <row r="52">
          <cell r="V52" t="str">
            <v>Group Median</v>
          </cell>
          <cell r="AB52">
            <v>39.660714285714285</v>
          </cell>
          <cell r="AD52">
            <v>32.228915662650607</v>
          </cell>
          <cell r="AF52">
            <v>6.0580330746449826</v>
          </cell>
        </row>
      </sheetData>
      <sheetData sheetId="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SENSITIVITY"/>
      <sheetName val="MULTIPLES"/>
      <sheetName val="CHARTS"/>
      <sheetName val="EARNINGS SUMMARY"/>
      <sheetName val="GUIDANCE_ESTIMATES"/>
      <sheetName val="LINKS"/>
      <sheetName val="Q&amp;A"/>
      <sheetName val="UPCOMING EVENTS"/>
      <sheetName val="Sheet1"/>
      <sheetName val="SENSITIVITY ANALYSIS"/>
      <sheetName val="DCF"/>
      <sheetName val="Comp Sheet"/>
      <sheetName val="Comp 2"/>
      <sheetName val="Comp 4"/>
      <sheetName val="Comp 5"/>
      <sheetName val="FX summary"/>
      <sheetName val="Qtr Preview"/>
      <sheetName val="FX"/>
      <sheetName val="Security Group Picture"/>
      <sheetName val="Infrastructure Group Picture"/>
      <sheetName val="Content Group Picture"/>
      <sheetName val="P-S-Gwth"/>
      <sheetName val="ECM Market"/>
      <sheetName val="Pricing-Broadband-ISPs"/>
      <sheetName val="AV Market"/>
      <sheetName val="URL Filtering"/>
      <sheetName val="RBC IWOV Model"/>
      <sheetName val="NA Tech Conference"/>
      <sheetName val="#REF"/>
    </sheetNames>
    <sheetDataSet>
      <sheetData sheetId="0"/>
      <sheetData sheetId="1" refreshError="1">
        <row r="37">
          <cell r="A37" t="str">
            <v>New License Customers</v>
          </cell>
          <cell r="D37">
            <v>33</v>
          </cell>
          <cell r="E37">
            <v>67</v>
          </cell>
          <cell r="F37">
            <v>80</v>
          </cell>
          <cell r="G37">
            <v>108</v>
          </cell>
          <cell r="H37">
            <v>140</v>
          </cell>
          <cell r="I37">
            <v>147</v>
          </cell>
          <cell r="J37">
            <v>91</v>
          </cell>
          <cell r="K37">
            <v>50</v>
          </cell>
          <cell r="L37">
            <v>59</v>
          </cell>
          <cell r="M37">
            <v>82</v>
          </cell>
          <cell r="N37">
            <v>66</v>
          </cell>
          <cell r="O37">
            <v>51</v>
          </cell>
          <cell r="P37">
            <v>51</v>
          </cell>
          <cell r="Q37">
            <v>42</v>
          </cell>
          <cell r="R37">
            <v>29</v>
          </cell>
          <cell r="S37">
            <v>34</v>
          </cell>
          <cell r="T37">
            <v>41</v>
          </cell>
          <cell r="U37">
            <v>78</v>
          </cell>
          <cell r="V37">
            <v>69</v>
          </cell>
          <cell r="W37">
            <v>82</v>
          </cell>
          <cell r="X37">
            <v>89</v>
          </cell>
          <cell r="Y37">
            <v>0</v>
          </cell>
          <cell r="Z37">
            <v>64</v>
          </cell>
          <cell r="AA37">
            <v>73</v>
          </cell>
          <cell r="AB37">
            <v>1</v>
          </cell>
          <cell r="AC37">
            <v>2</v>
          </cell>
          <cell r="AD37">
            <v>3</v>
          </cell>
          <cell r="AE37">
            <v>4</v>
          </cell>
          <cell r="AF37">
            <v>5</v>
          </cell>
          <cell r="AG37">
            <v>6</v>
          </cell>
          <cell r="AH37">
            <v>7</v>
          </cell>
          <cell r="AI37">
            <v>8</v>
          </cell>
          <cell r="AJ37">
            <v>9</v>
          </cell>
          <cell r="AK37">
            <v>10</v>
          </cell>
        </row>
        <row r="39">
          <cell r="A39" t="str">
            <v>Key Metrics</v>
          </cell>
          <cell r="D39">
            <v>108</v>
          </cell>
          <cell r="E39">
            <v>175</v>
          </cell>
          <cell r="F39">
            <v>0</v>
          </cell>
          <cell r="G39">
            <v>0</v>
          </cell>
          <cell r="H39">
            <v>0</v>
          </cell>
          <cell r="I39">
            <v>0</v>
          </cell>
          <cell r="J39">
            <v>0</v>
          </cell>
          <cell r="K39">
            <v>0</v>
          </cell>
          <cell r="L39">
            <v>0</v>
          </cell>
          <cell r="M39">
            <v>0</v>
          </cell>
          <cell r="N39">
            <v>0</v>
          </cell>
          <cell r="O39">
            <v>0</v>
          </cell>
          <cell r="P39">
            <v>0</v>
          </cell>
          <cell r="Q39">
            <v>30.44</v>
          </cell>
          <cell r="R39">
            <v>24.990000000000002</v>
          </cell>
          <cell r="S39">
            <v>26.04</v>
          </cell>
          <cell r="T39">
            <v>26.26</v>
          </cell>
          <cell r="U39">
            <v>33.090000000000003</v>
          </cell>
          <cell r="V39">
            <v>36.660000000000004</v>
          </cell>
          <cell r="W39">
            <v>39.36</v>
          </cell>
          <cell r="X39">
            <v>39.46</v>
          </cell>
          <cell r="Y39">
            <v>42.480000000000004</v>
          </cell>
          <cell r="Z39">
            <v>42.65</v>
          </cell>
          <cell r="AA39">
            <v>41.02</v>
          </cell>
          <cell r="AB39">
            <v>42.06</v>
          </cell>
          <cell r="AC39">
            <v>46.45</v>
          </cell>
          <cell r="AD39">
            <v>45.94</v>
          </cell>
          <cell r="AE39">
            <v>47.54</v>
          </cell>
          <cell r="AF39">
            <v>48.120000000000005</v>
          </cell>
          <cell r="AG39">
            <v>51.51</v>
          </cell>
          <cell r="AH39" t="e">
            <v>#N/A</v>
          </cell>
          <cell r="AI39" t="e">
            <v>#N/A</v>
          </cell>
          <cell r="AJ39" t="e">
            <v>#N/A</v>
          </cell>
          <cell r="AK39" t="e">
            <v>#N/A</v>
          </cell>
          <cell r="AQ39">
            <v>110.38000000000001</v>
          </cell>
          <cell r="AR39">
            <v>157.96000000000004</v>
          </cell>
          <cell r="AS39">
            <v>173.91</v>
          </cell>
          <cell r="AT39">
            <v>192.69</v>
          </cell>
          <cell r="AU39">
            <v>192.69</v>
          </cell>
        </row>
        <row r="40">
          <cell r="A40" t="str">
            <v>Street EPS</v>
          </cell>
          <cell r="C40">
            <v>1.1719999999999999</v>
          </cell>
          <cell r="D40">
            <v>178</v>
          </cell>
          <cell r="E40">
            <v>226</v>
          </cell>
          <cell r="F40">
            <v>300</v>
          </cell>
          <cell r="G40">
            <v>325</v>
          </cell>
          <cell r="H40">
            <v>282</v>
          </cell>
          <cell r="I40">
            <v>302</v>
          </cell>
          <cell r="J40">
            <v>335</v>
          </cell>
          <cell r="K40">
            <v>320</v>
          </cell>
          <cell r="L40">
            <v>287</v>
          </cell>
          <cell r="M40">
            <v>220</v>
          </cell>
          <cell r="N40">
            <v>210</v>
          </cell>
          <cell r="O40">
            <v>250</v>
          </cell>
          <cell r="P40">
            <v>-0.29250000000000004</v>
          </cell>
          <cell r="Q40">
            <v>-0.216</v>
          </cell>
          <cell r="R40">
            <v>-14</v>
          </cell>
          <cell r="S40">
            <v>-13</v>
          </cell>
          <cell r="T40">
            <v>-12</v>
          </cell>
          <cell r="U40">
            <v>-11</v>
          </cell>
          <cell r="V40">
            <v>-10</v>
          </cell>
          <cell r="W40">
            <v>-9</v>
          </cell>
          <cell r="X40">
            <v>-8</v>
          </cell>
          <cell r="Y40">
            <v>-7</v>
          </cell>
          <cell r="Z40">
            <v>-6</v>
          </cell>
          <cell r="AA40">
            <v>-5</v>
          </cell>
          <cell r="AB40">
            <v>-4</v>
          </cell>
          <cell r="AC40">
            <v>-3</v>
          </cell>
          <cell r="AD40">
            <v>-2</v>
          </cell>
          <cell r="AE40">
            <v>-1</v>
          </cell>
          <cell r="AF40">
            <v>0</v>
          </cell>
          <cell r="AG40">
            <v>1</v>
          </cell>
          <cell r="AH40">
            <v>2</v>
          </cell>
          <cell r="AI40">
            <v>3</v>
          </cell>
          <cell r="AJ40">
            <v>4</v>
          </cell>
          <cell r="AK40">
            <v>5</v>
          </cell>
          <cell r="AL40">
            <v>6</v>
          </cell>
          <cell r="AM40">
            <v>7</v>
          </cell>
          <cell r="AN40">
            <v>8</v>
          </cell>
          <cell r="AO40">
            <v>9</v>
          </cell>
          <cell r="AP40">
            <v>10</v>
          </cell>
          <cell r="AQ40">
            <v>11</v>
          </cell>
          <cell r="AR40">
            <v>12</v>
          </cell>
          <cell r="AS40">
            <v>13</v>
          </cell>
          <cell r="AT40">
            <v>0.34571429999999997</v>
          </cell>
          <cell r="AU40">
            <v>0.34571429999999997</v>
          </cell>
        </row>
      </sheetData>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vidual Data"/>
      <sheetName val="Mapped Cell Data"/>
      <sheetName val="Properties"/>
      <sheetName val="__FDSCACHE__"/>
      <sheetName val="MODEL"/>
      <sheetName val="Earnings Summary"/>
      <sheetName val="CHARTS"/>
      <sheetName val="SENSITIVITY"/>
      <sheetName val="Cipher"/>
      <sheetName val="SCUR-CGFW Combined"/>
      <sheetName val="SCUR-CGFW Combined Runrate"/>
      <sheetName val="SCUR Deal Metrics"/>
      <sheetName val="GUIDANCE_ESTIMATES"/>
      <sheetName val="Q&amp;A"/>
      <sheetName val="LINKS"/>
      <sheetName val="Pricing"/>
      <sheetName val="Bus. Model"/>
      <sheetName val="Rev Scratchpad"/>
      <sheetName val="Report Tables"/>
      <sheetName val="Upgrade opportunity"/>
      <sheetName val="Ownership"/>
      <sheetName val="RBC SCUR model"/>
    </sheetNames>
    <sheetDataSet>
      <sheetData sheetId="0"/>
      <sheetData sheetId="1"/>
      <sheetData sheetId="2"/>
      <sheetData sheetId="3"/>
      <sheetData sheetId="4" refreshError="1">
        <row r="10">
          <cell r="A10" t="str">
            <v>Advanced Technology</v>
          </cell>
          <cell r="B10">
            <v>1.663</v>
          </cell>
          <cell r="C10">
            <v>0.747</v>
          </cell>
          <cell r="D10">
            <v>1.1565000000000001</v>
          </cell>
          <cell r="E10">
            <v>1.0009999999999999</v>
          </cell>
          <cell r="F10">
            <v>0.99199999999999999</v>
          </cell>
          <cell r="G10">
            <v>1.2589999999999999</v>
          </cell>
          <cell r="H10">
            <v>1.1000000000000001</v>
          </cell>
          <cell r="I10">
            <v>1.1200000000000001</v>
          </cell>
          <cell r="J10">
            <v>1.0229999999999999</v>
          </cell>
          <cell r="K10">
            <v>1.121</v>
          </cell>
          <cell r="L10">
            <v>0.98299999999999998</v>
          </cell>
          <cell r="M10">
            <v>0.98699999999999999</v>
          </cell>
          <cell r="N10">
            <v>0.99099999999999999</v>
          </cell>
          <cell r="O10">
            <v>1.0329999999999999</v>
          </cell>
          <cell r="P10">
            <v>0.95899999999999996</v>
          </cell>
          <cell r="Q10">
            <v>0.89400000000000002</v>
          </cell>
          <cell r="R10">
            <v>0.83</v>
          </cell>
          <cell r="S10">
            <v>0.54700000000000004</v>
          </cell>
          <cell r="T10">
            <v>0.64100000000000001</v>
          </cell>
          <cell r="AP10">
            <v>4.5675000000000008</v>
          </cell>
          <cell r="AQ10">
            <v>4.4710000000000001</v>
          </cell>
          <cell r="AR10">
            <v>4.1139999999999999</v>
          </cell>
          <cell r="AS10">
            <v>3.8770000000000002</v>
          </cell>
          <cell r="AT10">
            <v>2.0179999999999998</v>
          </cell>
          <cell r="AX10">
            <v>0</v>
          </cell>
          <cell r="AY10">
            <v>0</v>
          </cell>
        </row>
        <row r="349">
          <cell r="A349" t="str">
            <v>Information Technology</v>
          </cell>
          <cell r="U349">
            <v>25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odel"/>
      <sheetName val="Newer version"/>
      <sheetName val="QPL (before FY2000Q4 report)"/>
      <sheetName val="QPL (raised ests-now bogus)"/>
      <sheetName val="QPL (pre_2000-01-12)"/>
      <sheetName val="QPL-prev"/>
      <sheetName val="QPL (pre-101399)"/>
      <sheetName val="Multiples"/>
    </sheetNames>
    <sheetDataSet>
      <sheetData sheetId="0" refreshError="1">
        <row r="3">
          <cell r="R3">
            <v>0.35</v>
          </cell>
        </row>
        <row r="5">
          <cell r="G5">
            <v>660</v>
          </cell>
        </row>
        <row r="6">
          <cell r="F6">
            <v>0.8346497494808639</v>
          </cell>
          <cell r="G6">
            <v>1.0967192730341033</v>
          </cell>
          <cell r="V6">
            <v>3.6960000000000002</v>
          </cell>
        </row>
        <row r="9">
          <cell r="A9" t="str">
            <v>Rational Software, Income Statement</v>
          </cell>
        </row>
        <row r="10">
          <cell r="J10" t="str">
            <v>Fiscal 1996</v>
          </cell>
          <cell r="AI10" t="str">
            <v>Fiscal 1997-E</v>
          </cell>
          <cell r="AW10" t="str">
            <v>Fiscal 1998-E</v>
          </cell>
          <cell r="BI10" t="str">
            <v>Fiscal 1999 - E</v>
          </cell>
          <cell r="BQ10" t="str">
            <v>Fiscal Years</v>
          </cell>
          <cell r="BX10" t="str">
            <v>Calendar Years</v>
          </cell>
        </row>
        <row r="11">
          <cell r="D11" t="str">
            <v>Q1 - Jun95</v>
          </cell>
          <cell r="J11" t="str">
            <v>Q2 - Sep95</v>
          </cell>
          <cell r="P11" t="str">
            <v>Q3 - Dec95</v>
          </cell>
          <cell r="V11" t="str">
            <v>Q4 - Mar96</v>
          </cell>
          <cell r="AC11" t="str">
            <v>Q1 - Jun96</v>
          </cell>
          <cell r="AI11" t="str">
            <v>Q2 - Sep96</v>
          </cell>
          <cell r="AO11" t="str">
            <v>Q3 - Dec96</v>
          </cell>
          <cell r="AS11" t="str">
            <v>Q4 - Mar97</v>
          </cell>
          <cell r="AW11" t="str">
            <v>Q1 - Jun97</v>
          </cell>
          <cell r="AZ11" t="str">
            <v>Q2 - Sep97</v>
          </cell>
          <cell r="BC11" t="str">
            <v>Q3 - Dec97</v>
          </cell>
          <cell r="BF11" t="str">
            <v>Q4 - Mar98E</v>
          </cell>
          <cell r="BI11" t="str">
            <v>Q1</v>
          </cell>
          <cell r="BJ11" t="str">
            <v>Q2</v>
          </cell>
          <cell r="BK11" t="str">
            <v>Q3</v>
          </cell>
          <cell r="BL11" t="str">
            <v>Q4</v>
          </cell>
          <cell r="BN11">
            <v>1996</v>
          </cell>
          <cell r="BP11">
            <v>1997</v>
          </cell>
          <cell r="BS11" t="str">
            <v>1998E</v>
          </cell>
          <cell r="BV11" t="str">
            <v>1999E</v>
          </cell>
          <cell r="BX11">
            <v>1996</v>
          </cell>
          <cell r="CA11" t="str">
            <v>1997E</v>
          </cell>
          <cell r="CD11">
            <v>1998</v>
          </cell>
        </row>
        <row r="12">
          <cell r="B12" t="str">
            <v>Mar95</v>
          </cell>
          <cell r="C12" t="str">
            <v>Mar95</v>
          </cell>
          <cell r="D12" t="str">
            <v>Jun95</v>
          </cell>
          <cell r="F12" t="str">
            <v>RATL</v>
          </cell>
          <cell r="H12" t="str">
            <v>Jun95</v>
          </cell>
          <cell r="I12" t="str">
            <v>Jun95</v>
          </cell>
          <cell r="J12" t="str">
            <v>Sep95</v>
          </cell>
          <cell r="L12" t="str">
            <v>RATL</v>
          </cell>
          <cell r="N12" t="str">
            <v>Sep95</v>
          </cell>
          <cell r="O12" t="str">
            <v>Sep95</v>
          </cell>
          <cell r="P12" t="str">
            <v>Dec95</v>
          </cell>
          <cell r="R12" t="str">
            <v>RATL</v>
          </cell>
          <cell r="T12" t="str">
            <v>Dec95</v>
          </cell>
          <cell r="U12" t="str">
            <v>Dec95</v>
          </cell>
          <cell r="V12" t="str">
            <v>Mar96</v>
          </cell>
          <cell r="X12" t="str">
            <v>RATL</v>
          </cell>
          <cell r="Z12" t="str">
            <v>Mar96</v>
          </cell>
          <cell r="AA12" t="str">
            <v>Mar96</v>
          </cell>
          <cell r="AB12" t="str">
            <v>Jun96</v>
          </cell>
          <cell r="AD12" t="str">
            <v>RATL</v>
          </cell>
          <cell r="AF12">
            <v>35217</v>
          </cell>
          <cell r="AG12" t="str">
            <v>Jun96</v>
          </cell>
          <cell r="AH12" t="str">
            <v>Sep96</v>
          </cell>
          <cell r="AJ12" t="str">
            <v>RATL</v>
          </cell>
          <cell r="AL12" t="str">
            <v>Sep96</v>
          </cell>
          <cell r="AM12" t="str">
            <v>Sep96</v>
          </cell>
          <cell r="AN12" t="str">
            <v>Dec96</v>
          </cell>
          <cell r="AP12" t="str">
            <v>RATL</v>
          </cell>
          <cell r="AR12" t="str">
            <v>Dec96</v>
          </cell>
          <cell r="AT12" t="str">
            <v>RATL</v>
          </cell>
          <cell r="AV12">
            <v>35582</v>
          </cell>
          <cell r="AX12" t="str">
            <v>RATL</v>
          </cell>
          <cell r="BA12" t="str">
            <v>RATL</v>
          </cell>
          <cell r="BD12" t="str">
            <v>RATL</v>
          </cell>
          <cell r="BG12" t="str">
            <v>RATL</v>
          </cell>
          <cell r="BQ12" t="str">
            <v>RATL</v>
          </cell>
          <cell r="BT12" t="str">
            <v>RATL</v>
          </cell>
          <cell r="BY12" t="str">
            <v>RATL</v>
          </cell>
          <cell r="CB12" t="str">
            <v>RATL</v>
          </cell>
        </row>
        <row r="13">
          <cell r="A13" t="str">
            <v>Revenues</v>
          </cell>
          <cell r="B13" t="str">
            <v>PASW</v>
          </cell>
          <cell r="C13" t="str">
            <v>SQA</v>
          </cell>
          <cell r="D13" t="str">
            <v>RATL</v>
          </cell>
          <cell r="E13" t="str">
            <v>SQA-RATL</v>
          </cell>
          <cell r="F13" t="str">
            <v>SQA-PASW</v>
          </cell>
          <cell r="H13" t="str">
            <v>PASW</v>
          </cell>
          <cell r="I13" t="str">
            <v>SQA</v>
          </cell>
          <cell r="J13" t="str">
            <v>RATL</v>
          </cell>
          <cell r="K13" t="str">
            <v>SQA-RATL</v>
          </cell>
          <cell r="L13" t="str">
            <v>SQA-PASW</v>
          </cell>
          <cell r="N13" t="str">
            <v>PASW</v>
          </cell>
          <cell r="O13" t="str">
            <v>SQA</v>
          </cell>
          <cell r="P13" t="str">
            <v>RATL</v>
          </cell>
          <cell r="Q13" t="str">
            <v>SQA-RATL</v>
          </cell>
          <cell r="R13" t="str">
            <v>SQA-PASW</v>
          </cell>
          <cell r="T13" t="str">
            <v>PASW</v>
          </cell>
          <cell r="U13" t="str">
            <v>SQA</v>
          </cell>
          <cell r="V13" t="str">
            <v>RATL</v>
          </cell>
          <cell r="W13" t="str">
            <v>SQA-RATL</v>
          </cell>
          <cell r="X13" t="str">
            <v>SQA-PASW</v>
          </cell>
          <cell r="Z13" t="str">
            <v>PASW</v>
          </cell>
          <cell r="AA13" t="str">
            <v>SQA</v>
          </cell>
          <cell r="AB13" t="str">
            <v>RATL</v>
          </cell>
          <cell r="AC13" t="str">
            <v>SQA-RATL</v>
          </cell>
          <cell r="AD13" t="str">
            <v>SQA-PASW</v>
          </cell>
          <cell r="AF13" t="str">
            <v>PASW</v>
          </cell>
          <cell r="AG13" t="str">
            <v>SQA</v>
          </cell>
          <cell r="AH13" t="str">
            <v>RATL</v>
          </cell>
          <cell r="AI13" t="str">
            <v>SQA-RATL</v>
          </cell>
          <cell r="AJ13" t="str">
            <v>SQA-PASW</v>
          </cell>
          <cell r="AL13" t="str">
            <v>PASW</v>
          </cell>
          <cell r="AM13" t="str">
            <v>SQA</v>
          </cell>
          <cell r="AN13" t="str">
            <v>RATL</v>
          </cell>
          <cell r="AO13" t="str">
            <v>SQA-RATL</v>
          </cell>
          <cell r="AP13" t="str">
            <v>SQA-PASW</v>
          </cell>
          <cell r="AR13" t="str">
            <v>PASW</v>
          </cell>
          <cell r="AS13" t="str">
            <v>SQA-RATL</v>
          </cell>
          <cell r="AT13" t="str">
            <v>SQA-PASW</v>
          </cell>
          <cell r="AV13" t="str">
            <v>PASW</v>
          </cell>
          <cell r="AW13" t="str">
            <v xml:space="preserve">SQA-RATL </v>
          </cell>
          <cell r="AX13" t="str">
            <v>SQA-PASW</v>
          </cell>
          <cell r="AZ13" t="str">
            <v>SQA-RATL</v>
          </cell>
          <cell r="BA13" t="str">
            <v>SQA-PASW</v>
          </cell>
          <cell r="BC13" t="str">
            <v>SQA-RATL</v>
          </cell>
          <cell r="BD13" t="str">
            <v>SQA-PASW</v>
          </cell>
          <cell r="BF13" t="str">
            <v>SQA-RATL</v>
          </cell>
          <cell r="BG13" t="str">
            <v>SQA-PASW</v>
          </cell>
          <cell r="BN13" t="str">
            <v>RATL</v>
          </cell>
          <cell r="BP13" t="str">
            <v>SQA-RATL</v>
          </cell>
          <cell r="BQ13" t="str">
            <v>SQA-PASW</v>
          </cell>
          <cell r="BS13" t="str">
            <v>SQA-RATL</v>
          </cell>
          <cell r="BT13" t="str">
            <v>SQA-PASW</v>
          </cell>
          <cell r="BX13" t="str">
            <v>SQA-RATL</v>
          </cell>
          <cell r="BY13" t="str">
            <v>SQA-PASW</v>
          </cell>
          <cell r="CA13" t="str">
            <v>SQA-RATL</v>
          </cell>
          <cell r="CB13" t="str">
            <v>SQA-PASW</v>
          </cell>
        </row>
        <row r="14">
          <cell r="A14" t="str">
            <v xml:space="preserve">  License</v>
          </cell>
          <cell r="B14">
            <v>12.07</v>
          </cell>
          <cell r="C14">
            <v>1.607</v>
          </cell>
          <cell r="D14">
            <v>11.5</v>
          </cell>
          <cell r="E14">
            <v>13.061</v>
          </cell>
          <cell r="F14">
            <v>25.131</v>
          </cell>
          <cell r="H14">
            <v>14.58</v>
          </cell>
          <cell r="I14">
            <v>2.0390000000000001</v>
          </cell>
          <cell r="J14">
            <v>13.83</v>
          </cell>
          <cell r="K14">
            <v>15.853999999999999</v>
          </cell>
          <cell r="L14">
            <v>30.433999999999997</v>
          </cell>
          <cell r="N14">
            <v>16.72</v>
          </cell>
          <cell r="O14">
            <v>2.3180000000000001</v>
          </cell>
          <cell r="P14">
            <v>14.9</v>
          </cell>
          <cell r="Q14">
            <v>17.222000000000001</v>
          </cell>
          <cell r="R14">
            <v>33.942</v>
          </cell>
          <cell r="T14">
            <v>18.75</v>
          </cell>
          <cell r="U14">
            <v>2.88</v>
          </cell>
          <cell r="V14">
            <v>15.725</v>
          </cell>
          <cell r="W14">
            <v>18.606000000000002</v>
          </cell>
          <cell r="X14">
            <v>37.356000000000002</v>
          </cell>
          <cell r="Z14">
            <v>20.16</v>
          </cell>
          <cell r="AA14">
            <v>3.0289999999999999</v>
          </cell>
          <cell r="AB14">
            <v>17.3</v>
          </cell>
          <cell r="AC14">
            <v>20.329000000000001</v>
          </cell>
          <cell r="AD14">
            <v>40.489000000000004</v>
          </cell>
          <cell r="AF14">
            <v>22.704000000000001</v>
          </cell>
          <cell r="AG14">
            <v>3.5009999999999999</v>
          </cell>
          <cell r="AH14">
            <v>17.870999999999999</v>
          </cell>
          <cell r="AI14">
            <v>21.372</v>
          </cell>
          <cell r="AJ14">
            <v>44.076000000000001</v>
          </cell>
          <cell r="AL14">
            <v>23.908999999999999</v>
          </cell>
          <cell r="AM14">
            <v>4.8070000000000004</v>
          </cell>
          <cell r="AN14">
            <v>20.826000000000001</v>
          </cell>
          <cell r="AO14">
            <v>25.633000000000003</v>
          </cell>
          <cell r="AP14">
            <v>49.542000000000002</v>
          </cell>
          <cell r="AR14">
            <v>26.66</v>
          </cell>
          <cell r="AS14">
            <v>24.361999999999998</v>
          </cell>
          <cell r="AT14">
            <v>51.021999999999998</v>
          </cell>
          <cell r="AV14">
            <v>14</v>
          </cell>
          <cell r="AW14">
            <v>27.704999999999998</v>
          </cell>
          <cell r="AX14">
            <v>38.354999999999997</v>
          </cell>
          <cell r="AZ14">
            <v>30</v>
          </cell>
          <cell r="BA14">
            <v>46.255000000000003</v>
          </cell>
          <cell r="BC14">
            <v>34</v>
          </cell>
          <cell r="BD14">
            <v>48.372999999999998</v>
          </cell>
          <cell r="BF14">
            <v>37</v>
          </cell>
          <cell r="BG14">
            <v>51</v>
          </cell>
          <cell r="BI14">
            <v>47</v>
          </cell>
          <cell r="BJ14">
            <v>55</v>
          </cell>
          <cell r="BK14">
            <v>62</v>
          </cell>
          <cell r="BL14">
            <v>69</v>
          </cell>
          <cell r="BN14">
            <v>55.954999999999998</v>
          </cell>
          <cell r="BP14">
            <v>91.695999999999998</v>
          </cell>
          <cell r="BQ14">
            <v>185.12899999999999</v>
          </cell>
          <cell r="BS14">
            <v>128.70499999999998</v>
          </cell>
          <cell r="BT14">
            <v>183.983</v>
          </cell>
          <cell r="BV14">
            <v>233</v>
          </cell>
          <cell r="BX14">
            <v>71.722000000000008</v>
          </cell>
          <cell r="BY14">
            <v>171.46299999999999</v>
          </cell>
          <cell r="CA14">
            <v>116.06699999999999</v>
          </cell>
          <cell r="CB14">
            <v>184.005</v>
          </cell>
          <cell r="CD14">
            <v>215</v>
          </cell>
        </row>
        <row r="15">
          <cell r="A15" t="str">
            <v xml:space="preserve">  Consult/support</v>
          </cell>
          <cell r="B15">
            <v>4.2</v>
          </cell>
          <cell r="C15">
            <v>0.70099999999999996</v>
          </cell>
          <cell r="D15">
            <v>8.3000000000000007</v>
          </cell>
          <cell r="E15">
            <v>9.0030000000000001</v>
          </cell>
          <cell r="F15">
            <v>13.202999999999999</v>
          </cell>
          <cell r="H15">
            <v>4.8899999999999997</v>
          </cell>
          <cell r="I15">
            <v>0.89800000000000002</v>
          </cell>
          <cell r="J15">
            <v>7.8</v>
          </cell>
          <cell r="K15">
            <v>8.7249999999999996</v>
          </cell>
          <cell r="L15">
            <v>13.614999999999998</v>
          </cell>
          <cell r="N15">
            <v>6.23</v>
          </cell>
          <cell r="O15">
            <v>1.123</v>
          </cell>
          <cell r="P15">
            <v>9.1</v>
          </cell>
          <cell r="Q15">
            <v>10.223000000000001</v>
          </cell>
          <cell r="R15">
            <v>16.453000000000003</v>
          </cell>
          <cell r="T15">
            <v>6.74</v>
          </cell>
          <cell r="U15">
            <v>1.2789999999999999</v>
          </cell>
          <cell r="V15">
            <v>9.9789999999999992</v>
          </cell>
          <cell r="W15">
            <v>11.257999999999999</v>
          </cell>
          <cell r="X15">
            <v>17.997999999999998</v>
          </cell>
          <cell r="Z15">
            <v>8.4700000000000006</v>
          </cell>
          <cell r="AA15">
            <v>1.512</v>
          </cell>
          <cell r="AB15">
            <v>10.161</v>
          </cell>
          <cell r="AC15">
            <v>11.673</v>
          </cell>
          <cell r="AD15">
            <v>20.143000000000001</v>
          </cell>
          <cell r="AF15">
            <v>9.2889999999999997</v>
          </cell>
          <cell r="AG15">
            <v>1.9079999999999999</v>
          </cell>
          <cell r="AH15">
            <v>10.744999999999999</v>
          </cell>
          <cell r="AI15">
            <v>12.652999999999999</v>
          </cell>
          <cell r="AJ15">
            <v>21.942</v>
          </cell>
          <cell r="AL15">
            <v>10.183</v>
          </cell>
          <cell r="AM15">
            <v>1.9950000000000001</v>
          </cell>
          <cell r="AN15">
            <v>11.429</v>
          </cell>
          <cell r="AO15">
            <v>13.423999999999999</v>
          </cell>
          <cell r="AP15">
            <v>23.606999999999999</v>
          </cell>
          <cell r="AR15">
            <v>11.12</v>
          </cell>
          <cell r="AS15">
            <v>15.927</v>
          </cell>
          <cell r="AT15">
            <v>27.046999999999997</v>
          </cell>
          <cell r="AV15">
            <v>8.5</v>
          </cell>
          <cell r="AW15">
            <v>15.223000000000001</v>
          </cell>
          <cell r="AX15">
            <v>27.792999999999999</v>
          </cell>
          <cell r="AZ15">
            <v>16</v>
          </cell>
          <cell r="BA15">
            <v>28.713000000000001</v>
          </cell>
          <cell r="BC15">
            <v>17</v>
          </cell>
          <cell r="BD15">
            <v>33.933</v>
          </cell>
          <cell r="BF15">
            <v>19</v>
          </cell>
          <cell r="BG15">
            <v>38</v>
          </cell>
          <cell r="BI15">
            <v>32</v>
          </cell>
          <cell r="BJ15">
            <v>35</v>
          </cell>
          <cell r="BK15">
            <v>39</v>
          </cell>
          <cell r="BL15">
            <v>41</v>
          </cell>
          <cell r="BN15">
            <v>35.179000000000002</v>
          </cell>
          <cell r="BP15">
            <v>53.677</v>
          </cell>
          <cell r="BQ15">
            <v>92.739000000000004</v>
          </cell>
          <cell r="BS15">
            <v>67.222999999999999</v>
          </cell>
          <cell r="BT15">
            <v>128.43899999999999</v>
          </cell>
          <cell r="BV15">
            <v>147</v>
          </cell>
          <cell r="BX15">
            <v>42.314</v>
          </cell>
          <cell r="BY15">
            <v>83.69</v>
          </cell>
          <cell r="CA15">
            <v>64.150000000000006</v>
          </cell>
          <cell r="CB15">
            <v>117.48599999999999</v>
          </cell>
          <cell r="CD15">
            <v>144</v>
          </cell>
        </row>
        <row r="16">
          <cell r="A16" t="str">
            <v>Total revenues</v>
          </cell>
          <cell r="B16">
            <v>16.27</v>
          </cell>
          <cell r="C16">
            <v>2.3079999999999998</v>
          </cell>
          <cell r="D16">
            <v>19.8</v>
          </cell>
          <cell r="E16">
            <v>22.064</v>
          </cell>
          <cell r="F16">
            <v>38.334000000000003</v>
          </cell>
          <cell r="H16">
            <v>19.47</v>
          </cell>
          <cell r="I16">
            <v>2.9370000000000003</v>
          </cell>
          <cell r="J16">
            <v>21.63</v>
          </cell>
          <cell r="K16">
            <v>24.579000000000001</v>
          </cell>
          <cell r="L16">
            <v>44.048999999999992</v>
          </cell>
          <cell r="N16">
            <v>22.95</v>
          </cell>
          <cell r="O16">
            <v>3.4409999999999998</v>
          </cell>
          <cell r="P16">
            <v>24</v>
          </cell>
          <cell r="Q16">
            <v>27.445</v>
          </cell>
          <cell r="R16">
            <v>50.395000000000003</v>
          </cell>
          <cell r="T16">
            <v>25.490000000000002</v>
          </cell>
          <cell r="U16">
            <v>4.1589999999999998</v>
          </cell>
          <cell r="V16">
            <v>25.704000000000001</v>
          </cell>
          <cell r="W16">
            <v>29.864000000000001</v>
          </cell>
          <cell r="X16">
            <v>55.353999999999999</v>
          </cell>
          <cell r="Z16">
            <v>28.630000000000003</v>
          </cell>
          <cell r="AA16">
            <v>4.5410000000000004</v>
          </cell>
          <cell r="AB16">
            <v>27.460999999999999</v>
          </cell>
          <cell r="AC16">
            <v>32.002000000000002</v>
          </cell>
          <cell r="AD16">
            <v>60.632000000000005</v>
          </cell>
          <cell r="AF16">
            <v>31.993000000000002</v>
          </cell>
          <cell r="AG16">
            <v>5.4089999999999998</v>
          </cell>
          <cell r="AH16">
            <v>28.616</v>
          </cell>
          <cell r="AI16">
            <v>34.024999999999999</v>
          </cell>
          <cell r="AJ16">
            <v>66.018000000000001</v>
          </cell>
          <cell r="AL16">
            <v>34.091999999999999</v>
          </cell>
          <cell r="AM16">
            <v>6.8020000000000005</v>
          </cell>
          <cell r="AN16">
            <v>32.255000000000003</v>
          </cell>
          <cell r="AO16">
            <v>39.057000000000002</v>
          </cell>
          <cell r="AP16">
            <v>73.149000000000001</v>
          </cell>
          <cell r="AR16">
            <v>37.78</v>
          </cell>
          <cell r="AS16">
            <v>40.289000000000001</v>
          </cell>
          <cell r="AT16">
            <v>78.068999999999988</v>
          </cell>
          <cell r="AV16">
            <v>22.5</v>
          </cell>
          <cell r="AW16">
            <v>42.927999999999997</v>
          </cell>
          <cell r="AX16">
            <v>66.147999999999996</v>
          </cell>
          <cell r="AZ16">
            <v>46</v>
          </cell>
          <cell r="BA16">
            <v>74.968000000000004</v>
          </cell>
          <cell r="BC16">
            <v>51</v>
          </cell>
          <cell r="BD16">
            <v>82.305999999999997</v>
          </cell>
          <cell r="BF16">
            <v>56</v>
          </cell>
          <cell r="BG16">
            <v>89</v>
          </cell>
          <cell r="BI16">
            <v>79</v>
          </cell>
          <cell r="BJ16">
            <v>90</v>
          </cell>
          <cell r="BK16">
            <v>101</v>
          </cell>
          <cell r="BL16">
            <v>110</v>
          </cell>
          <cell r="BN16">
            <v>91.134</v>
          </cell>
          <cell r="BP16">
            <v>145.37299999999999</v>
          </cell>
          <cell r="BQ16">
            <v>277.86799999999999</v>
          </cell>
          <cell r="BS16">
            <v>195.928</v>
          </cell>
          <cell r="BT16">
            <v>312.42200000000003</v>
          </cell>
          <cell r="BV16">
            <v>380</v>
          </cell>
          <cell r="BX16">
            <v>114.036</v>
          </cell>
          <cell r="BY16">
            <v>255.15299999999999</v>
          </cell>
          <cell r="CA16">
            <v>180.21699999999998</v>
          </cell>
          <cell r="CB16">
            <v>301.49099999999999</v>
          </cell>
          <cell r="CD16">
            <v>359</v>
          </cell>
        </row>
        <row r="17">
          <cell r="A17" t="str">
            <v>Costs and exp.</v>
          </cell>
          <cell r="BT17">
            <v>0.12435400981761124</v>
          </cell>
          <cell r="BV17">
            <v>0.21630358937590821</v>
          </cell>
          <cell r="CD17">
            <v>0.19074864589656082</v>
          </cell>
        </row>
        <row r="18">
          <cell r="A18" t="str">
            <v xml:space="preserve">  Cost of lic fees</v>
          </cell>
          <cell r="B18">
            <v>0.22</v>
          </cell>
          <cell r="C18">
            <v>8.7999999999999995E-2</v>
          </cell>
          <cell r="D18">
            <v>1.3</v>
          </cell>
          <cell r="E18">
            <v>1.3380000000000001</v>
          </cell>
          <cell r="F18">
            <v>1.5580000000000001</v>
          </cell>
          <cell r="H18">
            <v>0.56999999999999995</v>
          </cell>
          <cell r="I18">
            <v>0.13400000000000001</v>
          </cell>
          <cell r="J18">
            <v>1.86</v>
          </cell>
          <cell r="K18">
            <v>2.0129999999999999</v>
          </cell>
          <cell r="L18">
            <v>2.5829999999999997</v>
          </cell>
          <cell r="N18">
            <v>0.63</v>
          </cell>
          <cell r="O18">
            <v>0.14399999999999999</v>
          </cell>
          <cell r="P18">
            <v>1.7</v>
          </cell>
          <cell r="Q18">
            <v>1.88</v>
          </cell>
          <cell r="R18">
            <v>2.5099999999999998</v>
          </cell>
          <cell r="T18">
            <v>0.48</v>
          </cell>
          <cell r="U18">
            <v>0.26400000000000001</v>
          </cell>
          <cell r="V18">
            <v>2.1150000000000002</v>
          </cell>
          <cell r="W18">
            <v>2.379</v>
          </cell>
          <cell r="X18">
            <v>2.859</v>
          </cell>
          <cell r="Z18">
            <v>0.56000000000000005</v>
          </cell>
          <cell r="AA18">
            <v>0.11600000000000001</v>
          </cell>
          <cell r="AB18">
            <v>1.825</v>
          </cell>
          <cell r="AC18">
            <v>1.9410000000000001</v>
          </cell>
          <cell r="AD18">
            <v>2.5010000000000003</v>
          </cell>
          <cell r="AF18">
            <v>0.69899999999999995</v>
          </cell>
          <cell r="AG18">
            <v>0.19400000000000001</v>
          </cell>
          <cell r="AH18">
            <v>2.081</v>
          </cell>
          <cell r="AI18">
            <v>2.2749999999999999</v>
          </cell>
          <cell r="AJ18">
            <v>2.9739999999999998</v>
          </cell>
          <cell r="AL18">
            <v>0.503</v>
          </cell>
          <cell r="AM18">
            <v>0.29299999999999998</v>
          </cell>
          <cell r="AN18">
            <v>2.2989999999999999</v>
          </cell>
          <cell r="AO18">
            <v>2.5920000000000001</v>
          </cell>
          <cell r="AP18">
            <v>3.0950000000000002</v>
          </cell>
          <cell r="AR18">
            <v>0.88</v>
          </cell>
          <cell r="AS18">
            <v>2.1930000000000001</v>
          </cell>
          <cell r="AT18">
            <v>3.073</v>
          </cell>
          <cell r="AV18">
            <v>0.64</v>
          </cell>
          <cell r="AW18">
            <v>3.61</v>
          </cell>
          <cell r="AX18">
            <v>3.8730000000000002</v>
          </cell>
          <cell r="AZ18">
            <v>3.15</v>
          </cell>
          <cell r="BA18">
            <v>4.9020000000000001</v>
          </cell>
          <cell r="BC18">
            <v>3.468</v>
          </cell>
          <cell r="BD18">
            <v>5.1859999999999999</v>
          </cell>
          <cell r="BF18">
            <v>3.7</v>
          </cell>
          <cell r="BG18">
            <v>3.8249999999999997</v>
          </cell>
          <cell r="BI18">
            <v>3.4074999999999998</v>
          </cell>
          <cell r="BJ18">
            <v>3.9874999999999998</v>
          </cell>
          <cell r="BK18">
            <v>4.3400000000000007</v>
          </cell>
          <cell r="BL18">
            <v>4.6575000000000006</v>
          </cell>
          <cell r="BN18">
            <v>6.9750000000000005</v>
          </cell>
          <cell r="BP18">
            <v>9.0009999999999994</v>
          </cell>
          <cell r="BQ18">
            <v>11.643000000000001</v>
          </cell>
          <cell r="BS18">
            <v>13.928000000000001</v>
          </cell>
          <cell r="BT18">
            <v>17.786000000000001</v>
          </cell>
          <cell r="BV18">
            <v>16.392499999999998</v>
          </cell>
          <cell r="BX18">
            <v>8.32</v>
          </cell>
          <cell r="BY18">
            <v>11.429</v>
          </cell>
          <cell r="CA18">
            <v>12.420999999999999</v>
          </cell>
          <cell r="CB18">
            <v>17.033999999999999</v>
          </cell>
          <cell r="CD18">
            <v>15.559999999999999</v>
          </cell>
        </row>
        <row r="19">
          <cell r="A19" t="str">
            <v xml:space="preserve">   % of lic. fees</v>
          </cell>
          <cell r="B19">
            <v>1.8227009113504555E-2</v>
          </cell>
          <cell r="C19">
            <v>5.4760423148724327E-2</v>
          </cell>
          <cell r="D19">
            <v>0.11304347826086956</v>
          </cell>
          <cell r="E19">
            <v>0.10244238572850471</v>
          </cell>
          <cell r="F19">
            <v>6.199514543790538E-2</v>
          </cell>
          <cell r="H19">
            <v>3.9094650205761312E-2</v>
          </cell>
          <cell r="I19">
            <v>6.5718489455615495E-2</v>
          </cell>
          <cell r="J19">
            <v>0.13449023861171366</v>
          </cell>
          <cell r="K19">
            <v>0.12697111139144696</v>
          </cell>
          <cell r="L19">
            <v>8.487218242754814E-2</v>
          </cell>
          <cell r="N19">
            <v>3.7679425837320576E-2</v>
          </cell>
          <cell r="O19">
            <v>6.2122519413287308E-2</v>
          </cell>
          <cell r="P19">
            <v>0.11409395973154361</v>
          </cell>
          <cell r="Q19">
            <v>0.10916269887353383</v>
          </cell>
          <cell r="R19">
            <v>7.3949678863944365E-2</v>
          </cell>
          <cell r="T19">
            <v>2.5599999999999998E-2</v>
          </cell>
          <cell r="U19">
            <v>9.1666666666666674E-2</v>
          </cell>
          <cell r="V19">
            <v>0.1344992050874404</v>
          </cell>
          <cell r="W19">
            <v>0.12786198000644952</v>
          </cell>
          <cell r="X19">
            <v>7.6533890138130417E-2</v>
          </cell>
          <cell r="Z19">
            <v>2.777777777777778E-2</v>
          </cell>
          <cell r="AA19">
            <v>3.8296467481016838E-2</v>
          </cell>
          <cell r="AB19">
            <v>0.10549132947976878</v>
          </cell>
          <cell r="AC19">
            <v>9.5479364454719856E-2</v>
          </cell>
          <cell r="AD19">
            <v>6.1769863419694239E-2</v>
          </cell>
          <cell r="AF19">
            <v>3.0787526427061309E-2</v>
          </cell>
          <cell r="AG19">
            <v>5.5412739217366468E-2</v>
          </cell>
          <cell r="AH19">
            <v>0.11644563818476862</v>
          </cell>
          <cell r="AI19">
            <v>0.10644768856447688</v>
          </cell>
          <cell r="AJ19">
            <v>6.7474362464833459E-2</v>
          </cell>
          <cell r="AL19">
            <v>2.103810280647455E-2</v>
          </cell>
          <cell r="AM19">
            <v>6.0952777199916777E-2</v>
          </cell>
          <cell r="AN19">
            <v>0.11039085758186881</v>
          </cell>
          <cell r="AO19">
            <v>0.10111965045059103</v>
          </cell>
          <cell r="AP19">
            <v>6.2472245771264791E-2</v>
          </cell>
          <cell r="AR19">
            <v>3.3008252063015754E-2</v>
          </cell>
          <cell r="AS19">
            <v>9.0017239963878184E-2</v>
          </cell>
          <cell r="AT19">
            <v>6.0228920857669239E-2</v>
          </cell>
          <cell r="AV19">
            <v>4.5714285714285714E-2</v>
          </cell>
          <cell r="AW19">
            <v>0.13030138964085905</v>
          </cell>
          <cell r="AX19">
            <v>0.10097770825185766</v>
          </cell>
          <cell r="AZ19">
            <v>0.105</v>
          </cell>
          <cell r="BA19">
            <v>0.10597773213706627</v>
          </cell>
          <cell r="BC19">
            <v>0.10199999999999999</v>
          </cell>
          <cell r="BD19">
            <v>0.10720856676245014</v>
          </cell>
          <cell r="BF19">
            <v>0.1</v>
          </cell>
          <cell r="BG19">
            <v>7.4999999999999997E-2</v>
          </cell>
          <cell r="BI19">
            <v>7.2499999999999995E-2</v>
          </cell>
          <cell r="BJ19">
            <v>7.2499999999999995E-2</v>
          </cell>
          <cell r="BK19">
            <v>7.0000000000000007E-2</v>
          </cell>
          <cell r="BL19">
            <v>6.7500000000000004E-2</v>
          </cell>
          <cell r="BN19">
            <v>0.12465373961218838</v>
          </cell>
          <cell r="BP19">
            <v>9.816131565171872E-2</v>
          </cell>
          <cell r="BQ19">
            <v>6.2891281214720554E-2</v>
          </cell>
          <cell r="BS19">
            <v>0.10821646400683736</v>
          </cell>
          <cell r="BT19">
            <v>9.6671975128136842E-2</v>
          </cell>
          <cell r="BV19">
            <v>7.0354077253218877E-2</v>
          </cell>
          <cell r="BX19">
            <v>0.11600345779537659</v>
          </cell>
          <cell r="BY19">
            <v>6.6655779964190531E-2</v>
          </cell>
          <cell r="CA19">
            <v>0.10701577537112185</v>
          </cell>
          <cell r="CB19">
            <v>9.2573571370343194E-2</v>
          </cell>
          <cell r="CD19">
            <v>7.2372093023255812E-2</v>
          </cell>
        </row>
        <row r="21">
          <cell r="A21" t="str">
            <v xml:space="preserve">  Cost of cons/sup</v>
          </cell>
          <cell r="B21">
            <v>1.17</v>
          </cell>
          <cell r="C21">
            <v>0.33700000000000002</v>
          </cell>
          <cell r="D21">
            <v>4.8</v>
          </cell>
          <cell r="E21">
            <v>5.0999999999999996</v>
          </cell>
          <cell r="F21">
            <v>6.27</v>
          </cell>
          <cell r="H21">
            <v>1.32</v>
          </cell>
          <cell r="I21">
            <v>0.32600000000000001</v>
          </cell>
          <cell r="J21">
            <v>4.2</v>
          </cell>
          <cell r="K21">
            <v>4.4909999999999997</v>
          </cell>
          <cell r="L21">
            <v>5.8109999999999999</v>
          </cell>
          <cell r="N21">
            <v>1.56</v>
          </cell>
          <cell r="O21">
            <v>0.41599999999999998</v>
          </cell>
          <cell r="P21">
            <v>4.9000000000000004</v>
          </cell>
          <cell r="Q21">
            <v>5.2750000000000004</v>
          </cell>
          <cell r="R21">
            <v>6.8350000000000009</v>
          </cell>
          <cell r="T21">
            <v>1.91</v>
          </cell>
          <cell r="U21">
            <v>0.40799999999999997</v>
          </cell>
          <cell r="V21">
            <v>5.548</v>
          </cell>
          <cell r="W21">
            <v>5.9560000000000004</v>
          </cell>
          <cell r="X21">
            <v>7.8660000000000005</v>
          </cell>
          <cell r="Z21">
            <v>2.25</v>
          </cell>
          <cell r="AA21">
            <v>0.50800000000000001</v>
          </cell>
          <cell r="AB21">
            <v>5.4989999999999997</v>
          </cell>
          <cell r="AC21">
            <v>6.0069999999999997</v>
          </cell>
          <cell r="AD21">
            <v>8.2569999999999997</v>
          </cell>
          <cell r="AF21">
            <v>2.496</v>
          </cell>
          <cell r="AG21">
            <v>0.56299999999999994</v>
          </cell>
          <cell r="AH21">
            <v>5.4329999999999998</v>
          </cell>
          <cell r="AI21">
            <v>5.9959999999999996</v>
          </cell>
          <cell r="AJ21">
            <v>8.4919999999999991</v>
          </cell>
          <cell r="AL21">
            <v>3.2090000000000001</v>
          </cell>
          <cell r="AM21">
            <v>0.63200000000000001</v>
          </cell>
          <cell r="AN21">
            <v>6.1059999999999999</v>
          </cell>
          <cell r="AO21">
            <v>6.7379999999999995</v>
          </cell>
          <cell r="AP21">
            <v>9.9469999999999992</v>
          </cell>
          <cell r="AR21">
            <v>3.7810000000000001</v>
          </cell>
          <cell r="AS21">
            <v>7.8250000000000002</v>
          </cell>
          <cell r="AT21">
            <v>11.606</v>
          </cell>
          <cell r="AV21">
            <v>2.88</v>
          </cell>
          <cell r="AW21">
            <v>7.0720000000000001</v>
          </cell>
          <cell r="AX21">
            <v>11.41</v>
          </cell>
          <cell r="AZ21">
            <v>8.08</v>
          </cell>
          <cell r="BA21">
            <v>9.0139999999999993</v>
          </cell>
          <cell r="BC21">
            <v>8.5510000000000002</v>
          </cell>
          <cell r="BD21">
            <v>11.507999999999999</v>
          </cell>
          <cell r="BF21">
            <v>9.5</v>
          </cell>
          <cell r="BG21">
            <v>12.16</v>
          </cell>
          <cell r="BI21">
            <v>13.76</v>
          </cell>
          <cell r="BJ21">
            <v>15.049999999999999</v>
          </cell>
          <cell r="BK21">
            <v>16.38</v>
          </cell>
          <cell r="BL21">
            <v>16.809999999999999</v>
          </cell>
          <cell r="BN21">
            <v>19.448</v>
          </cell>
          <cell r="BP21">
            <v>26.565999999999999</v>
          </cell>
          <cell r="BQ21">
            <v>38.302</v>
          </cell>
          <cell r="BS21">
            <v>33.203000000000003</v>
          </cell>
          <cell r="BT21">
            <v>44.091999999999999</v>
          </cell>
          <cell r="BV21">
            <v>62</v>
          </cell>
          <cell r="BX21">
            <v>22.585999999999999</v>
          </cell>
          <cell r="BY21">
            <v>34.561999999999998</v>
          </cell>
          <cell r="CA21">
            <v>31.527999999999999</v>
          </cell>
          <cell r="CB21">
            <v>43.537999999999997</v>
          </cell>
          <cell r="CD21">
            <v>57.349999999999994</v>
          </cell>
        </row>
        <row r="22">
          <cell r="A22" t="str">
            <v xml:space="preserve">   % of cons/supp</v>
          </cell>
          <cell r="B22">
            <v>0.27857142857142853</v>
          </cell>
          <cell r="C22">
            <v>0.48074179743223971</v>
          </cell>
          <cell r="D22">
            <v>0.57831325301204817</v>
          </cell>
          <cell r="E22">
            <v>0.56647784071976004</v>
          </cell>
          <cell r="F22">
            <v>0.4748920699840945</v>
          </cell>
          <cell r="H22">
            <v>0.26993865030674852</v>
          </cell>
          <cell r="I22">
            <v>0.36302895322939865</v>
          </cell>
          <cell r="J22">
            <v>0.53846153846153855</v>
          </cell>
          <cell r="K22">
            <v>0.51472779369627508</v>
          </cell>
          <cell r="L22">
            <v>0.42680866691149472</v>
          </cell>
          <cell r="N22">
            <v>0.25040128410914925</v>
          </cell>
          <cell r="O22">
            <v>0.37043633125556541</v>
          </cell>
          <cell r="P22">
            <v>0.53846153846153855</v>
          </cell>
          <cell r="Q22">
            <v>0.51599334833219213</v>
          </cell>
          <cell r="R22">
            <v>0.4154257582203853</v>
          </cell>
          <cell r="T22">
            <v>0.28338278931750738</v>
          </cell>
          <cell r="U22">
            <v>0.3189992181391712</v>
          </cell>
          <cell r="V22">
            <v>0.55596753181681535</v>
          </cell>
          <cell r="W22">
            <v>0.52904601172499566</v>
          </cell>
          <cell r="X22">
            <v>0.43704856095121691</v>
          </cell>
          <cell r="Z22">
            <v>0.26564344746162927</v>
          </cell>
          <cell r="AA22">
            <v>0.33597883597883599</v>
          </cell>
          <cell r="AB22">
            <v>0.54118689105403006</v>
          </cell>
          <cell r="AC22">
            <v>0.52702114698459668</v>
          </cell>
          <cell r="AD22">
            <v>0.40991907858809506</v>
          </cell>
          <cell r="AF22">
            <v>0.26870491979761008</v>
          </cell>
          <cell r="AG22">
            <v>0.29507337526205452</v>
          </cell>
          <cell r="AH22">
            <v>0.50563052582596557</v>
          </cell>
          <cell r="AI22">
            <v>0.47387971232118864</v>
          </cell>
          <cell r="AJ22">
            <v>0.38702032631482997</v>
          </cell>
          <cell r="AL22">
            <v>0.31513306491210841</v>
          </cell>
          <cell r="AM22">
            <v>0.31679197994987468</v>
          </cell>
          <cell r="AN22">
            <v>0.53425496543879603</v>
          </cell>
          <cell r="AO22">
            <v>0.50193682955899876</v>
          </cell>
          <cell r="AP22">
            <v>0.42135807175837675</v>
          </cell>
          <cell r="AR22">
            <v>0.34001798561151081</v>
          </cell>
          <cell r="AS22">
            <v>0.49130407484146421</v>
          </cell>
          <cell r="AT22">
            <v>0.42910489148519249</v>
          </cell>
          <cell r="AV22">
            <v>0.33882352941176469</v>
          </cell>
          <cell r="AW22">
            <v>0.46456020495303157</v>
          </cell>
          <cell r="AX22">
            <v>0.41053502680531073</v>
          </cell>
          <cell r="AZ22">
            <v>0.505</v>
          </cell>
          <cell r="BA22">
            <v>0.31393445477658199</v>
          </cell>
          <cell r="BC22">
            <v>0.503</v>
          </cell>
          <cell r="BD22">
            <v>0.33913889134470865</v>
          </cell>
          <cell r="BF22">
            <v>0.5</v>
          </cell>
          <cell r="BG22">
            <v>0.32</v>
          </cell>
          <cell r="BI22">
            <v>0.43</v>
          </cell>
          <cell r="BJ22">
            <v>0.43</v>
          </cell>
          <cell r="BK22">
            <v>0.42</v>
          </cell>
          <cell r="BL22">
            <v>0.41</v>
          </cell>
          <cell r="BN22">
            <v>0.5528298132408539</v>
          </cell>
          <cell r="BP22">
            <v>0.49492333774242225</v>
          </cell>
          <cell r="BQ22">
            <v>0.41300855087934957</v>
          </cell>
          <cell r="BS22">
            <v>0.49392321080582546</v>
          </cell>
          <cell r="BT22">
            <v>0.34329136788670112</v>
          </cell>
          <cell r="BV22">
            <v>0.42176870748299322</v>
          </cell>
          <cell r="BX22">
            <v>0.5337713286382757</v>
          </cell>
          <cell r="BY22">
            <v>0.41297646074799854</v>
          </cell>
          <cell r="CA22">
            <v>0.49147310989867493</v>
          </cell>
          <cell r="CB22">
            <v>0.37058032446419148</v>
          </cell>
          <cell r="CD22">
            <v>0.39826388888888886</v>
          </cell>
        </row>
        <row r="23">
          <cell r="A23" t="str">
            <v>Total Cost of Rev</v>
          </cell>
          <cell r="B23">
            <v>1.39</v>
          </cell>
          <cell r="C23">
            <v>0.42500000000000004</v>
          </cell>
          <cell r="D23">
            <v>6.1</v>
          </cell>
          <cell r="E23">
            <v>6.4379999999999997</v>
          </cell>
          <cell r="F23">
            <v>7.8279999999999994</v>
          </cell>
          <cell r="H23">
            <v>1.8900000000000001</v>
          </cell>
          <cell r="I23">
            <v>0.46</v>
          </cell>
          <cell r="J23">
            <v>6.0600000000000005</v>
          </cell>
          <cell r="K23">
            <v>6.5039999999999996</v>
          </cell>
          <cell r="L23">
            <v>8.3940000000000001</v>
          </cell>
          <cell r="N23">
            <v>2.19</v>
          </cell>
          <cell r="O23">
            <v>0.55999999999999994</v>
          </cell>
          <cell r="P23">
            <v>6.6000000000000005</v>
          </cell>
          <cell r="Q23">
            <v>7.1550000000000002</v>
          </cell>
          <cell r="R23">
            <v>9.3450000000000006</v>
          </cell>
          <cell r="T23">
            <v>2.3899999999999997</v>
          </cell>
          <cell r="U23">
            <v>0.67199999999999993</v>
          </cell>
          <cell r="V23">
            <v>7.6630000000000003</v>
          </cell>
          <cell r="W23">
            <v>8.3350000000000009</v>
          </cell>
          <cell r="X23">
            <v>10.725000000000001</v>
          </cell>
          <cell r="Z23">
            <v>2.81</v>
          </cell>
          <cell r="AA23">
            <v>0.624</v>
          </cell>
          <cell r="AB23">
            <v>7.3239999999999998</v>
          </cell>
          <cell r="AC23">
            <v>7.9479999999999995</v>
          </cell>
          <cell r="AD23">
            <v>10.757999999999999</v>
          </cell>
          <cell r="AF23">
            <v>3.1949999999999998</v>
          </cell>
          <cell r="AG23">
            <v>0.7569999999999999</v>
          </cell>
          <cell r="AH23">
            <v>7.5139999999999993</v>
          </cell>
          <cell r="AI23">
            <v>8.270999999999999</v>
          </cell>
          <cell r="AJ23">
            <v>11.465999999999999</v>
          </cell>
          <cell r="AL23">
            <v>3.7120000000000002</v>
          </cell>
          <cell r="AM23">
            <v>0.92500000000000004</v>
          </cell>
          <cell r="AN23">
            <v>8.4049999999999994</v>
          </cell>
          <cell r="AO23">
            <v>9.33</v>
          </cell>
          <cell r="AP23">
            <v>13.042</v>
          </cell>
          <cell r="AR23">
            <v>4.6610000000000005</v>
          </cell>
          <cell r="AS23">
            <v>10.018000000000001</v>
          </cell>
          <cell r="AT23">
            <v>14.679</v>
          </cell>
          <cell r="AV23">
            <v>3.52</v>
          </cell>
          <cell r="AW23">
            <v>10.682</v>
          </cell>
          <cell r="AX23">
            <v>15.283000000000001</v>
          </cell>
          <cell r="AZ23">
            <v>11.23</v>
          </cell>
          <cell r="BA23">
            <v>13.916</v>
          </cell>
          <cell r="BC23">
            <v>12.019</v>
          </cell>
          <cell r="BD23">
            <v>16.693999999999999</v>
          </cell>
          <cell r="BF23">
            <v>13.2</v>
          </cell>
          <cell r="BG23">
            <v>15.984999999999999</v>
          </cell>
          <cell r="BI23">
            <v>17.1675</v>
          </cell>
          <cell r="BJ23">
            <v>19.037499999999998</v>
          </cell>
          <cell r="BK23">
            <v>20.72</v>
          </cell>
          <cell r="BL23">
            <v>21.467500000000001</v>
          </cell>
          <cell r="BN23">
            <v>26.423000000000002</v>
          </cell>
          <cell r="BP23">
            <v>35.567</v>
          </cell>
          <cell r="BQ23">
            <v>49.945</v>
          </cell>
          <cell r="BS23">
            <v>47.131</v>
          </cell>
          <cell r="BT23">
            <v>61.878</v>
          </cell>
          <cell r="BV23">
            <v>78.392499999999998</v>
          </cell>
          <cell r="BX23">
            <v>30.905999999999999</v>
          </cell>
          <cell r="BY23">
            <v>45.991</v>
          </cell>
          <cell r="CA23">
            <v>43.948999999999998</v>
          </cell>
          <cell r="CB23">
            <v>60.571999999999996</v>
          </cell>
          <cell r="CD23">
            <v>72.91</v>
          </cell>
        </row>
        <row r="25">
          <cell r="A25" t="str">
            <v>Gross Profit</v>
          </cell>
          <cell r="B25">
            <v>14.879999999999999</v>
          </cell>
          <cell r="C25">
            <v>1.8829999999999998</v>
          </cell>
          <cell r="D25">
            <v>13.700000000000001</v>
          </cell>
          <cell r="E25">
            <v>15.626000000000001</v>
          </cell>
          <cell r="F25">
            <v>30.506000000000004</v>
          </cell>
          <cell r="H25">
            <v>17.579999999999998</v>
          </cell>
          <cell r="I25">
            <v>2.4770000000000003</v>
          </cell>
          <cell r="J25">
            <v>15.569999999999999</v>
          </cell>
          <cell r="K25">
            <v>18.075000000000003</v>
          </cell>
          <cell r="L25">
            <v>35.654999999999994</v>
          </cell>
          <cell r="N25">
            <v>20.759999999999998</v>
          </cell>
          <cell r="O25">
            <v>2.8809999999999998</v>
          </cell>
          <cell r="P25">
            <v>17.399999999999999</v>
          </cell>
          <cell r="Q25">
            <v>20.29</v>
          </cell>
          <cell r="R25">
            <v>41.050000000000004</v>
          </cell>
          <cell r="T25">
            <v>23.1</v>
          </cell>
          <cell r="U25">
            <v>3.4870000000000001</v>
          </cell>
          <cell r="V25">
            <v>18.041</v>
          </cell>
          <cell r="W25">
            <v>21.529</v>
          </cell>
          <cell r="X25">
            <v>44.628999999999998</v>
          </cell>
          <cell r="Z25">
            <v>25.820000000000004</v>
          </cell>
          <cell r="AA25">
            <v>3.9170000000000003</v>
          </cell>
          <cell r="AB25">
            <v>20.137</v>
          </cell>
          <cell r="AC25">
            <v>24.054000000000002</v>
          </cell>
          <cell r="AD25">
            <v>49.874000000000009</v>
          </cell>
          <cell r="AF25">
            <v>28.798000000000002</v>
          </cell>
          <cell r="AG25">
            <v>4.6520000000000001</v>
          </cell>
          <cell r="AH25">
            <v>21.102</v>
          </cell>
          <cell r="AI25">
            <v>25.753999999999998</v>
          </cell>
          <cell r="AJ25">
            <v>54.552</v>
          </cell>
          <cell r="AL25">
            <v>30.38</v>
          </cell>
          <cell r="AM25">
            <v>5.8770000000000007</v>
          </cell>
          <cell r="AN25">
            <v>23.85</v>
          </cell>
          <cell r="AO25">
            <v>29.727000000000004</v>
          </cell>
          <cell r="AP25">
            <v>60.106999999999999</v>
          </cell>
          <cell r="AR25">
            <v>33.119</v>
          </cell>
          <cell r="AS25">
            <v>30.271000000000001</v>
          </cell>
          <cell r="AT25">
            <v>63.389999999999986</v>
          </cell>
          <cell r="AV25">
            <v>18.98</v>
          </cell>
          <cell r="AW25">
            <v>32.245999999999995</v>
          </cell>
          <cell r="AX25">
            <v>50.864999999999995</v>
          </cell>
          <cell r="AZ25">
            <v>34.769999999999996</v>
          </cell>
          <cell r="BA25">
            <v>61.052000000000007</v>
          </cell>
          <cell r="BC25">
            <v>38.981000000000002</v>
          </cell>
          <cell r="BD25">
            <v>65.611999999999995</v>
          </cell>
          <cell r="BF25">
            <v>42.8</v>
          </cell>
          <cell r="BG25">
            <v>73.015000000000001</v>
          </cell>
          <cell r="BI25">
            <v>61.832499999999996</v>
          </cell>
          <cell r="BJ25">
            <v>70.962500000000006</v>
          </cell>
          <cell r="BK25">
            <v>80.28</v>
          </cell>
          <cell r="BL25">
            <v>88.532499999999999</v>
          </cell>
          <cell r="BN25">
            <v>64.710999999999999</v>
          </cell>
          <cell r="BP25">
            <v>109.80599999999998</v>
          </cell>
          <cell r="BQ25">
            <v>227.923</v>
          </cell>
          <cell r="BS25">
            <v>148.797</v>
          </cell>
          <cell r="BT25">
            <v>250.54400000000004</v>
          </cell>
          <cell r="BV25">
            <v>301.60750000000002</v>
          </cell>
          <cell r="BX25">
            <v>83.13</v>
          </cell>
          <cell r="BY25">
            <v>209.16199999999998</v>
          </cell>
          <cell r="CA25">
            <v>136.26799999999997</v>
          </cell>
          <cell r="CB25">
            <v>240.91899999999998</v>
          </cell>
          <cell r="CD25">
            <v>286.09000000000003</v>
          </cell>
        </row>
        <row r="26">
          <cell r="A26" t="str">
            <v>Operating expenses</v>
          </cell>
        </row>
        <row r="27">
          <cell r="A27" t="str">
            <v xml:space="preserve">  Sales &amp; mkting</v>
          </cell>
          <cell r="B27">
            <v>7.58</v>
          </cell>
          <cell r="C27">
            <v>1.335</v>
          </cell>
          <cell r="D27">
            <v>7.7</v>
          </cell>
          <cell r="E27">
            <v>8.7289999999999992</v>
          </cell>
          <cell r="F27">
            <v>16.308999999999997</v>
          </cell>
          <cell r="H27">
            <v>9.18</v>
          </cell>
          <cell r="I27">
            <v>1.4059999999999999</v>
          </cell>
          <cell r="J27">
            <v>8.4</v>
          </cell>
          <cell r="K27">
            <v>10.093999999999999</v>
          </cell>
          <cell r="L27">
            <v>19.274000000000001</v>
          </cell>
          <cell r="N27">
            <v>10.37</v>
          </cell>
          <cell r="O27">
            <v>1.5309999999999999</v>
          </cell>
          <cell r="P27">
            <v>8.1</v>
          </cell>
          <cell r="Q27">
            <v>9.7080000000000002</v>
          </cell>
          <cell r="R27">
            <v>20.077999999999999</v>
          </cell>
          <cell r="T27">
            <v>11.93</v>
          </cell>
          <cell r="U27">
            <v>1.7290000000000001</v>
          </cell>
          <cell r="V27">
            <v>8.0109999999999992</v>
          </cell>
          <cell r="W27">
            <v>9.74</v>
          </cell>
          <cell r="X27">
            <v>21.67</v>
          </cell>
          <cell r="Z27">
            <v>13.23</v>
          </cell>
          <cell r="AA27">
            <v>2.0499999999999998</v>
          </cell>
          <cell r="AB27">
            <v>8.93</v>
          </cell>
          <cell r="AC27">
            <v>10.98</v>
          </cell>
          <cell r="AD27">
            <v>24.21</v>
          </cell>
          <cell r="AF27">
            <v>14.416</v>
          </cell>
          <cell r="AG27">
            <v>2.375</v>
          </cell>
          <cell r="AH27">
            <v>9.0050000000000008</v>
          </cell>
          <cell r="AI27">
            <v>11.38</v>
          </cell>
          <cell r="AJ27">
            <v>25.795999999999999</v>
          </cell>
          <cell r="AL27">
            <v>14.952</v>
          </cell>
          <cell r="AM27">
            <v>2.8090000000000002</v>
          </cell>
          <cell r="AN27">
            <v>10.089</v>
          </cell>
          <cell r="AO27">
            <v>12.898</v>
          </cell>
          <cell r="AP27">
            <v>27.85</v>
          </cell>
          <cell r="AR27">
            <v>15.162000000000001</v>
          </cell>
          <cell r="AS27">
            <v>13.401</v>
          </cell>
          <cell r="AT27">
            <v>28.563000000000002</v>
          </cell>
          <cell r="AV27">
            <v>11</v>
          </cell>
          <cell r="AW27">
            <v>14.481</v>
          </cell>
          <cell r="AX27">
            <v>28.538</v>
          </cell>
          <cell r="AZ27">
            <v>14.812000000000001</v>
          </cell>
          <cell r="BA27">
            <v>40.987000000000002</v>
          </cell>
          <cell r="BC27">
            <v>16.340399999999999</v>
          </cell>
          <cell r="BD27">
            <v>34.128999999999998</v>
          </cell>
          <cell r="BF27">
            <v>18</v>
          </cell>
          <cell r="BG27">
            <v>37</v>
          </cell>
          <cell r="BI27">
            <v>31.2</v>
          </cell>
          <cell r="BJ27">
            <v>35</v>
          </cell>
          <cell r="BK27">
            <v>38.200000000000003</v>
          </cell>
          <cell r="BL27">
            <v>39.6</v>
          </cell>
          <cell r="BN27">
            <v>32.210999999999999</v>
          </cell>
          <cell r="BP27">
            <v>48.658999999999992</v>
          </cell>
          <cell r="BQ27">
            <v>106.419</v>
          </cell>
          <cell r="BS27">
            <v>63.633399999999995</v>
          </cell>
          <cell r="BT27">
            <v>140.654</v>
          </cell>
          <cell r="BV27">
            <v>144</v>
          </cell>
          <cell r="BX27">
            <v>36.034999999999997</v>
          </cell>
          <cell r="BY27">
            <v>99.52600000000001</v>
          </cell>
          <cell r="CA27">
            <v>59.034400000000005</v>
          </cell>
          <cell r="CB27">
            <v>132.21699999999998</v>
          </cell>
          <cell r="CD27">
            <v>141.4</v>
          </cell>
        </row>
        <row r="28">
          <cell r="A28" t="str">
            <v xml:space="preserve">  R &amp; D</v>
          </cell>
          <cell r="B28">
            <v>3.17</v>
          </cell>
          <cell r="C28">
            <v>0.60499999999999998</v>
          </cell>
          <cell r="D28">
            <v>3.2</v>
          </cell>
          <cell r="E28">
            <v>4.0469999999999997</v>
          </cell>
          <cell r="F28">
            <v>7.2169999999999996</v>
          </cell>
          <cell r="H28">
            <v>3.57</v>
          </cell>
          <cell r="I28">
            <v>0.57199999999999995</v>
          </cell>
          <cell r="J28">
            <v>3.3</v>
          </cell>
          <cell r="K28">
            <v>3.5859999999999999</v>
          </cell>
          <cell r="L28">
            <v>7.1559999999999997</v>
          </cell>
          <cell r="N28">
            <v>4.09</v>
          </cell>
          <cell r="O28">
            <v>0.56499999999999995</v>
          </cell>
          <cell r="P28">
            <v>4</v>
          </cell>
          <cell r="Q28">
            <v>4.6390000000000002</v>
          </cell>
          <cell r="R28">
            <v>8.7289999999999992</v>
          </cell>
          <cell r="T28">
            <v>4.6399999999999997</v>
          </cell>
          <cell r="U28">
            <v>0.624</v>
          </cell>
          <cell r="V28">
            <v>4.109</v>
          </cell>
          <cell r="W28">
            <v>4.7329999999999997</v>
          </cell>
          <cell r="X28">
            <v>9.3729999999999993</v>
          </cell>
          <cell r="Z28">
            <v>5.19</v>
          </cell>
          <cell r="AA28">
            <v>0.78400000000000003</v>
          </cell>
          <cell r="AB28">
            <v>4.4950000000000001</v>
          </cell>
          <cell r="AC28">
            <v>5.2789999999999999</v>
          </cell>
          <cell r="AD28">
            <v>10.469000000000001</v>
          </cell>
          <cell r="AF28">
            <v>5.6449999999999996</v>
          </cell>
          <cell r="AG28">
            <v>0.95299999999999996</v>
          </cell>
          <cell r="AH28">
            <v>4.46</v>
          </cell>
          <cell r="AI28">
            <v>5.4130000000000003</v>
          </cell>
          <cell r="AJ28">
            <v>11.058</v>
          </cell>
          <cell r="AL28">
            <v>5.6980000000000004</v>
          </cell>
          <cell r="AM28">
            <v>1.2190000000000001</v>
          </cell>
          <cell r="AN28">
            <v>4.7880000000000003</v>
          </cell>
          <cell r="AO28">
            <v>6.0070000000000006</v>
          </cell>
          <cell r="AP28">
            <v>11.705000000000002</v>
          </cell>
          <cell r="AR28">
            <v>6.266</v>
          </cell>
          <cell r="AS28">
            <v>6.2590000000000003</v>
          </cell>
          <cell r="AT28">
            <v>12.525</v>
          </cell>
          <cell r="AV28">
            <v>5.5</v>
          </cell>
          <cell r="AW28">
            <v>6.7039999999999997</v>
          </cell>
          <cell r="AX28">
            <v>13.489000000000001</v>
          </cell>
          <cell r="AZ28">
            <v>6.9966000000000008</v>
          </cell>
          <cell r="BA28">
            <v>17.489999999999998</v>
          </cell>
          <cell r="BC28">
            <v>7.6703999999999999</v>
          </cell>
          <cell r="BD28">
            <v>14.869</v>
          </cell>
          <cell r="BF28">
            <v>8.4223999999999997</v>
          </cell>
          <cell r="BG28">
            <v>17</v>
          </cell>
          <cell r="BI28">
            <v>15.2</v>
          </cell>
          <cell r="BJ28">
            <v>17.25</v>
          </cell>
          <cell r="BK28">
            <v>18.5</v>
          </cell>
          <cell r="BL28">
            <v>19.7</v>
          </cell>
          <cell r="BN28">
            <v>14.609</v>
          </cell>
          <cell r="BP28">
            <v>22.958000000000002</v>
          </cell>
          <cell r="BQ28">
            <v>45.756999999999998</v>
          </cell>
          <cell r="BS28">
            <v>29.793400000000002</v>
          </cell>
          <cell r="BT28">
            <v>62.847999999999999</v>
          </cell>
          <cell r="BV28">
            <v>70.650000000000006</v>
          </cell>
          <cell r="BX28">
            <v>17.852</v>
          </cell>
          <cell r="BY28">
            <v>42.605000000000004</v>
          </cell>
          <cell r="CA28">
            <v>27.630000000000003</v>
          </cell>
          <cell r="CB28">
            <v>58.373000000000005</v>
          </cell>
          <cell r="CD28">
            <v>67.95</v>
          </cell>
        </row>
        <row r="29">
          <cell r="A29" t="str">
            <v xml:space="preserve">  G &amp; A</v>
          </cell>
          <cell r="B29">
            <v>1.54</v>
          </cell>
          <cell r="C29">
            <v>0.47699999999999998</v>
          </cell>
          <cell r="D29">
            <v>1.7</v>
          </cell>
          <cell r="E29">
            <v>2.1930000000000001</v>
          </cell>
          <cell r="F29">
            <v>3.7330000000000001</v>
          </cell>
          <cell r="H29">
            <v>1.86</v>
          </cell>
          <cell r="I29">
            <v>0.48899999999999999</v>
          </cell>
          <cell r="J29">
            <v>2.1</v>
          </cell>
          <cell r="K29">
            <v>2.5569999999999999</v>
          </cell>
          <cell r="L29">
            <v>4.4169999999999998</v>
          </cell>
          <cell r="N29">
            <v>2.36</v>
          </cell>
          <cell r="O29">
            <v>0.57299999999999995</v>
          </cell>
          <cell r="P29">
            <v>2</v>
          </cell>
          <cell r="Q29">
            <v>2.39</v>
          </cell>
          <cell r="R29">
            <v>4.75</v>
          </cell>
          <cell r="T29">
            <v>2.04</v>
          </cell>
          <cell r="U29">
            <v>0.63900000000000001</v>
          </cell>
          <cell r="V29">
            <v>2.2879999999999998</v>
          </cell>
          <cell r="W29">
            <v>2.746</v>
          </cell>
          <cell r="X29">
            <v>4.7859999999999996</v>
          </cell>
          <cell r="Z29">
            <v>2.34</v>
          </cell>
          <cell r="AA29">
            <v>0.49299999999999999</v>
          </cell>
          <cell r="AB29">
            <v>2.399</v>
          </cell>
          <cell r="AC29">
            <v>2.8919999999999999</v>
          </cell>
          <cell r="AD29">
            <v>5.2319999999999993</v>
          </cell>
          <cell r="AF29">
            <v>2.5089999999999999</v>
          </cell>
          <cell r="AG29">
            <v>0.60499999999999998</v>
          </cell>
          <cell r="AH29">
            <v>2.6379999999999999</v>
          </cell>
          <cell r="AI29">
            <v>3.2429999999999999</v>
          </cell>
          <cell r="AJ29">
            <v>5.7519999999999998</v>
          </cell>
          <cell r="AL29">
            <v>2.7749999999999999</v>
          </cell>
          <cell r="AM29">
            <v>0.83799999999999997</v>
          </cell>
          <cell r="AN29">
            <v>3.1280000000000001</v>
          </cell>
          <cell r="AO29">
            <v>3.9660000000000002</v>
          </cell>
          <cell r="AP29">
            <v>6.7409999999999997</v>
          </cell>
          <cell r="AR29">
            <v>2.653</v>
          </cell>
          <cell r="AS29">
            <v>3.28</v>
          </cell>
          <cell r="AT29">
            <v>5.9329999999999998</v>
          </cell>
          <cell r="AV29">
            <v>2.8</v>
          </cell>
          <cell r="AW29">
            <v>3.972</v>
          </cell>
          <cell r="AX29">
            <v>6.9189999999999996</v>
          </cell>
          <cell r="AZ29">
            <v>3.427</v>
          </cell>
          <cell r="BA29">
            <v>8.202</v>
          </cell>
          <cell r="BC29">
            <v>3.6719999999999997</v>
          </cell>
          <cell r="BD29">
            <v>6.7939999999999996</v>
          </cell>
          <cell r="BF29">
            <v>3.92</v>
          </cell>
          <cell r="BG29">
            <v>7</v>
          </cell>
          <cell r="BI29">
            <v>7</v>
          </cell>
          <cell r="BJ29">
            <v>7.4</v>
          </cell>
          <cell r="BK29">
            <v>7.6</v>
          </cell>
          <cell r="BL29">
            <v>7.8</v>
          </cell>
          <cell r="BN29">
            <v>8.0879999999999992</v>
          </cell>
          <cell r="BP29">
            <v>13.380999999999998</v>
          </cell>
          <cell r="BQ29">
            <v>23.657999999999998</v>
          </cell>
          <cell r="BS29">
            <v>14.991</v>
          </cell>
          <cell r="BT29">
            <v>28.914999999999999</v>
          </cell>
          <cell r="BV29">
            <v>29.8</v>
          </cell>
          <cell r="BX29">
            <v>10.452999999999999</v>
          </cell>
          <cell r="BY29">
            <v>22.510999999999999</v>
          </cell>
          <cell r="CA29">
            <v>14.350999999999999</v>
          </cell>
          <cell r="CB29">
            <v>27.848000000000003</v>
          </cell>
          <cell r="CD29">
            <v>29</v>
          </cell>
        </row>
        <row r="30">
          <cell r="A30" t="str">
            <v xml:space="preserve">     goodwill amort.</v>
          </cell>
          <cell r="AN30">
            <v>0.435</v>
          </cell>
          <cell r="AS30">
            <v>0.6</v>
          </cell>
          <cell r="AT30">
            <v>0.6</v>
          </cell>
          <cell r="AX30">
            <v>0</v>
          </cell>
          <cell r="AZ30">
            <v>0.6</v>
          </cell>
          <cell r="BC30">
            <v>0.6</v>
          </cell>
          <cell r="BF30">
            <v>0.6</v>
          </cell>
          <cell r="BG30">
            <v>0.6</v>
          </cell>
          <cell r="BI30">
            <v>0.6</v>
          </cell>
          <cell r="BJ30">
            <v>0.6</v>
          </cell>
          <cell r="BK30">
            <v>0.6</v>
          </cell>
          <cell r="BL30">
            <v>0.6</v>
          </cell>
          <cell r="BN30">
            <v>0</v>
          </cell>
          <cell r="BP30">
            <v>0.6</v>
          </cell>
          <cell r="BQ30">
            <v>0.6</v>
          </cell>
          <cell r="BS30">
            <v>1.7999999999999998</v>
          </cell>
          <cell r="BT30">
            <v>0.6</v>
          </cell>
          <cell r="BV30">
            <v>2.4</v>
          </cell>
          <cell r="BX30">
            <v>0.435</v>
          </cell>
          <cell r="BY30">
            <v>0</v>
          </cell>
          <cell r="CA30">
            <v>1.7999999999999998</v>
          </cell>
          <cell r="CB30">
            <v>0.6</v>
          </cell>
          <cell r="CD30">
            <v>2.4</v>
          </cell>
        </row>
        <row r="31">
          <cell r="A31" t="str">
            <v>Operating income</v>
          </cell>
          <cell r="B31">
            <v>2.5900000000000007</v>
          </cell>
          <cell r="C31">
            <v>-0.53400000000000014</v>
          </cell>
          <cell r="D31">
            <v>1.099999999999999</v>
          </cell>
          <cell r="E31">
            <v>0.65700000000000047</v>
          </cell>
          <cell r="F31">
            <v>3.2470000000000065</v>
          </cell>
          <cell r="H31">
            <v>2.969999999999998</v>
          </cell>
          <cell r="I31">
            <v>1.0000000000000453E-2</v>
          </cell>
          <cell r="J31">
            <v>1.77</v>
          </cell>
          <cell r="K31">
            <v>1.8380000000000032</v>
          </cell>
          <cell r="L31">
            <v>4.8079999999999945</v>
          </cell>
          <cell r="N31">
            <v>3.9400000000000026</v>
          </cell>
          <cell r="O31">
            <v>0.21199999999999997</v>
          </cell>
          <cell r="P31">
            <v>3.2999999999999989</v>
          </cell>
          <cell r="Q31">
            <v>3.5529999999999986</v>
          </cell>
          <cell r="R31">
            <v>7.4930000000000057</v>
          </cell>
          <cell r="T31">
            <v>4.490000000000002</v>
          </cell>
          <cell r="U31">
            <v>0.49499999999999944</v>
          </cell>
          <cell r="V31">
            <v>3.6329999999999978</v>
          </cell>
          <cell r="W31">
            <v>4.3100000000000005</v>
          </cell>
          <cell r="X31">
            <v>8.7999999999999972</v>
          </cell>
          <cell r="Z31">
            <v>5.0600000000000032</v>
          </cell>
          <cell r="AA31">
            <v>0.59000000000000086</v>
          </cell>
          <cell r="AB31">
            <v>4.3130000000000006</v>
          </cell>
          <cell r="AC31">
            <v>4.9030000000000022</v>
          </cell>
          <cell r="AD31">
            <v>9.9630000000000081</v>
          </cell>
          <cell r="AF31">
            <v>6.2280000000000015</v>
          </cell>
          <cell r="AG31">
            <v>0.71900000000000031</v>
          </cell>
          <cell r="AH31">
            <v>4.9989999999999997</v>
          </cell>
          <cell r="AI31">
            <v>5.718</v>
          </cell>
          <cell r="AJ31">
            <v>11.946000000000009</v>
          </cell>
          <cell r="AL31">
            <v>6.9549999999999983</v>
          </cell>
          <cell r="AM31">
            <v>1.0110000000000006</v>
          </cell>
          <cell r="AN31">
            <v>5.410000000000001</v>
          </cell>
          <cell r="AO31">
            <v>6.8560000000000025</v>
          </cell>
          <cell r="AP31">
            <v>13.810999999999996</v>
          </cell>
          <cell r="AR31">
            <v>9.0380000000000003</v>
          </cell>
          <cell r="AS31">
            <v>6.7310000000000016</v>
          </cell>
          <cell r="AT31">
            <v>15.768999999999993</v>
          </cell>
          <cell r="AV31">
            <v>-0.3199999999999994</v>
          </cell>
          <cell r="AW31">
            <v>7.0889999999999933</v>
          </cell>
          <cell r="AX31">
            <v>1.9189999999999943</v>
          </cell>
          <cell r="AZ31">
            <v>8.9344000000000019</v>
          </cell>
          <cell r="BA31">
            <v>-5.6269999999999936</v>
          </cell>
          <cell r="BC31">
            <v>10.698199999999995</v>
          </cell>
          <cell r="BD31">
            <v>9.8200000000000109</v>
          </cell>
          <cell r="BF31">
            <v>11.857599999999998</v>
          </cell>
          <cell r="BG31">
            <v>11.415000000000001</v>
          </cell>
          <cell r="BI31">
            <v>7.8325000000000049</v>
          </cell>
          <cell r="BJ31">
            <v>10.712500000000006</v>
          </cell>
          <cell r="BK31">
            <v>15.379999999999999</v>
          </cell>
          <cell r="BL31">
            <v>20.832499999999996</v>
          </cell>
          <cell r="BN31">
            <v>9.8030000000000133</v>
          </cell>
          <cell r="BP31">
            <v>24.207999999999991</v>
          </cell>
          <cell r="BQ31">
            <v>51.48900000000004</v>
          </cell>
          <cell r="BS31">
            <v>38.5792</v>
          </cell>
          <cell r="BT31">
            <v>17.527000000000044</v>
          </cell>
          <cell r="BV31">
            <v>54.757500000000014</v>
          </cell>
          <cell r="BX31">
            <v>18.355000000000015</v>
          </cell>
          <cell r="BY31">
            <v>44.519999999999968</v>
          </cell>
          <cell r="CA31">
            <v>33.452599999999997</v>
          </cell>
          <cell r="CB31">
            <v>21.88099999999999</v>
          </cell>
          <cell r="CD31">
            <v>45.340000000000025</v>
          </cell>
        </row>
        <row r="32">
          <cell r="A32" t="str">
            <v xml:space="preserve">  Operating margin</v>
          </cell>
          <cell r="B32">
            <v>0.15918869084204063</v>
          </cell>
          <cell r="C32">
            <v>-0.23136915077989609</v>
          </cell>
          <cell r="D32">
            <v>5.5555555555555504E-2</v>
          </cell>
          <cell r="E32">
            <v>2.9777012327773772E-2</v>
          </cell>
          <cell r="F32">
            <v>8.4702874732613509E-2</v>
          </cell>
          <cell r="H32">
            <v>0.15254237288135583</v>
          </cell>
          <cell r="I32">
            <v>3.4048348655091767E-3</v>
          </cell>
          <cell r="J32">
            <v>8.1830790568654652E-2</v>
          </cell>
          <cell r="K32">
            <v>7.4779283127873519E-2</v>
          </cell>
          <cell r="L32">
            <v>0.10915117255783321</v>
          </cell>
          <cell r="N32">
            <v>0.17167755991285416</v>
          </cell>
          <cell r="O32">
            <v>6.1609997093868052E-2</v>
          </cell>
          <cell r="P32">
            <v>0.13749999999999996</v>
          </cell>
          <cell r="Q32">
            <v>0.12945891783567129</v>
          </cell>
          <cell r="R32">
            <v>0.14868538545490634</v>
          </cell>
          <cell r="T32">
            <v>0.17614750882699104</v>
          </cell>
          <cell r="U32">
            <v>0.11901899495070918</v>
          </cell>
          <cell r="V32">
            <v>0.14133986928104567</v>
          </cell>
          <cell r="W32">
            <v>0.14432092151084919</v>
          </cell>
          <cell r="X32">
            <v>0.15897676771326366</v>
          </cell>
          <cell r="Z32">
            <v>0.17673768774013282</v>
          </cell>
          <cell r="AA32">
            <v>0.12992732878220675</v>
          </cell>
          <cell r="AB32">
            <v>0.1570591019991989</v>
          </cell>
          <cell r="AC32">
            <v>0.1532091744265984</v>
          </cell>
          <cell r="AD32">
            <v>0.16431917139464322</v>
          </cell>
          <cell r="AF32">
            <v>0.19466758353389807</v>
          </cell>
          <cell r="AG32">
            <v>0.13292660380846744</v>
          </cell>
          <cell r="AH32">
            <v>0.17469247973161867</v>
          </cell>
          <cell r="AI32">
            <v>0.16805290227773698</v>
          </cell>
          <cell r="AJ32">
            <v>0.18095064982277573</v>
          </cell>
          <cell r="AL32">
            <v>0.20400680511556959</v>
          </cell>
          <cell r="AM32">
            <v>0.14863275507203771</v>
          </cell>
          <cell r="AN32">
            <v>0.16772593396372656</v>
          </cell>
          <cell r="AO32">
            <v>0.13962638452636786</v>
          </cell>
          <cell r="AP32">
            <v>0.13962638452636786</v>
          </cell>
          <cell r="AR32">
            <v>0.13962638452636786</v>
          </cell>
          <cell r="AS32">
            <v>0.16706793417558147</v>
          </cell>
          <cell r="AT32">
            <v>0.20198798498763909</v>
          </cell>
          <cell r="AV32">
            <v>-1.4222222222222195E-2</v>
          </cell>
          <cell r="AW32">
            <v>0.1651369735370852</v>
          </cell>
          <cell r="AX32">
            <v>2.9010703271451811E-2</v>
          </cell>
          <cell r="AZ32">
            <v>0.19422608695652177</v>
          </cell>
          <cell r="BA32">
            <v>-7.5058691708462189E-2</v>
          </cell>
          <cell r="BC32">
            <v>0.20976862745098029</v>
          </cell>
          <cell r="BD32">
            <v>0.11931086433552852</v>
          </cell>
          <cell r="BF32">
            <v>0.21174285714285709</v>
          </cell>
          <cell r="BG32">
            <v>0.12825842696629214</v>
          </cell>
          <cell r="BI32">
            <v>9.9145569620253227E-2</v>
          </cell>
          <cell r="BJ32">
            <v>0.11902777777777784</v>
          </cell>
          <cell r="BK32">
            <v>0.15227722772277227</v>
          </cell>
          <cell r="BL32">
            <v>0.1893863636363636</v>
          </cell>
          <cell r="BN32">
            <v>0.10756687954001815</v>
          </cell>
          <cell r="BP32">
            <v>0.16652335715710614</v>
          </cell>
          <cell r="BQ32">
            <v>0.18530021449033368</v>
          </cell>
          <cell r="BS32">
            <v>0.19690498550487934</v>
          </cell>
          <cell r="BT32">
            <v>5.6100402660504194E-2</v>
          </cell>
          <cell r="BV32">
            <v>0.14409868421052635</v>
          </cell>
          <cell r="BX32">
            <v>0.16095794310568606</v>
          </cell>
          <cell r="BY32">
            <v>0.17448354516701731</v>
          </cell>
          <cell r="CA32">
            <v>0.18562399773606264</v>
          </cell>
          <cell r="CB32">
            <v>7.2575964124965558E-2</v>
          </cell>
          <cell r="CD32">
            <v>0.12629526462395549</v>
          </cell>
        </row>
        <row r="34">
          <cell r="A34" t="str">
            <v>Other income, net</v>
          </cell>
          <cell r="B34">
            <v>0.43</v>
          </cell>
          <cell r="C34">
            <v>1.7999999999999999E-2</v>
          </cell>
          <cell r="D34">
            <v>0.2</v>
          </cell>
          <cell r="E34">
            <v>0.19900000000000001</v>
          </cell>
          <cell r="F34">
            <v>0.629</v>
          </cell>
          <cell r="H34">
            <v>0.56000000000000005</v>
          </cell>
          <cell r="I34">
            <v>6.7000000000000004E-2</v>
          </cell>
          <cell r="J34">
            <v>0.4</v>
          </cell>
          <cell r="K34">
            <v>0.51400000000000001</v>
          </cell>
          <cell r="L34">
            <v>1.0740000000000001</v>
          </cell>
          <cell r="N34">
            <v>0.63</v>
          </cell>
          <cell r="O34">
            <v>7.6999999999999999E-2</v>
          </cell>
          <cell r="P34">
            <v>0.3</v>
          </cell>
          <cell r="Q34">
            <v>0.51600000000000001</v>
          </cell>
          <cell r="R34">
            <v>1.1459999999999999</v>
          </cell>
          <cell r="T34">
            <v>0.78</v>
          </cell>
          <cell r="U34">
            <v>8.5000000000000006E-2</v>
          </cell>
          <cell r="V34">
            <v>0.66500000000000004</v>
          </cell>
          <cell r="W34">
            <v>0.75</v>
          </cell>
          <cell r="X34">
            <v>1.53</v>
          </cell>
          <cell r="Z34">
            <v>0.76</v>
          </cell>
          <cell r="AA34">
            <v>0.41399999999999998</v>
          </cell>
          <cell r="AB34">
            <v>0.53300000000000003</v>
          </cell>
          <cell r="AC34">
            <v>0.94700000000000006</v>
          </cell>
          <cell r="AD34">
            <v>1.7070000000000001</v>
          </cell>
          <cell r="AF34">
            <v>0.80800000000000005</v>
          </cell>
          <cell r="AG34">
            <v>0.437</v>
          </cell>
          <cell r="AH34">
            <v>0.68600000000000005</v>
          </cell>
          <cell r="AI34">
            <v>1.123</v>
          </cell>
          <cell r="AJ34">
            <v>1.931</v>
          </cell>
          <cell r="AL34">
            <v>0.90800000000000003</v>
          </cell>
          <cell r="AM34">
            <v>0.46400000000000002</v>
          </cell>
          <cell r="AN34">
            <v>2.391</v>
          </cell>
          <cell r="AO34">
            <v>2.855</v>
          </cell>
          <cell r="AP34">
            <v>3.7629999999999999</v>
          </cell>
          <cell r="AR34">
            <v>1.1919999999999999</v>
          </cell>
          <cell r="AS34">
            <v>2.992</v>
          </cell>
          <cell r="AT34">
            <v>4.1840000000000002</v>
          </cell>
          <cell r="AV34">
            <v>1.3</v>
          </cell>
          <cell r="AW34">
            <v>3.33</v>
          </cell>
          <cell r="AX34">
            <v>4.585</v>
          </cell>
          <cell r="AZ34">
            <v>3.4</v>
          </cell>
          <cell r="BA34">
            <v>4.7160000000000002</v>
          </cell>
          <cell r="BC34">
            <v>3.5</v>
          </cell>
          <cell r="BD34">
            <v>4.0039999999999996</v>
          </cell>
          <cell r="BF34">
            <v>3.6</v>
          </cell>
          <cell r="BG34">
            <v>4</v>
          </cell>
          <cell r="BI34">
            <v>4.0999999999999996</v>
          </cell>
          <cell r="BJ34">
            <v>4.2</v>
          </cell>
          <cell r="BK34">
            <v>4.3</v>
          </cell>
          <cell r="BL34">
            <v>4.4000000000000004</v>
          </cell>
          <cell r="BN34">
            <v>1.5650000000000002</v>
          </cell>
          <cell r="BP34">
            <v>7.9170000000000007</v>
          </cell>
          <cell r="BQ34">
            <v>11.585000000000001</v>
          </cell>
          <cell r="BS34">
            <v>13.83</v>
          </cell>
          <cell r="BT34">
            <v>17.305</v>
          </cell>
          <cell r="BV34">
            <v>17</v>
          </cell>
          <cell r="BX34">
            <v>4.2750000000000004</v>
          </cell>
          <cell r="BY34">
            <v>8.9310000000000009</v>
          </cell>
          <cell r="CA34">
            <v>13.222</v>
          </cell>
          <cell r="CB34">
            <v>17.488999999999997</v>
          </cell>
          <cell r="CD34">
            <v>16.600000000000001</v>
          </cell>
        </row>
        <row r="35">
          <cell r="A35" t="str">
            <v xml:space="preserve">Pretax income </v>
          </cell>
          <cell r="B35">
            <v>3.0200000000000009</v>
          </cell>
          <cell r="C35">
            <v>-0.51600000000000013</v>
          </cell>
          <cell r="D35">
            <v>1.2999999999999989</v>
          </cell>
          <cell r="E35">
            <v>0.85600000000000054</v>
          </cell>
          <cell r="F35">
            <v>3.8760000000000066</v>
          </cell>
          <cell r="H35">
            <v>3.529999999999998</v>
          </cell>
          <cell r="I35">
            <v>7.7000000000000457E-2</v>
          </cell>
          <cell r="J35">
            <v>2.17</v>
          </cell>
          <cell r="K35">
            <v>2.352000000000003</v>
          </cell>
          <cell r="L35">
            <v>5.8819999999999943</v>
          </cell>
          <cell r="N35">
            <v>4.5700000000000029</v>
          </cell>
          <cell r="O35">
            <v>0.28899999999999998</v>
          </cell>
          <cell r="P35">
            <v>3.5999999999999988</v>
          </cell>
          <cell r="Q35">
            <v>4.0689999999999991</v>
          </cell>
          <cell r="R35">
            <v>8.6390000000000065</v>
          </cell>
          <cell r="T35">
            <v>5.2700000000000022</v>
          </cell>
          <cell r="U35">
            <v>0.5799999999999994</v>
          </cell>
          <cell r="V35">
            <v>4.2979999999999983</v>
          </cell>
          <cell r="W35">
            <v>5.0600000000000005</v>
          </cell>
          <cell r="X35">
            <v>10.329999999999997</v>
          </cell>
          <cell r="Z35">
            <v>5.8200000000000029</v>
          </cell>
          <cell r="AA35">
            <v>1.0040000000000009</v>
          </cell>
          <cell r="AB35">
            <v>4.846000000000001</v>
          </cell>
          <cell r="AC35">
            <v>5.8500000000000023</v>
          </cell>
          <cell r="AD35">
            <v>11.670000000000009</v>
          </cell>
          <cell r="AF35">
            <v>7.0360000000000014</v>
          </cell>
          <cell r="AG35">
            <v>1.1560000000000004</v>
          </cell>
          <cell r="AH35">
            <v>5.6849999999999996</v>
          </cell>
          <cell r="AI35">
            <v>6.8410000000000002</v>
          </cell>
          <cell r="AJ35">
            <v>13.87700000000001</v>
          </cell>
          <cell r="AL35">
            <v>7.8629999999999987</v>
          </cell>
          <cell r="AM35">
            <v>1.4750000000000005</v>
          </cell>
          <cell r="AN35">
            <v>7.801000000000001</v>
          </cell>
          <cell r="AO35">
            <v>9.7110000000000021</v>
          </cell>
          <cell r="AP35">
            <v>17.573999999999998</v>
          </cell>
          <cell r="AR35">
            <v>10.23</v>
          </cell>
          <cell r="AS35">
            <v>9.7230000000000025</v>
          </cell>
          <cell r="AT35">
            <v>19.952999999999992</v>
          </cell>
          <cell r="AV35">
            <v>0.98000000000000065</v>
          </cell>
          <cell r="AW35">
            <v>10.418999999999993</v>
          </cell>
          <cell r="AX35">
            <v>6.5039999999999942</v>
          </cell>
          <cell r="AZ35">
            <v>12.334400000000002</v>
          </cell>
          <cell r="BA35">
            <v>-0.91099999999999337</v>
          </cell>
          <cell r="BC35">
            <v>14.198199999999995</v>
          </cell>
          <cell r="BD35">
            <v>13.824000000000011</v>
          </cell>
          <cell r="BF35">
            <v>15.457599999999998</v>
          </cell>
          <cell r="BG35">
            <v>15.415000000000001</v>
          </cell>
          <cell r="BI35">
            <v>11.932500000000005</v>
          </cell>
          <cell r="BJ35">
            <v>14.912500000000005</v>
          </cell>
          <cell r="BK35">
            <v>19.68</v>
          </cell>
          <cell r="BL35">
            <v>25.232499999999995</v>
          </cell>
          <cell r="BN35">
            <v>11.368000000000013</v>
          </cell>
          <cell r="BP35">
            <v>32.124999999999993</v>
          </cell>
          <cell r="BQ35">
            <v>63.074000000000041</v>
          </cell>
          <cell r="BS35">
            <v>52.409199999999998</v>
          </cell>
          <cell r="BT35">
            <v>34.832000000000043</v>
          </cell>
          <cell r="BV35">
            <v>71.757500000000022</v>
          </cell>
          <cell r="BX35">
            <v>22.630000000000017</v>
          </cell>
          <cell r="BY35">
            <v>53.450999999999965</v>
          </cell>
          <cell r="CA35">
            <v>46.674599999999998</v>
          </cell>
          <cell r="CB35">
            <v>39.36999999999999</v>
          </cell>
          <cell r="CD35">
            <v>61.940000000000026</v>
          </cell>
        </row>
        <row r="36">
          <cell r="A36" t="str">
            <v xml:space="preserve"> Pretax margin</v>
          </cell>
          <cell r="B36">
            <v>0.18561770129071917</v>
          </cell>
          <cell r="C36">
            <v>-0.22357019064124792</v>
          </cell>
          <cell r="D36">
            <v>6.5656565656565594E-2</v>
          </cell>
          <cell r="E36">
            <v>3.8796229151559128E-2</v>
          </cell>
          <cell r="F36">
            <v>0.10111128502113023</v>
          </cell>
          <cell r="H36">
            <v>0.18130457113507953</v>
          </cell>
          <cell r="I36">
            <v>2.621722846441963E-2</v>
          </cell>
          <cell r="J36">
            <v>0.10032362459546926</v>
          </cell>
          <cell r="K36">
            <v>9.5691443915537772E-2</v>
          </cell>
          <cell r="L36">
            <v>0.13353311085382177</v>
          </cell>
          <cell r="N36">
            <v>0.19912854030501104</v>
          </cell>
          <cell r="O36">
            <v>8.3987213019471083E-2</v>
          </cell>
          <cell r="P36">
            <v>0.14999999999999994</v>
          </cell>
          <cell r="Q36">
            <v>0.1482601566769903</v>
          </cell>
          <cell r="R36">
            <v>0.17142573668022634</v>
          </cell>
          <cell r="T36">
            <v>0.2067477442134171</v>
          </cell>
          <cell r="U36">
            <v>0.13945660014426531</v>
          </cell>
          <cell r="V36">
            <v>0.16721132897603477</v>
          </cell>
          <cell r="W36">
            <v>0.16943477096169302</v>
          </cell>
          <cell r="X36">
            <v>0.18661704664522882</v>
          </cell>
          <cell r="Z36">
            <v>0.2032832692979393</v>
          </cell>
          <cell r="AA36">
            <v>0.22109667474124661</v>
          </cell>
          <cell r="AB36">
            <v>0.17646844616000879</v>
          </cell>
          <cell r="AC36">
            <v>0.18280107493281675</v>
          </cell>
          <cell r="AD36">
            <v>0.19247262171790486</v>
          </cell>
          <cell r="AF36">
            <v>0.21992310817991439</v>
          </cell>
          <cell r="AG36">
            <v>0.2137178776113885</v>
          </cell>
          <cell r="AH36">
            <v>0.19866508247134468</v>
          </cell>
          <cell r="AI36">
            <v>0.20105804555473919</v>
          </cell>
          <cell r="AJ36">
            <v>0.2102002484170985</v>
          </cell>
          <cell r="AL36">
            <v>0.23064061950017598</v>
          </cell>
          <cell r="AM36">
            <v>0.21684798588650403</v>
          </cell>
          <cell r="AN36">
            <v>0.24185397612773216</v>
          </cell>
          <cell r="AO36">
            <v>0.17530170276078677</v>
          </cell>
          <cell r="AP36">
            <v>0.17530170276078677</v>
          </cell>
          <cell r="AR36">
            <v>0.17530170276078677</v>
          </cell>
          <cell r="AS36">
            <v>0.24133138077390856</v>
          </cell>
          <cell r="AT36">
            <v>0.25558160089151899</v>
          </cell>
          <cell r="AV36">
            <v>0.17530170276078677</v>
          </cell>
          <cell r="AW36">
            <v>0.24270872158032039</v>
          </cell>
          <cell r="AX36">
            <v>9.8324968253008321E-2</v>
          </cell>
          <cell r="AZ36">
            <v>0.26813913043478266</v>
          </cell>
          <cell r="BA36">
            <v>-1.2151851456621402E-2</v>
          </cell>
          <cell r="BC36">
            <v>0.27839607843137243</v>
          </cell>
          <cell r="BD36">
            <v>0.16795859354117573</v>
          </cell>
          <cell r="BF36">
            <v>0.2760285714285714</v>
          </cell>
          <cell r="BG36">
            <v>0.17320224719101124</v>
          </cell>
          <cell r="BI36">
            <v>0.15104430379746842</v>
          </cell>
          <cell r="BJ36">
            <v>0.16569444444444451</v>
          </cell>
          <cell r="BK36">
            <v>0.19485148514851486</v>
          </cell>
          <cell r="BL36">
            <v>0.22938636363636358</v>
          </cell>
          <cell r="BN36">
            <v>0.12473939473741977</v>
          </cell>
          <cell r="BP36">
            <v>0.22098326374223545</v>
          </cell>
          <cell r="BQ36">
            <v>0.22699267277988125</v>
          </cell>
          <cell r="BS36">
            <v>0.26749213996978483</v>
          </cell>
          <cell r="BT36">
            <v>0.11149022796089918</v>
          </cell>
          <cell r="BV36">
            <v>0.18883552631578954</v>
          </cell>
          <cell r="BX36">
            <v>0.19844610473885455</v>
          </cell>
          <cell r="BY36">
            <v>0.209486073062045</v>
          </cell>
          <cell r="CA36">
            <v>0.258991105167659</v>
          </cell>
          <cell r="CB36">
            <v>0.13058432921712421</v>
          </cell>
          <cell r="CD36">
            <v>0.17253481894150424</v>
          </cell>
        </row>
        <row r="38">
          <cell r="A38" t="str">
            <v>Reported Taxes</v>
          </cell>
          <cell r="D38">
            <v>0.104</v>
          </cell>
          <cell r="J38">
            <v>0.17399999999999999</v>
          </cell>
          <cell r="P38">
            <v>0.215</v>
          </cell>
          <cell r="V38">
            <v>0.51600000000000001</v>
          </cell>
          <cell r="AB38">
            <v>0.73499999999999999</v>
          </cell>
          <cell r="AF38">
            <v>2.4</v>
          </cell>
          <cell r="AH38">
            <v>0.85299999999999998</v>
          </cell>
          <cell r="AN38">
            <v>0.8</v>
          </cell>
          <cell r="AS38">
            <v>1.4584500000000002</v>
          </cell>
          <cell r="AW38">
            <v>1.562849999999999</v>
          </cell>
          <cell r="AZ38">
            <v>1.8501600000000002</v>
          </cell>
          <cell r="BC38">
            <v>2.129729999999999</v>
          </cell>
          <cell r="BF38">
            <v>2.3186399999999994</v>
          </cell>
          <cell r="BN38">
            <v>1</v>
          </cell>
          <cell r="BP38">
            <v>3.8464499999999999</v>
          </cell>
          <cell r="BS38">
            <v>7.8613799999999978</v>
          </cell>
        </row>
        <row r="39">
          <cell r="A39" t="str">
            <v xml:space="preserve"> Reported tax rate</v>
          </cell>
          <cell r="D39">
            <v>8.0000000000000057E-2</v>
          </cell>
          <cell r="J39">
            <v>8.0184331797235026E-2</v>
          </cell>
          <cell r="P39">
            <v>5.9722222222222239E-2</v>
          </cell>
          <cell r="V39">
            <v>0.12005583992554682</v>
          </cell>
          <cell r="AB39">
            <v>0.15167148163433755</v>
          </cell>
          <cell r="AF39">
            <v>0.34110289937464461</v>
          </cell>
          <cell r="AH39">
            <v>0.15004397537379069</v>
          </cell>
          <cell r="AN39">
            <v>0.10255095500576848</v>
          </cell>
          <cell r="AS39">
            <v>0.15</v>
          </cell>
          <cell r="AW39">
            <v>0.15</v>
          </cell>
          <cell r="AZ39">
            <v>0.15</v>
          </cell>
          <cell r="BC39">
            <v>0.15</v>
          </cell>
          <cell r="BF39">
            <v>0.15</v>
          </cell>
          <cell r="BN39">
            <v>8.796622097114698E-2</v>
          </cell>
          <cell r="BP39">
            <v>0.11973385214007784</v>
          </cell>
          <cell r="BS39">
            <v>0.14999999999999997</v>
          </cell>
        </row>
        <row r="40">
          <cell r="A40" t="str">
            <v>Net income</v>
          </cell>
          <cell r="D40">
            <v>1.996</v>
          </cell>
          <cell r="J40">
            <v>3.3849999999999989</v>
          </cell>
          <cell r="P40">
            <v>3.3849999999999989</v>
          </cell>
          <cell r="V40">
            <v>3.7819999999999983</v>
          </cell>
          <cell r="AB40">
            <v>4.1110000000000007</v>
          </cell>
          <cell r="AF40">
            <v>4.636000000000001</v>
          </cell>
          <cell r="AH40">
            <v>4.8319999999999999</v>
          </cell>
          <cell r="AN40">
            <v>7.0010000000000012</v>
          </cell>
          <cell r="AS40">
            <v>6.6025753902880044</v>
          </cell>
          <cell r="AW40">
            <v>8.8561499999999942</v>
          </cell>
          <cell r="AZ40">
            <v>10.484240000000002</v>
          </cell>
          <cell r="BC40">
            <v>12.068469999999996</v>
          </cell>
          <cell r="BF40">
            <v>13.138959999999997</v>
          </cell>
          <cell r="BN40">
            <v>10.368000000000013</v>
          </cell>
          <cell r="BP40">
            <v>28.278549999999992</v>
          </cell>
          <cell r="BS40">
            <v>44.547820000000002</v>
          </cell>
        </row>
        <row r="42">
          <cell r="A42" t="str">
            <v>EPS Reported</v>
          </cell>
          <cell r="D42">
            <v>6.0120481927710835E-2</v>
          </cell>
          <cell r="J42">
            <v>9.9558823529411727E-2</v>
          </cell>
          <cell r="P42">
            <v>9.9558823529411727E-2</v>
          </cell>
          <cell r="V42">
            <v>0.10493313356639471</v>
          </cell>
          <cell r="AB42">
            <v>0.11131871107500679</v>
          </cell>
          <cell r="AF42">
            <v>0.10371364653243849</v>
          </cell>
          <cell r="AH42">
            <v>0.1299553547415416</v>
          </cell>
          <cell r="AN42">
            <v>0.16725196492988367</v>
          </cell>
          <cell r="AS42">
            <v>0.13100347996603184</v>
          </cell>
          <cell r="AW42">
            <v>0.17635409614082587</v>
          </cell>
          <cell r="AZ42">
            <v>0.21095050301810866</v>
          </cell>
          <cell r="BC42">
            <v>0.24136939999999993</v>
          </cell>
          <cell r="BF42">
            <v>0.26173227091633461</v>
          </cell>
          <cell r="BN42">
            <v>0.27117225506094084</v>
          </cell>
          <cell r="BP42">
            <v>0.59824498753733391</v>
          </cell>
          <cell r="BS42">
            <v>0.8904310456830471</v>
          </cell>
        </row>
        <row r="44">
          <cell r="A44" t="str">
            <v>Pro forma</v>
          </cell>
        </row>
        <row r="45">
          <cell r="A45" t="str">
            <v>Fully Taxed</v>
          </cell>
          <cell r="B45">
            <v>0.90600000000000025</v>
          </cell>
          <cell r="C45">
            <v>-0.15480000000000002</v>
          </cell>
          <cell r="D45">
            <v>0.38999999999999968</v>
          </cell>
          <cell r="E45">
            <v>0.25680000000000014</v>
          </cell>
          <cell r="F45">
            <v>1.1628000000000018</v>
          </cell>
          <cell r="H45">
            <v>1.0589999999999993</v>
          </cell>
          <cell r="I45">
            <v>2.3100000000000138E-2</v>
          </cell>
          <cell r="J45">
            <v>0.65099999999999991</v>
          </cell>
          <cell r="K45">
            <v>0.70560000000000089</v>
          </cell>
          <cell r="L45">
            <v>1.7645999999999982</v>
          </cell>
          <cell r="N45">
            <v>1.3710000000000009</v>
          </cell>
          <cell r="O45">
            <v>8.6699999999999985E-2</v>
          </cell>
          <cell r="P45">
            <v>1.0799999999999996</v>
          </cell>
          <cell r="Q45">
            <v>1.2206999999999997</v>
          </cell>
          <cell r="R45">
            <v>2.5917000000000017</v>
          </cell>
          <cell r="T45">
            <v>1.5810000000000006</v>
          </cell>
          <cell r="U45">
            <v>0.17399999999999982</v>
          </cell>
          <cell r="V45">
            <v>1.2893999999999994</v>
          </cell>
          <cell r="W45">
            <v>1.518</v>
          </cell>
          <cell r="X45">
            <v>3.0989999999999989</v>
          </cell>
          <cell r="Z45">
            <v>1.7460000000000009</v>
          </cell>
          <cell r="AA45">
            <v>0.36099999999999999</v>
          </cell>
          <cell r="AB45">
            <v>1.4538000000000002</v>
          </cell>
          <cell r="AC45">
            <v>1.8148000000000002</v>
          </cell>
          <cell r="AD45">
            <v>3.5010000000000026</v>
          </cell>
          <cell r="AF45">
            <v>2.3980000000000001</v>
          </cell>
          <cell r="AG45">
            <v>0.41599999999999998</v>
          </cell>
          <cell r="AH45">
            <v>1.7054999999999998</v>
          </cell>
          <cell r="AI45">
            <v>2.1214999999999997</v>
          </cell>
          <cell r="AJ45">
            <v>3.367</v>
          </cell>
          <cell r="AL45">
            <v>2.8306799999999992</v>
          </cell>
          <cell r="AM45">
            <v>0.53100000000000003</v>
          </cell>
          <cell r="AN45">
            <v>2.3403</v>
          </cell>
          <cell r="AO45">
            <v>2.8713000000000002</v>
          </cell>
          <cell r="AP45">
            <v>5.7019799999999989</v>
          </cell>
          <cell r="AR45">
            <v>3.645</v>
          </cell>
          <cell r="AS45">
            <v>2.9169000000000005</v>
          </cell>
          <cell r="AT45">
            <v>6.5619000000000005</v>
          </cell>
          <cell r="AV45">
            <v>0.29499999999999998</v>
          </cell>
          <cell r="AW45">
            <v>3.1256999999999979</v>
          </cell>
          <cell r="AX45">
            <v>1.9511999999999983</v>
          </cell>
          <cell r="AZ45">
            <v>3.7003200000000005</v>
          </cell>
          <cell r="BA45">
            <v>-0.27329999999999799</v>
          </cell>
          <cell r="BC45">
            <v>4.259459999999998</v>
          </cell>
          <cell r="BD45">
            <v>3.456</v>
          </cell>
          <cell r="BF45">
            <v>4.6372799999999987</v>
          </cell>
          <cell r="BG45">
            <v>4.6245000000000003</v>
          </cell>
          <cell r="BI45">
            <v>3.5797500000000011</v>
          </cell>
          <cell r="BJ45">
            <v>4.4737500000000017</v>
          </cell>
          <cell r="BK45">
            <v>5.9039999999999999</v>
          </cell>
          <cell r="BL45">
            <v>7.5697499999999982</v>
          </cell>
          <cell r="BN45">
            <v>3.4103999999999983</v>
          </cell>
          <cell r="BP45">
            <v>9.7245000000000008</v>
          </cell>
          <cell r="BQ45">
            <v>19.131880000000002</v>
          </cell>
          <cell r="BS45">
            <v>15.722759999999996</v>
          </cell>
          <cell r="BT45">
            <v>9.7584000000000017</v>
          </cell>
          <cell r="BV45">
            <v>21.527250000000002</v>
          </cell>
          <cell r="BX45">
            <v>6.7889999999999997</v>
          </cell>
          <cell r="BY45">
            <v>15.668980000000001</v>
          </cell>
          <cell r="CA45">
            <v>14.002379999999995</v>
          </cell>
          <cell r="CB45">
            <v>11.6958</v>
          </cell>
          <cell r="CD45">
            <v>18.582000000000004</v>
          </cell>
        </row>
        <row r="46">
          <cell r="A46" t="str">
            <v xml:space="preserve"> Tax rate</v>
          </cell>
          <cell r="B46">
            <v>0.3</v>
          </cell>
          <cell r="C46">
            <v>0.3</v>
          </cell>
          <cell r="D46">
            <v>0.3</v>
          </cell>
          <cell r="E46">
            <v>0.3</v>
          </cell>
          <cell r="F46">
            <v>0.3</v>
          </cell>
          <cell r="H46">
            <v>0.3</v>
          </cell>
          <cell r="I46">
            <v>0.3</v>
          </cell>
          <cell r="J46">
            <v>0.3</v>
          </cell>
          <cell r="K46">
            <v>0.3</v>
          </cell>
          <cell r="L46">
            <v>0.3</v>
          </cell>
          <cell r="N46">
            <v>0.3</v>
          </cell>
          <cell r="O46">
            <v>0.3</v>
          </cell>
          <cell r="P46">
            <v>0.3</v>
          </cell>
          <cell r="Q46">
            <v>0.3</v>
          </cell>
          <cell r="R46">
            <v>0.3</v>
          </cell>
          <cell r="T46">
            <v>0.3</v>
          </cell>
          <cell r="U46">
            <v>0.3</v>
          </cell>
          <cell r="V46">
            <v>0.3</v>
          </cell>
          <cell r="W46">
            <v>0.3</v>
          </cell>
          <cell r="X46">
            <v>0.3</v>
          </cell>
          <cell r="Z46">
            <v>0.3</v>
          </cell>
          <cell r="AA46">
            <v>0.35956175298804749</v>
          </cell>
          <cell r="AB46">
            <v>0.3</v>
          </cell>
          <cell r="AC46">
            <v>0.31022222222222212</v>
          </cell>
          <cell r="AD46">
            <v>0.3</v>
          </cell>
          <cell r="AF46">
            <v>0.34081864695849912</v>
          </cell>
          <cell r="AG46">
            <v>0.35986159169550158</v>
          </cell>
          <cell r="AH46">
            <v>0.3</v>
          </cell>
          <cell r="AI46">
            <v>0.31011548019295421</v>
          </cell>
          <cell r="AJ46">
            <v>0.24263169272897583</v>
          </cell>
          <cell r="AL46">
            <v>0.36</v>
          </cell>
          <cell r="AM46">
            <v>0.35999999999999988</v>
          </cell>
          <cell r="AN46">
            <v>0.3</v>
          </cell>
          <cell r="AO46">
            <v>0.29567500772320043</v>
          </cell>
          <cell r="AP46">
            <v>0.32445544554455441</v>
          </cell>
          <cell r="AR46">
            <v>0.35630498533724336</v>
          </cell>
          <cell r="AS46">
            <v>0.3</v>
          </cell>
          <cell r="AT46">
            <v>0.3</v>
          </cell>
          <cell r="AV46">
            <v>0.30102040816326509</v>
          </cell>
          <cell r="AW46">
            <v>0.3</v>
          </cell>
          <cell r="AX46">
            <v>0.3</v>
          </cell>
          <cell r="AZ46">
            <v>0.3</v>
          </cell>
          <cell r="BA46">
            <v>0.3</v>
          </cell>
          <cell r="BC46">
            <v>0.3</v>
          </cell>
          <cell r="BD46">
            <v>0.24999999999999981</v>
          </cell>
          <cell r="BF46">
            <v>0.3</v>
          </cell>
          <cell r="BG46">
            <v>0.3</v>
          </cell>
          <cell r="BI46">
            <v>0.3</v>
          </cell>
          <cell r="BJ46">
            <v>0.3</v>
          </cell>
          <cell r="BK46">
            <v>0.3</v>
          </cell>
          <cell r="BL46">
            <v>0.3</v>
          </cell>
          <cell r="BN46">
            <v>0.29999999999999949</v>
          </cell>
          <cell r="BP46">
            <v>0.30270817120622578</v>
          </cell>
          <cell r="BQ46">
            <v>0.30332434917715684</v>
          </cell>
          <cell r="BS46">
            <v>0.29999999999999993</v>
          </cell>
          <cell r="BT46">
            <v>0.28015617822691746</v>
          </cell>
          <cell r="BV46">
            <v>0.29999999999999993</v>
          </cell>
          <cell r="BX46">
            <v>0.29999999999999977</v>
          </cell>
          <cell r="BY46">
            <v>0.29314662026903165</v>
          </cell>
          <cell r="CA46">
            <v>0.29999999999999993</v>
          </cell>
          <cell r="CB46">
            <v>0.29707391414782836</v>
          </cell>
        </row>
        <row r="47">
          <cell r="A47" t="str">
            <v>Net income</v>
          </cell>
          <cell r="B47">
            <v>2.1140000000000008</v>
          </cell>
          <cell r="C47">
            <v>-0.36120000000000008</v>
          </cell>
          <cell r="D47">
            <v>0.90999999999999925</v>
          </cell>
          <cell r="E47">
            <v>0.5992000000000004</v>
          </cell>
          <cell r="F47">
            <v>2.7132000000000049</v>
          </cell>
          <cell r="H47">
            <v>2.4709999999999988</v>
          </cell>
          <cell r="I47">
            <v>5.3900000000000323E-2</v>
          </cell>
          <cell r="J47">
            <v>1.5190000000000001</v>
          </cell>
          <cell r="K47">
            <v>1.6464000000000021</v>
          </cell>
          <cell r="L47">
            <v>4.1173999999999964</v>
          </cell>
          <cell r="N47">
            <v>3.1990000000000021</v>
          </cell>
          <cell r="O47">
            <v>0.20229999999999998</v>
          </cell>
          <cell r="P47">
            <v>2.5199999999999991</v>
          </cell>
          <cell r="Q47">
            <v>2.8482999999999992</v>
          </cell>
          <cell r="R47">
            <v>6.0473000000000052</v>
          </cell>
          <cell r="T47">
            <v>3.6890000000000018</v>
          </cell>
          <cell r="U47">
            <v>0.40599999999999958</v>
          </cell>
          <cell r="V47">
            <v>3.0085999999999986</v>
          </cell>
          <cell r="W47">
            <v>3.5420000000000007</v>
          </cell>
          <cell r="X47">
            <v>7.2309999999999981</v>
          </cell>
          <cell r="Z47">
            <v>4.0740000000000016</v>
          </cell>
          <cell r="AA47">
            <v>0.6430000000000009</v>
          </cell>
          <cell r="AB47">
            <v>3.3922000000000008</v>
          </cell>
          <cell r="AC47">
            <v>4.0352000000000023</v>
          </cell>
          <cell r="AD47">
            <v>8.1690000000000058</v>
          </cell>
          <cell r="AF47">
            <v>4.6380000000000017</v>
          </cell>
          <cell r="AG47">
            <v>0.74000000000000044</v>
          </cell>
          <cell r="AH47">
            <v>3.9794999999999998</v>
          </cell>
          <cell r="AI47">
            <v>4.7195</v>
          </cell>
          <cell r="AJ47">
            <v>10.510000000000009</v>
          </cell>
          <cell r="AL47">
            <v>5.0323199999999995</v>
          </cell>
          <cell r="AM47">
            <v>0.94400000000000051</v>
          </cell>
          <cell r="AN47">
            <v>5.460700000000001</v>
          </cell>
          <cell r="AO47">
            <v>6.8397000000000023</v>
          </cell>
          <cell r="AP47">
            <v>11.872019999999999</v>
          </cell>
          <cell r="AR47">
            <v>6.5850000000000009</v>
          </cell>
          <cell r="AS47">
            <v>6.8061000000000025</v>
          </cell>
          <cell r="AT47">
            <v>13.391099999999991</v>
          </cell>
          <cell r="AV47">
            <v>0.68500000000000072</v>
          </cell>
          <cell r="AW47">
            <v>7.293299999999995</v>
          </cell>
          <cell r="AX47">
            <v>4.552799999999996</v>
          </cell>
          <cell r="AZ47">
            <v>8.6340800000000009</v>
          </cell>
          <cell r="BA47">
            <v>-0.63769999999999538</v>
          </cell>
          <cell r="BC47">
            <v>9.9387399999999957</v>
          </cell>
          <cell r="BD47">
            <v>10.368000000000011</v>
          </cell>
          <cell r="BF47">
            <v>10.820319999999999</v>
          </cell>
          <cell r="BG47">
            <v>10.790500000000002</v>
          </cell>
          <cell r="BI47">
            <v>8.3527500000000039</v>
          </cell>
          <cell r="BJ47">
            <v>10.438750000000002</v>
          </cell>
          <cell r="BK47">
            <v>13.776</v>
          </cell>
          <cell r="BL47">
            <v>17.662749999999996</v>
          </cell>
          <cell r="BN47">
            <v>7.9576000000000144</v>
          </cell>
          <cell r="BP47">
            <v>22.400499999999994</v>
          </cell>
          <cell r="BQ47">
            <v>43.942120000000038</v>
          </cell>
          <cell r="BS47">
            <v>36.686440000000005</v>
          </cell>
          <cell r="BT47">
            <v>25.073600000000042</v>
          </cell>
          <cell r="BV47">
            <v>50.230250000000019</v>
          </cell>
          <cell r="BX47">
            <v>15.841000000000017</v>
          </cell>
          <cell r="BY47">
            <v>37.78201999999996</v>
          </cell>
          <cell r="CA47">
            <v>32.672220000000003</v>
          </cell>
          <cell r="CB47">
            <v>27.674199999999992</v>
          </cell>
          <cell r="CD47">
            <v>43.358000000000018</v>
          </cell>
        </row>
        <row r="48">
          <cell r="A48" t="str">
            <v>EPS Pro forma</v>
          </cell>
          <cell r="B48">
            <v>5.2326732673267345E-2</v>
          </cell>
          <cell r="C48">
            <v>-6.246973365617435E-2</v>
          </cell>
          <cell r="D48">
            <v>3.1929824561403482E-2</v>
          </cell>
          <cell r="E48">
            <v>1.7901251534094248E-2</v>
          </cell>
          <cell r="F48">
            <v>3.8852958478370891E-2</v>
          </cell>
          <cell r="H48">
            <v>6.0712530712530681E-2</v>
          </cell>
          <cell r="I48">
            <v>9.1355932203390378E-3</v>
          </cell>
          <cell r="J48">
            <v>4.5753012048192772E-2</v>
          </cell>
          <cell r="K48">
            <v>4.3016146731462666E-2</v>
          </cell>
          <cell r="L48">
            <v>5.4969027021253829E-2</v>
          </cell>
          <cell r="N48">
            <v>7.5626477541371209E-2</v>
          </cell>
          <cell r="O48">
            <v>3.3829431438127083E-2</v>
          </cell>
          <cell r="P48">
            <v>7.411764705882351E-2</v>
          </cell>
          <cell r="Q48">
            <v>7.2766894550211E-2</v>
          </cell>
          <cell r="R48">
            <v>7.8319915868871548E-2</v>
          </cell>
          <cell r="T48">
            <v>8.5790697674418645E-2</v>
          </cell>
          <cell r="U48">
            <v>6.1015930267508206E-2</v>
          </cell>
          <cell r="V48">
            <v>8.347483491482155E-2</v>
          </cell>
          <cell r="W48">
            <v>8.4808990614982524E-2</v>
          </cell>
          <cell r="X48">
            <v>8.9865784189885597E-2</v>
          </cell>
          <cell r="Z48">
            <v>9.3873130717297665E-2</v>
          </cell>
          <cell r="AA48">
            <v>7.3959052219921884E-2</v>
          </cell>
          <cell r="AB48">
            <v>9.1854860546980791E-2</v>
          </cell>
          <cell r="AC48">
            <v>9.0868884162890268E-2</v>
          </cell>
          <cell r="AD48">
            <v>9.7872257833554688E-2</v>
          </cell>
          <cell r="AF48">
            <v>0.10375838926174499</v>
          </cell>
          <cell r="AG48">
            <v>8.3615819209039599E-2</v>
          </cell>
          <cell r="AH48">
            <v>0.10702759399709535</v>
          </cell>
          <cell r="AI48">
            <v>0.10536244502489228</v>
          </cell>
          <cell r="AJ48">
            <v>0.12480258392409734</v>
          </cell>
          <cell r="AL48">
            <v>0.1188381429178671</v>
          </cell>
          <cell r="AM48">
            <v>0.10657033190336423</v>
          </cell>
          <cell r="AN48">
            <v>0.13045462146730694</v>
          </cell>
          <cell r="AO48">
            <v>0.13824032558237306</v>
          </cell>
          <cell r="AP48">
            <v>0.13554347682132814</v>
          </cell>
          <cell r="AR48">
            <v>0.15557813164485187</v>
          </cell>
          <cell r="AS48">
            <v>0.13504166666666673</v>
          </cell>
          <cell r="AT48">
            <v>0.15132314952301515</v>
          </cell>
          <cell r="AV48">
            <v>1.5930232558139551E-2</v>
          </cell>
          <cell r="AW48">
            <v>0.1452327850571507</v>
          </cell>
          <cell r="AX48">
            <v>5.2561216361306368E-2</v>
          </cell>
          <cell r="AZ48">
            <v>0.17372394366197183</v>
          </cell>
          <cell r="BA48">
            <v>-7.3097203117835326E-3</v>
          </cell>
          <cell r="BC48">
            <v>0.19877479999999992</v>
          </cell>
          <cell r="BD48">
            <v>0.11439668108394398</v>
          </cell>
          <cell r="BF48">
            <v>0.21554422310756968</v>
          </cell>
          <cell r="BG48">
            <v>0.11792896174863389</v>
          </cell>
          <cell r="BI48">
            <v>9.1286885245901686E-2</v>
          </cell>
          <cell r="BJ48">
            <v>0.11358813928182809</v>
          </cell>
          <cell r="BK48">
            <v>0.14941431670281996</v>
          </cell>
          <cell r="BL48">
            <v>0.18992204301075263</v>
          </cell>
          <cell r="BN48">
            <v>0.20812889051629477</v>
          </cell>
          <cell r="BP48">
            <v>0.47389229091767604</v>
          </cell>
          <cell r="BQ48">
            <v>0.5113106905613567</v>
          </cell>
          <cell r="BS48">
            <v>0.73329615526839176</v>
          </cell>
          <cell r="BT48">
            <v>0.28173296515923202</v>
          </cell>
          <cell r="BV48">
            <v>0.54509224091155739</v>
          </cell>
          <cell r="BX48">
            <v>0.41683277088143822</v>
          </cell>
          <cell r="BY48">
            <v>0.45014545247236981</v>
          </cell>
          <cell r="CA48">
            <v>0.65240707275432075</v>
          </cell>
          <cell r="CB48">
            <v>0.31360252747713491</v>
          </cell>
          <cell r="CD48">
            <v>0.47243802778534483</v>
          </cell>
        </row>
        <row r="49">
          <cell r="A49" t="str">
            <v>Avg shares (millions)</v>
          </cell>
          <cell r="B49">
            <v>40.4</v>
          </cell>
          <cell r="C49">
            <v>5.782</v>
          </cell>
          <cell r="D49">
            <v>28.5</v>
          </cell>
          <cell r="E49">
            <v>33.472520000000003</v>
          </cell>
          <cell r="F49">
            <v>69.832520000000002</v>
          </cell>
          <cell r="H49">
            <v>40.700000000000003</v>
          </cell>
          <cell r="I49">
            <v>5.9</v>
          </cell>
          <cell r="J49">
            <v>33.200000000000003</v>
          </cell>
          <cell r="K49">
            <v>38.274000000000001</v>
          </cell>
          <cell r="L49">
            <v>74.903999999999996</v>
          </cell>
          <cell r="N49">
            <v>42.3</v>
          </cell>
          <cell r="O49">
            <v>5.98</v>
          </cell>
          <cell r="P49">
            <v>34</v>
          </cell>
          <cell r="Q49">
            <v>39.142800000000001</v>
          </cell>
          <cell r="R49">
            <v>77.212800000000001</v>
          </cell>
          <cell r="T49">
            <v>43</v>
          </cell>
          <cell r="U49">
            <v>6.6539999999999999</v>
          </cell>
          <cell r="V49">
            <v>36.042000000000002</v>
          </cell>
          <cell r="W49">
            <v>41.76444</v>
          </cell>
          <cell r="X49">
            <v>80.464439999999996</v>
          </cell>
          <cell r="Z49">
            <v>43.399000000000001</v>
          </cell>
          <cell r="AA49">
            <v>8.6940000000000008</v>
          </cell>
          <cell r="AB49">
            <v>36.93</v>
          </cell>
          <cell r="AC49">
            <v>44.406840000000003</v>
          </cell>
          <cell r="AD49">
            <v>83.465940000000003</v>
          </cell>
          <cell r="AF49">
            <v>44.7</v>
          </cell>
          <cell r="AG49">
            <v>8.85</v>
          </cell>
          <cell r="AH49">
            <v>37.182000000000002</v>
          </cell>
          <cell r="AI49">
            <v>44.792999999999999</v>
          </cell>
          <cell r="AJ49">
            <v>84.212999999999994</v>
          </cell>
          <cell r="AL49">
            <v>42.345999999999997</v>
          </cell>
          <cell r="AM49">
            <v>8.8580000000000005</v>
          </cell>
          <cell r="AN49">
            <v>41.859000000000002</v>
          </cell>
          <cell r="AO49">
            <v>49.476880000000001</v>
          </cell>
          <cell r="AP49">
            <v>87.588279999999997</v>
          </cell>
          <cell r="AR49">
            <v>42.326000000000001</v>
          </cell>
          <cell r="AS49">
            <v>50.4</v>
          </cell>
          <cell r="AT49">
            <v>88.493400000000008</v>
          </cell>
          <cell r="AV49">
            <v>43</v>
          </cell>
          <cell r="AW49">
            <v>50.218000000000004</v>
          </cell>
          <cell r="AX49">
            <v>86.619</v>
          </cell>
          <cell r="AZ49">
            <v>49.7</v>
          </cell>
          <cell r="BA49">
            <v>87.24</v>
          </cell>
          <cell r="BC49">
            <v>50</v>
          </cell>
          <cell r="BD49">
            <v>90.632000000000005</v>
          </cell>
          <cell r="BF49">
            <v>50.2</v>
          </cell>
          <cell r="BG49">
            <v>91.5</v>
          </cell>
          <cell r="BI49">
            <v>91.5</v>
          </cell>
          <cell r="BJ49">
            <v>91.9</v>
          </cell>
          <cell r="BK49">
            <v>92.2</v>
          </cell>
          <cell r="BL49">
            <v>93</v>
          </cell>
          <cell r="BN49">
            <v>38.234000000000002</v>
          </cell>
          <cell r="BP49">
            <v>47.269179999999999</v>
          </cell>
          <cell r="BQ49">
            <v>85.940155000000004</v>
          </cell>
          <cell r="BS49">
            <v>50.029499999999999</v>
          </cell>
          <cell r="BT49">
            <v>88.997749999999996</v>
          </cell>
          <cell r="BV49">
            <v>92.15</v>
          </cell>
          <cell r="BX49">
            <v>38.003250000000001</v>
          </cell>
          <cell r="BY49">
            <v>83.932915000000008</v>
          </cell>
          <cell r="CA49">
            <v>50.079499999999996</v>
          </cell>
          <cell r="CB49">
            <v>88.246099999999998</v>
          </cell>
          <cell r="CD49">
            <v>91.774999999999991</v>
          </cell>
        </row>
        <row r="51">
          <cell r="A51" t="str">
            <v>As a % of Revenues</v>
          </cell>
          <cell r="BV51">
            <v>0.93478331725745312</v>
          </cell>
          <cell r="CD51">
            <v>0.50648667147553783</v>
          </cell>
        </row>
        <row r="52">
          <cell r="A52" t="str">
            <v>Revenues</v>
          </cell>
        </row>
        <row r="53">
          <cell r="A53" t="str">
            <v xml:space="preserve">  License</v>
          </cell>
          <cell r="B53">
            <v>0.74884437596302011</v>
          </cell>
          <cell r="C53">
            <v>0.69424582907728971</v>
          </cell>
          <cell r="D53">
            <v>0.58080808080808077</v>
          </cell>
          <cell r="E53">
            <v>0.59195975344452501</v>
          </cell>
          <cell r="F53">
            <v>0.65557990295820934</v>
          </cell>
          <cell r="H53">
            <v>0.72854030501089317</v>
          </cell>
          <cell r="I53">
            <v>0.67364138331880274</v>
          </cell>
          <cell r="J53">
            <v>0.63938973647711517</v>
          </cell>
          <cell r="K53">
            <v>0.64502217340005696</v>
          </cell>
          <cell r="L53">
            <v>0.69091239301686769</v>
          </cell>
          <cell r="N53">
            <v>0.7355825814044723</v>
          </cell>
          <cell r="O53">
            <v>0.69247415244049049</v>
          </cell>
          <cell r="P53">
            <v>0.62083333333333335</v>
          </cell>
          <cell r="Q53">
            <v>0.62750956458371288</v>
          </cell>
          <cell r="R53">
            <v>0.67351919833316798</v>
          </cell>
          <cell r="T53">
            <v>0.70415647921760383</v>
          </cell>
          <cell r="U53">
            <v>0.66703369301915871</v>
          </cell>
          <cell r="V53">
            <v>0.61177248677248675</v>
          </cell>
          <cell r="W53">
            <v>0.62302437717653369</v>
          </cell>
          <cell r="X53">
            <v>0.67485637894280448</v>
          </cell>
          <cell r="Z53">
            <v>0.70965523708311196</v>
          </cell>
          <cell r="AA53">
            <v>0.64725457570715472</v>
          </cell>
          <cell r="AB53">
            <v>0.62998434142966397</v>
          </cell>
          <cell r="AC53">
            <v>0.63524154740328731</v>
          </cell>
          <cell r="AD53">
            <v>0.66778268900910409</v>
          </cell>
          <cell r="AF53">
            <v>0.70130822480347299</v>
          </cell>
          <cell r="AG53">
            <v>0.7067039106145252</v>
          </cell>
          <cell r="AH53">
            <v>0.62451076320939336</v>
          </cell>
          <cell r="AI53">
            <v>0.62812637766348278</v>
          </cell>
          <cell r="AJ53">
            <v>0.66763609924566025</v>
          </cell>
          <cell r="AL53">
            <v>0.70566437268395976</v>
          </cell>
          <cell r="AM53">
            <v>0.60468117848544256</v>
          </cell>
          <cell r="AN53">
            <v>0.64566733839714774</v>
          </cell>
          <cell r="AO53">
            <v>0.65629720664669589</v>
          </cell>
          <cell r="AP53">
            <v>0.67727515071976374</v>
          </cell>
          <cell r="AR53">
            <v>0.70566437268395976</v>
          </cell>
          <cell r="AS53">
            <v>0.60468117848544256</v>
          </cell>
          <cell r="AT53">
            <v>0.65355006468636723</v>
          </cell>
          <cell r="AV53">
            <v>0.62222222222222223</v>
          </cell>
          <cell r="AW53">
            <v>0.64538296682817742</v>
          </cell>
          <cell r="AX53">
            <v>0.5798361250529116</v>
          </cell>
          <cell r="AZ53">
            <v>0.65217391304347827</v>
          </cell>
          <cell r="BA53">
            <v>0.61699658520968947</v>
          </cell>
          <cell r="BC53">
            <v>0.66666666666666663</v>
          </cell>
          <cell r="BD53">
            <v>0.58772142978640685</v>
          </cell>
          <cell r="BF53">
            <v>0.6607142857142857</v>
          </cell>
          <cell r="BG53">
            <v>0.5730337078651685</v>
          </cell>
          <cell r="BI53">
            <v>0.59493670886075944</v>
          </cell>
          <cell r="BJ53">
            <v>0.61111111111111116</v>
          </cell>
          <cell r="BK53">
            <v>0.61386138613861385</v>
          </cell>
          <cell r="BL53">
            <v>0.62727272727272732</v>
          </cell>
          <cell r="BP53">
            <v>0.63076362185550272</v>
          </cell>
          <cell r="BQ53">
            <v>0.66624800264873962</v>
          </cell>
          <cell r="BS53">
            <v>0.65689947327589715</v>
          </cell>
          <cell r="BT53">
            <v>0.5888925875898624</v>
          </cell>
          <cell r="BV53">
            <v>0.61315789473684212</v>
          </cell>
          <cell r="BX53">
            <v>0.62894173769686768</v>
          </cell>
          <cell r="BY53">
            <v>0.67200072113594589</v>
          </cell>
          <cell r="CA53">
            <v>0.64404024037687901</v>
          </cell>
          <cell r="CB53">
            <v>0.61031672587241415</v>
          </cell>
          <cell r="CD53">
            <v>0.59888579387186625</v>
          </cell>
        </row>
        <row r="54">
          <cell r="A54" t="str">
            <v xml:space="preserve">  Consult/support</v>
          </cell>
          <cell r="B54">
            <v>25.115562403697993</v>
          </cell>
          <cell r="C54">
            <v>30.575417092271024</v>
          </cell>
          <cell r="D54">
            <v>41.919191919191924</v>
          </cell>
          <cell r="E54">
            <v>40.804024655547501</v>
          </cell>
          <cell r="F54">
            <v>34.442009704179057</v>
          </cell>
          <cell r="H54">
            <v>27.145969498910677</v>
          </cell>
          <cell r="I54">
            <v>32.635861668119738</v>
          </cell>
          <cell r="J54">
            <v>36.061026352288486</v>
          </cell>
          <cell r="K54">
            <v>35.4977826599943</v>
          </cell>
          <cell r="L54">
            <v>30.908760698313241</v>
          </cell>
          <cell r="N54">
            <v>26.441741859552764</v>
          </cell>
          <cell r="O54">
            <v>30.752584755950952</v>
          </cell>
          <cell r="P54">
            <v>37.916666666666664</v>
          </cell>
          <cell r="Q54">
            <v>37.249043541628716</v>
          </cell>
          <cell r="R54">
            <v>32.648080166683208</v>
          </cell>
          <cell r="T54">
            <v>29.584352078239608</v>
          </cell>
          <cell r="U54">
            <v>33.296630698084115</v>
          </cell>
          <cell r="V54">
            <v>38.822751322751323</v>
          </cell>
          <cell r="W54">
            <v>37.697562282346638</v>
          </cell>
          <cell r="X54">
            <v>32.514362105719549</v>
          </cell>
          <cell r="Z54">
            <v>29.034476291688804</v>
          </cell>
          <cell r="AA54">
            <v>35.27454242928453</v>
          </cell>
          <cell r="AB54">
            <v>37.001565857033611</v>
          </cell>
          <cell r="AC54">
            <v>36.475845259671267</v>
          </cell>
          <cell r="AD54">
            <v>33.221731099089588</v>
          </cell>
          <cell r="AF54">
            <v>29.869177519652705</v>
          </cell>
          <cell r="AG54">
            <v>29.329608938547487</v>
          </cell>
          <cell r="AH54">
            <v>37.548923679060664</v>
          </cell>
          <cell r="AI54">
            <v>37.187362233651719</v>
          </cell>
          <cell r="AJ54">
            <v>33.236390075433974</v>
          </cell>
          <cell r="AL54">
            <v>29.433562731604017</v>
          </cell>
          <cell r="AM54">
            <v>39.531882151455726</v>
          </cell>
          <cell r="AN54">
            <v>35.433266160285228</v>
          </cell>
          <cell r="AO54">
            <v>34.370279335330409</v>
          </cell>
          <cell r="AP54">
            <v>32.272484928023623</v>
          </cell>
          <cell r="AR54">
            <v>29.433562731604017</v>
          </cell>
          <cell r="AS54">
            <v>39.531882151455726</v>
          </cell>
          <cell r="AT54">
            <v>34.644993531363284</v>
          </cell>
          <cell r="AV54">
            <v>37.777777777777779</v>
          </cell>
          <cell r="AW54">
            <v>35.461703317182263</v>
          </cell>
          <cell r="AX54">
            <v>42.016387494708837</v>
          </cell>
          <cell r="AZ54">
            <v>34.782608695652172</v>
          </cell>
          <cell r="BA54">
            <v>38.300341479031054</v>
          </cell>
          <cell r="BC54">
            <v>33.333333333333329</v>
          </cell>
          <cell r="BD54">
            <v>41.22785702135932</v>
          </cell>
          <cell r="BF54">
            <v>33.928571428571431</v>
          </cell>
          <cell r="BG54">
            <v>42.696629213483142</v>
          </cell>
          <cell r="BI54">
            <v>40.506329113924053</v>
          </cell>
          <cell r="BJ54">
            <v>38.888888888888893</v>
          </cell>
          <cell r="BK54">
            <v>38.613861386138616</v>
          </cell>
          <cell r="BL54">
            <v>37.272727272727273</v>
          </cell>
          <cell r="BP54">
            <v>36.923637814449727</v>
          </cell>
          <cell r="BQ54">
            <v>33.375199735126031</v>
          </cell>
          <cell r="BS54">
            <v>34.310052672410272</v>
          </cell>
          <cell r="BT54">
            <v>41.110741241013756</v>
          </cell>
          <cell r="BV54">
            <v>38.684210526315788</v>
          </cell>
          <cell r="BX54">
            <v>37.105826230313234</v>
          </cell>
          <cell r="BY54">
            <v>32.799927886405413</v>
          </cell>
          <cell r="CA54">
            <v>35.59597596231211</v>
          </cell>
          <cell r="CB54">
            <v>38.96832741275859</v>
          </cell>
          <cell r="CD54">
            <v>40.111420612813369</v>
          </cell>
        </row>
        <row r="55">
          <cell r="A55" t="str">
            <v>Gross Margin</v>
          </cell>
          <cell r="B55">
            <v>90.292758089368249</v>
          </cell>
          <cell r="C55">
            <v>84.337759618658509</v>
          </cell>
          <cell r="D55">
            <v>69.191919191919197</v>
          </cell>
          <cell r="E55">
            <v>70.821247280638147</v>
          </cell>
          <cell r="F55">
            <v>79.57948557416394</v>
          </cell>
          <cell r="H55">
            <v>90.457516339869272</v>
          </cell>
          <cell r="I55">
            <v>83.725661145015977</v>
          </cell>
          <cell r="J55">
            <v>71.983356449375862</v>
          </cell>
          <cell r="K55">
            <v>73.53838642743807</v>
          </cell>
          <cell r="L55">
            <v>80.94394878430839</v>
          </cell>
          <cell r="N55">
            <v>90.623774029030983</v>
          </cell>
          <cell r="O55">
            <v>83.842269776388562</v>
          </cell>
          <cell r="P55">
            <v>72.5</v>
          </cell>
          <cell r="Q55">
            <v>73.929677536891958</v>
          </cell>
          <cell r="R55">
            <v>81.456493699771798</v>
          </cell>
          <cell r="T55">
            <v>90.185120502968914</v>
          </cell>
          <cell r="U55">
            <v>86.258533362695445</v>
          </cell>
          <cell r="V55">
            <v>70.187519452225331</v>
          </cell>
          <cell r="W55">
            <v>72.090141976962229</v>
          </cell>
          <cell r="X55">
            <v>80.624706434945978</v>
          </cell>
          <cell r="Z55">
            <v>90.013440440096275</v>
          </cell>
          <cell r="AA55">
            <v>86.004806803475702</v>
          </cell>
          <cell r="AB55">
            <v>73.329449036815859</v>
          </cell>
          <cell r="AC55">
            <v>75.164052246734585</v>
          </cell>
          <cell r="AD55">
            <v>82.256894049346883</v>
          </cell>
          <cell r="AF55">
            <v>89.111815088583839</v>
          </cell>
          <cell r="AG55">
            <v>86.401058512202297</v>
          </cell>
          <cell r="AH55">
            <v>73.741962538440035</v>
          </cell>
          <cell r="AI55">
            <v>75.691403379867737</v>
          </cell>
          <cell r="AJ55">
            <v>82.632009451967647</v>
          </cell>
          <cell r="AL55">
            <v>87.66278454208576</v>
          </cell>
          <cell r="AM55">
            <v>75.134652138300766</v>
          </cell>
          <cell r="AN55">
            <v>73.94202449232678</v>
          </cell>
          <cell r="AO55">
            <v>76.111836546585764</v>
          </cell>
          <cell r="AP55">
            <v>82.170638012823133</v>
          </cell>
          <cell r="AR55">
            <v>87.66278454208576</v>
          </cell>
          <cell r="AS55">
            <v>75.134652138300766</v>
          </cell>
          <cell r="AT55">
            <v>81.197402297967187</v>
          </cell>
          <cell r="AV55">
            <v>84.355555555555554</v>
          </cell>
          <cell r="AW55">
            <v>75.116474096161014</v>
          </cell>
          <cell r="AX55">
            <v>76.895748926649333</v>
          </cell>
          <cell r="AZ55">
            <v>75.586956521739125</v>
          </cell>
          <cell r="BA55">
            <v>81.437413296339784</v>
          </cell>
          <cell r="BC55">
            <v>76.433333333333337</v>
          </cell>
          <cell r="BD55">
            <v>79.717153062960165</v>
          </cell>
          <cell r="BF55">
            <v>76.428571428571416</v>
          </cell>
          <cell r="BG55">
            <v>82.039325842696627</v>
          </cell>
          <cell r="BI55">
            <v>78.268987341772146</v>
          </cell>
          <cell r="BJ55">
            <v>78.847222222222229</v>
          </cell>
          <cell r="BK55">
            <v>79.485148514851488</v>
          </cell>
          <cell r="BL55">
            <v>80.484090909090909</v>
          </cell>
          <cell r="BP55">
            <v>75.533971232622278</v>
          </cell>
          <cell r="BQ55">
            <v>82.025638072753964</v>
          </cell>
          <cell r="BS55">
            <v>75.944734800538967</v>
          </cell>
          <cell r="BT55">
            <v>80.194096446473054</v>
          </cell>
          <cell r="BV55">
            <v>79.370394736842115</v>
          </cell>
          <cell r="BX55">
            <v>72.898032200357775</v>
          </cell>
          <cell r="BY55">
            <v>81.975128648301208</v>
          </cell>
          <cell r="CA55">
            <v>75.613288424510444</v>
          </cell>
          <cell r="CB55">
            <v>79.909184685446661</v>
          </cell>
          <cell r="CD55">
            <v>79.690807799442908</v>
          </cell>
        </row>
        <row r="56">
          <cell r="A56" t="str">
            <v>Operating expenses</v>
          </cell>
        </row>
        <row r="57">
          <cell r="A57" t="str">
            <v xml:space="preserve">  Sales &amp; mkting</v>
          </cell>
          <cell r="B57">
            <v>47.14946070878274</v>
          </cell>
          <cell r="C57">
            <v>47.871978209056856</v>
          </cell>
          <cell r="D57">
            <v>38.888888888888893</v>
          </cell>
          <cell r="E57">
            <v>39.56218274111675</v>
          </cell>
          <cell r="F57">
            <v>42.54447748734804</v>
          </cell>
          <cell r="H57">
            <v>45.185185185185183</v>
          </cell>
          <cell r="I57">
            <v>44.492879976750942</v>
          </cell>
          <cell r="J57">
            <v>38.834951456310684</v>
          </cell>
          <cell r="K57">
            <v>41.067578013751572</v>
          </cell>
          <cell r="L57">
            <v>43.755817385184692</v>
          </cell>
          <cell r="N57">
            <v>46.802667712828558</v>
          </cell>
          <cell r="O57">
            <v>41.572493387833617</v>
          </cell>
          <cell r="P57">
            <v>33.75</v>
          </cell>
          <cell r="Q57">
            <v>35.372563308435048</v>
          </cell>
          <cell r="R57">
            <v>39.841254092667924</v>
          </cell>
          <cell r="T57">
            <v>46.210268948655255</v>
          </cell>
          <cell r="U57">
            <v>45.144241356529392</v>
          </cell>
          <cell r="V57">
            <v>31.166355431061309</v>
          </cell>
          <cell r="W57">
            <v>32.614519153495849</v>
          </cell>
          <cell r="X57">
            <v>39.148029049391198</v>
          </cell>
          <cell r="Z57">
            <v>45.059856843684557</v>
          </cell>
          <cell r="AA57">
            <v>43.908300979848406</v>
          </cell>
          <cell r="AB57">
            <v>32.518844907323114</v>
          </cell>
          <cell r="AC57">
            <v>34.310355602774827</v>
          </cell>
          <cell r="AD57">
            <v>39.929410212429076</v>
          </cell>
          <cell r="AF57">
            <v>43.857796550510386</v>
          </cell>
          <cell r="AG57">
            <v>41.296677447809465</v>
          </cell>
          <cell r="AH57">
            <v>31.468409281520831</v>
          </cell>
          <cell r="AI57">
            <v>33.445995591476859</v>
          </cell>
          <cell r="AJ57">
            <v>39.074191887061104</v>
          </cell>
          <cell r="AL57">
            <v>40.13234515616729</v>
          </cell>
          <cell r="AM57">
            <v>33.262180744123704</v>
          </cell>
          <cell r="AN57">
            <v>31.278871492791815</v>
          </cell>
          <cell r="AO57">
            <v>33.023529712983581</v>
          </cell>
          <cell r="AP57">
            <v>38.072974340045661</v>
          </cell>
          <cell r="AR57">
            <v>40.13234515616729</v>
          </cell>
          <cell r="AS57">
            <v>33.262180744123704</v>
          </cell>
          <cell r="AT57">
            <v>36.586865465165438</v>
          </cell>
          <cell r="AV57">
            <v>48.888888888888886</v>
          </cell>
          <cell r="AW57">
            <v>33.733227730152812</v>
          </cell>
          <cell r="AX57">
            <v>43.1426498155651</v>
          </cell>
          <cell r="AZ57">
            <v>32.200000000000003</v>
          </cell>
          <cell r="BA57">
            <v>54.672660335076294</v>
          </cell>
          <cell r="BC57">
            <v>32.04</v>
          </cell>
          <cell r="BD57">
            <v>41.46599275872962</v>
          </cell>
          <cell r="BF57">
            <v>32.04</v>
          </cell>
          <cell r="BG57">
            <v>41.573033707865171</v>
          </cell>
          <cell r="BI57">
            <v>39.493670886075947</v>
          </cell>
          <cell r="BJ57">
            <v>38.888888888888893</v>
          </cell>
          <cell r="BK57">
            <v>37.821782178217823</v>
          </cell>
          <cell r="BL57">
            <v>36</v>
          </cell>
          <cell r="BP57">
            <v>33.471827643372563</v>
          </cell>
          <cell r="BQ57">
            <v>38.298400679459313</v>
          </cell>
          <cell r="BS57">
            <v>32.477951084071698</v>
          </cell>
          <cell r="BT57">
            <v>45.020517121073418</v>
          </cell>
          <cell r="BV57">
            <v>37.894736842105267</v>
          </cell>
          <cell r="BX57">
            <v>31.599670279560836</v>
          </cell>
          <cell r="BY57">
            <v>39.006400081519722</v>
          </cell>
          <cell r="CA57">
            <v>32.757398025713449</v>
          </cell>
          <cell r="CB57">
            <v>43.85437707924946</v>
          </cell>
          <cell r="CD57">
            <v>39.387186629526468</v>
          </cell>
        </row>
        <row r="58">
          <cell r="A58" t="str">
            <v xml:space="preserve">   R &amp; D</v>
          </cell>
          <cell r="B58">
            <v>18.335901386748844</v>
          </cell>
          <cell r="C58">
            <v>19.475655430711608</v>
          </cell>
          <cell r="D58">
            <v>16.161616161616163</v>
          </cell>
          <cell r="E58">
            <v>18.342095721537344</v>
          </cell>
          <cell r="F58">
            <v>18.826629102102569</v>
          </cell>
          <cell r="H58">
            <v>17.821350762527231</v>
          </cell>
          <cell r="I58">
            <v>16.419645451903516</v>
          </cell>
          <cell r="J58">
            <v>15.256588072122051</v>
          </cell>
          <cell r="K58">
            <v>14.589690386101955</v>
          </cell>
          <cell r="L58">
            <v>16.245544734273199</v>
          </cell>
          <cell r="N58">
            <v>18.203216947822671</v>
          </cell>
          <cell r="O58">
            <v>15.003606636210629</v>
          </cell>
          <cell r="P58">
            <v>16.666666666666664</v>
          </cell>
          <cell r="Q58">
            <v>16.902896702495902</v>
          </cell>
          <cell r="R58">
            <v>17.321162813771203</v>
          </cell>
          <cell r="T58">
            <v>18.127837932238911</v>
          </cell>
          <cell r="U58">
            <v>17.264919621228803</v>
          </cell>
          <cell r="V58">
            <v>15.985838779956426</v>
          </cell>
          <cell r="W58">
            <v>15.84851326011251</v>
          </cell>
          <cell r="X58">
            <v>16.932832315641143</v>
          </cell>
          <cell r="Z58">
            <v>17.644484731034911</v>
          </cell>
          <cell r="AA58">
            <v>17.618783508966537</v>
          </cell>
          <cell r="AB58">
            <v>16.368668293215833</v>
          </cell>
          <cell r="AC58">
            <v>16.495844009749387</v>
          </cell>
          <cell r="AD58">
            <v>17.266459955139201</v>
          </cell>
          <cell r="AF58">
            <v>16.713598498181391</v>
          </cell>
          <cell r="AG58">
            <v>17.921199647162599</v>
          </cell>
          <cell r="AH58">
            <v>15.585686329326251</v>
          </cell>
          <cell r="AI58">
            <v>15.908890521675239</v>
          </cell>
          <cell r="AJ58">
            <v>16.749977278923929</v>
          </cell>
          <cell r="AL58">
            <v>16.585494970884067</v>
          </cell>
          <cell r="AM58">
            <v>15.535257762664747</v>
          </cell>
          <cell r="AN58">
            <v>14.844210199968996</v>
          </cell>
          <cell r="AO58">
            <v>15.380085516040658</v>
          </cell>
          <cell r="AP58">
            <v>16.001585804317216</v>
          </cell>
          <cell r="AR58">
            <v>16.585494970884067</v>
          </cell>
          <cell r="AS58">
            <v>15.535257762664747</v>
          </cell>
          <cell r="AT58">
            <v>16.04349998078623</v>
          </cell>
          <cell r="AV58">
            <v>24.444444444444443</v>
          </cell>
          <cell r="AW58">
            <v>15.3</v>
          </cell>
          <cell r="AX58">
            <v>20.392150934268614</v>
          </cell>
          <cell r="AZ58">
            <v>15.21</v>
          </cell>
          <cell r="BA58">
            <v>23.3299541137552</v>
          </cell>
          <cell r="BC58">
            <v>15.04</v>
          </cell>
          <cell r="BD58">
            <v>18.06551162734187</v>
          </cell>
          <cell r="BF58">
            <v>15.04</v>
          </cell>
          <cell r="BG58">
            <v>19.101123595505616</v>
          </cell>
          <cell r="BI58">
            <v>19.240506329113924</v>
          </cell>
          <cell r="BJ58">
            <v>19.166666666666668</v>
          </cell>
          <cell r="BK58">
            <v>18.316831683168317</v>
          </cell>
          <cell r="BL58">
            <v>17.909090909090907</v>
          </cell>
          <cell r="BP58">
            <v>15.792478658347839</v>
          </cell>
          <cell r="BQ58">
            <v>16.467171462708912</v>
          </cell>
          <cell r="BS58">
            <v>15.206300273569884</v>
          </cell>
          <cell r="BT58">
            <v>20.116381048709755</v>
          </cell>
          <cell r="BV58">
            <v>18.592105263157897</v>
          </cell>
          <cell r="BX58">
            <v>15.654705531586515</v>
          </cell>
          <cell r="BY58">
            <v>16.697824442589351</v>
          </cell>
          <cell r="CA58">
            <v>15.331517004500133</v>
          </cell>
          <cell r="CB58">
            <v>19.361440308334249</v>
          </cell>
          <cell r="CD58">
            <v>18.927576601671309</v>
          </cell>
        </row>
        <row r="59">
          <cell r="A59" t="str">
            <v xml:space="preserve">   G &amp; A</v>
          </cell>
          <cell r="B59">
            <v>9.5531587057010796</v>
          </cell>
          <cell r="C59">
            <v>16.649642492339119</v>
          </cell>
          <cell r="D59">
            <v>8.5858585858585847</v>
          </cell>
          <cell r="E59">
            <v>9.9392675852066716</v>
          </cell>
          <cell r="F59">
            <v>9.738091511451973</v>
          </cell>
          <cell r="H59">
            <v>10.283224400871459</v>
          </cell>
          <cell r="I59">
            <v>16.652136006974715</v>
          </cell>
          <cell r="J59">
            <v>9.7087378640776709</v>
          </cell>
          <cell r="K59">
            <v>10.403189714797184</v>
          </cell>
          <cell r="L59">
            <v>10.027469409067177</v>
          </cell>
          <cell r="N59">
            <v>8.0031384856806582</v>
          </cell>
          <cell r="O59">
            <v>15.364270257273386</v>
          </cell>
          <cell r="P59">
            <v>8.3333333333333321</v>
          </cell>
          <cell r="Q59">
            <v>8.7083257423938782</v>
          </cell>
          <cell r="R59">
            <v>9.4255382478420469</v>
          </cell>
          <cell r="T59">
            <v>8.1732448480614721</v>
          </cell>
          <cell r="U59">
            <v>10.856639506716581</v>
          </cell>
          <cell r="V59">
            <v>8.9013383131030182</v>
          </cell>
          <cell r="W59">
            <v>9.1950174122689514</v>
          </cell>
          <cell r="X59">
            <v>8.6461682985872734</v>
          </cell>
          <cell r="Z59">
            <v>7.842340511986996</v>
          </cell>
          <cell r="AA59">
            <v>11.185061933814014</v>
          </cell>
          <cell r="AB59">
            <v>8.7360256363570166</v>
          </cell>
          <cell r="AC59">
            <v>9.0369351915505263</v>
          </cell>
          <cell r="AD59">
            <v>8.6291067423142884</v>
          </cell>
          <cell r="AF59">
            <v>8.1397395283350935</v>
          </cell>
          <cell r="AG59">
            <v>12.319905910026462</v>
          </cell>
          <cell r="AH59">
            <v>9.2186189544310881</v>
          </cell>
          <cell r="AI59">
            <v>9.5312270389419549</v>
          </cell>
          <cell r="AJ59">
            <v>8.712775303705051</v>
          </cell>
          <cell r="AL59">
            <v>7.0222339862361043</v>
          </cell>
          <cell r="AM59">
            <v>8.141179974682915</v>
          </cell>
          <cell r="AN59">
            <v>9.6977212835219344</v>
          </cell>
          <cell r="AO59">
            <v>10.154389738075121</v>
          </cell>
          <cell r="AP59">
            <v>9.2154369847844801</v>
          </cell>
          <cell r="AR59">
            <v>7.0222339862361043</v>
          </cell>
          <cell r="AS59">
            <v>8.141179974682915</v>
          </cell>
          <cell r="AT59">
            <v>7.5996874559684384</v>
          </cell>
          <cell r="AV59">
            <v>12.444444444444445</v>
          </cell>
          <cell r="AW59">
            <v>7.79</v>
          </cell>
          <cell r="AX59">
            <v>10.459877849670436</v>
          </cell>
          <cell r="AZ59">
            <v>7.45</v>
          </cell>
          <cell r="BA59">
            <v>10.940668018354497</v>
          </cell>
          <cell r="BC59">
            <v>7.2</v>
          </cell>
          <cell r="BD59">
            <v>8.2545622433358439</v>
          </cell>
          <cell r="BF59">
            <v>7</v>
          </cell>
          <cell r="BG59">
            <v>7.8651685393258424</v>
          </cell>
          <cell r="BI59">
            <v>8.8607594936708853</v>
          </cell>
          <cell r="BJ59">
            <v>8.2222222222222232</v>
          </cell>
          <cell r="BK59">
            <v>7.5247524752475243</v>
          </cell>
          <cell r="BL59">
            <v>7.0909090909090908</v>
          </cell>
          <cell r="BP59">
            <v>9.2045978276571301</v>
          </cell>
          <cell r="BQ59">
            <v>8.5141146155728613</v>
          </cell>
          <cell r="BS59">
            <v>7.6512800620636146</v>
          </cell>
          <cell r="BT59">
            <v>9.2551100754748372</v>
          </cell>
          <cell r="BV59">
            <v>7.8421052631578947</v>
          </cell>
          <cell r="BX59">
            <v>9.1664035918481872</v>
          </cell>
          <cell r="BY59">
            <v>8.8225496074904086</v>
          </cell>
          <cell r="CA59">
            <v>7.9631777246319713</v>
          </cell>
          <cell r="CB59">
            <v>9.2367599696176672</v>
          </cell>
          <cell r="CD59">
            <v>8.0779944289693599</v>
          </cell>
        </row>
        <row r="60">
          <cell r="A60" t="str">
            <v>Net income</v>
          </cell>
          <cell r="B60">
            <v>12.691319979455567</v>
          </cell>
          <cell r="C60">
            <v>1.8352059925093742</v>
          </cell>
          <cell r="D60">
            <v>4.5959595959595925</v>
          </cell>
          <cell r="E60">
            <v>2.7157360406091389</v>
          </cell>
          <cell r="F60">
            <v>7.0777899514791169</v>
          </cell>
          <cell r="H60">
            <v>13.938997821350771</v>
          </cell>
          <cell r="I60">
            <v>5.8791049113629761</v>
          </cell>
          <cell r="J60">
            <v>7.0226537216828495</v>
          </cell>
          <cell r="K60">
            <v>6.6984010740876441</v>
          </cell>
          <cell r="L60">
            <v>9.3473177597675239</v>
          </cell>
          <cell r="N60">
            <v>14.472342094939197</v>
          </cell>
          <cell r="O60">
            <v>9.7619620100985731</v>
          </cell>
          <cell r="P60">
            <v>10.499999999999996</v>
          </cell>
          <cell r="Q60">
            <v>10.378210967389322</v>
          </cell>
          <cell r="R60">
            <v>11.999801567615846</v>
          </cell>
          <cell r="T60">
            <v>14.22982885085575</v>
          </cell>
          <cell r="U60">
            <v>14.159876679145581</v>
          </cell>
          <cell r="V60">
            <v>11.704793028322435</v>
          </cell>
          <cell r="W60">
            <v>11.860433967318512</v>
          </cell>
          <cell r="X60">
            <v>13.063193265166021</v>
          </cell>
          <cell r="Z60">
            <v>14.496921201512835</v>
          </cell>
          <cell r="AA60">
            <v>13.680902200036984</v>
          </cell>
          <cell r="AB60">
            <v>12.352791231200614</v>
          </cell>
          <cell r="AC60">
            <v>12.60921192425474</v>
          </cell>
          <cell r="AD60">
            <v>13.47308352025334</v>
          </cell>
          <cell r="AF60">
            <v>14.760999648011264</v>
          </cell>
          <cell r="AG60">
            <v>13.878271096736261</v>
          </cell>
          <cell r="AH60">
            <v>13.906555772994128</v>
          </cell>
          <cell r="AI60">
            <v>13.870683321087437</v>
          </cell>
          <cell r="AJ60">
            <v>15.919900633160665</v>
          </cell>
          <cell r="AL60">
            <v>17.429857067231342</v>
          </cell>
          <cell r="AM60">
            <v>16.8931966541736</v>
          </cell>
          <cell r="AN60">
            <v>16.92977832894125</v>
          </cell>
          <cell r="AO60">
            <v>17.512097703356638</v>
          </cell>
          <cell r="AP60">
            <v>16.229914284542506</v>
          </cell>
          <cell r="AR60">
            <v>17.429857067231342</v>
          </cell>
          <cell r="AS60">
            <v>16.8931966541736</v>
          </cell>
          <cell r="AT60">
            <v>17.152903201014478</v>
          </cell>
          <cell r="AV60">
            <v>3.0444444444444474</v>
          </cell>
          <cell r="AW60">
            <v>16.989610510622427</v>
          </cell>
          <cell r="AX60">
            <v>6.8827477777105823</v>
          </cell>
          <cell r="AZ60">
            <v>18.769739130434786</v>
          </cell>
          <cell r="BA60">
            <v>-0.85062960196349824</v>
          </cell>
          <cell r="BC60">
            <v>19.48772549019607</v>
          </cell>
          <cell r="BD60">
            <v>12.596894515588183</v>
          </cell>
          <cell r="BF60">
            <v>19.321999999999999</v>
          </cell>
          <cell r="BG60">
            <v>12.124157303370788</v>
          </cell>
          <cell r="BI60">
            <v>10.573101265822791</v>
          </cell>
          <cell r="BJ60">
            <v>11.598611111111113</v>
          </cell>
          <cell r="BK60">
            <v>13.639603960396041</v>
          </cell>
          <cell r="BL60">
            <v>16.057045454545452</v>
          </cell>
          <cell r="BP60">
            <v>15.408982410764033</v>
          </cell>
          <cell r="BQ60">
            <v>15.814026804094045</v>
          </cell>
          <cell r="BS60">
            <v>18.72444979788494</v>
          </cell>
          <cell r="BT60">
            <v>8.0255551785725832</v>
          </cell>
          <cell r="BV60">
            <v>13.218486842105268</v>
          </cell>
          <cell r="BX60">
            <v>13.891227331719822</v>
          </cell>
          <cell r="BY60">
            <v>14.807593875047505</v>
          </cell>
          <cell r="CA60">
            <v>18.129377361736132</v>
          </cell>
          <cell r="CB60">
            <v>9.1791131410224498</v>
          </cell>
          <cell r="CD60">
            <v>12.077437325905297</v>
          </cell>
        </row>
        <row r="62">
          <cell r="A62" t="str">
            <v>Year Over Year Growth</v>
          </cell>
        </row>
        <row r="63">
          <cell r="A63" t="str">
            <v>Revenues</v>
          </cell>
        </row>
        <row r="64">
          <cell r="A64" t="str">
            <v xml:space="preserve">  License</v>
          </cell>
          <cell r="AB64">
            <v>50.434782608695649</v>
          </cell>
          <cell r="AD64">
            <v>61.111774302654112</v>
          </cell>
          <cell r="AH64">
            <v>29.219088937093261</v>
          </cell>
          <cell r="AJ64">
            <v>44.824866925149507</v>
          </cell>
          <cell r="AN64">
            <v>39.771812080536904</v>
          </cell>
          <cell r="AP64">
            <v>45.960756584762244</v>
          </cell>
          <cell r="AS64">
            <v>30.936257121358679</v>
          </cell>
          <cell r="AT64">
            <v>36.583145947103525</v>
          </cell>
          <cell r="AW64">
            <v>36.283142309016661</v>
          </cell>
          <cell r="AX64">
            <v>-5.2705673145792886</v>
          </cell>
          <cell r="AZ64">
            <v>40.370578326782706</v>
          </cell>
          <cell r="BA64">
            <v>4.9437335511389513</v>
          </cell>
          <cell r="BC64">
            <v>32.641516794756747</v>
          </cell>
          <cell r="BD64">
            <v>-2.3596140648338815</v>
          </cell>
          <cell r="BF64">
            <v>51.87587226007718</v>
          </cell>
          <cell r="BG64">
            <v>-4.3118654697971159E-2</v>
          </cell>
          <cell r="BI64">
            <v>22.539434232824938</v>
          </cell>
          <cell r="BJ64">
            <v>18.906064209274675</v>
          </cell>
          <cell r="BK64">
            <v>28.170673722944617</v>
          </cell>
          <cell r="BL64">
            <v>35.294117647058833</v>
          </cell>
          <cell r="BP64">
            <v>63.874542042712903</v>
          </cell>
          <cell r="BS64">
            <v>40.360539172919196</v>
          </cell>
          <cell r="BT64">
            <v>-0.6190278130384641</v>
          </cell>
          <cell r="BV64">
            <v>26.642135414685054</v>
          </cell>
          <cell r="CA64">
            <v>61.829006441538127</v>
          </cell>
          <cell r="CB64">
            <v>7.3146976315589862</v>
          </cell>
          <cell r="CD64">
            <v>16.844650960571727</v>
          </cell>
        </row>
        <row r="65">
          <cell r="A65" t="str">
            <v xml:space="preserve">  Consult/support</v>
          </cell>
          <cell r="AB65">
            <v>22.421686746987945</v>
          </cell>
          <cell r="AD65">
            <v>52.563811255017811</v>
          </cell>
          <cell r="AH65">
            <v>37.756410256410255</v>
          </cell>
          <cell r="AJ65">
            <v>61.160484759456502</v>
          </cell>
          <cell r="AN65">
            <v>25.593406593406609</v>
          </cell>
          <cell r="AP65">
            <v>43.481431957697644</v>
          </cell>
          <cell r="AS65">
            <v>41.472730502753606</v>
          </cell>
          <cell r="AT65">
            <v>50.277808645405052</v>
          </cell>
          <cell r="AW65">
            <v>30.412062023472981</v>
          </cell>
          <cell r="AX65">
            <v>37.978454053517339</v>
          </cell>
          <cell r="AZ65">
            <v>26.452224768829542</v>
          </cell>
          <cell r="BA65">
            <v>30.858627290128517</v>
          </cell>
          <cell r="BC65">
            <v>26.638855780691305</v>
          </cell>
          <cell r="BD65">
            <v>43.741263184648616</v>
          </cell>
          <cell r="BF65">
            <v>19.294280153198972</v>
          </cell>
          <cell r="BG65">
            <v>40.496173327910689</v>
          </cell>
          <cell r="BI65">
            <v>15.136904976073119</v>
          </cell>
          <cell r="BJ65">
            <v>21.89600529376936</v>
          </cell>
          <cell r="BK65">
            <v>14.932366722659363</v>
          </cell>
          <cell r="BL65">
            <v>7.8947368421052655</v>
          </cell>
          <cell r="BP65">
            <v>52.582506609056537</v>
          </cell>
          <cell r="BS65">
            <v>25.23613465730201</v>
          </cell>
          <cell r="BT65">
            <v>38.495131498075217</v>
          </cell>
          <cell r="BV65">
            <v>14.451218087963946</v>
          </cell>
          <cell r="CA65">
            <v>51.604669849222496</v>
          </cell>
          <cell r="CB65">
            <v>40.382363484287232</v>
          </cell>
          <cell r="CD65">
            <v>22.567795311781836</v>
          </cell>
        </row>
        <row r="66">
          <cell r="A66" t="str">
            <v>Total revenues</v>
          </cell>
          <cell r="AB66">
            <v>38.69191919191919</v>
          </cell>
          <cell r="AD66">
            <v>58.167684040277564</v>
          </cell>
          <cell r="AH66">
            <v>32.297734627831723</v>
          </cell>
          <cell r="AJ66">
            <v>49.874003950146452</v>
          </cell>
          <cell r="AN66">
            <v>34.395833333333336</v>
          </cell>
          <cell r="AP66">
            <v>45.151304692925876</v>
          </cell>
          <cell r="AS66">
            <v>33</v>
          </cell>
          <cell r="AT66">
            <v>41.035878165986176</v>
          </cell>
          <cell r="AW66">
            <v>33.5</v>
          </cell>
          <cell r="AX66">
            <v>9.0975062673175788</v>
          </cell>
          <cell r="AZ66">
            <v>34</v>
          </cell>
          <cell r="BA66">
            <v>13.556908721863747</v>
          </cell>
          <cell r="BC66">
            <v>34.5</v>
          </cell>
          <cell r="BD66">
            <v>12.51828459719202</v>
          </cell>
          <cell r="BF66">
            <v>35</v>
          </cell>
          <cell r="BG66">
            <v>14.001716430337275</v>
          </cell>
          <cell r="BI66">
            <v>19.429158855898908</v>
          </cell>
          <cell r="BJ66">
            <v>20.051221854657975</v>
          </cell>
          <cell r="BK66">
            <v>22.712803440818409</v>
          </cell>
          <cell r="BL66">
            <v>23.595505617977519</v>
          </cell>
          <cell r="BP66">
            <v>59.515658261461127</v>
          </cell>
          <cell r="BS66">
            <v>34.776058827980449</v>
          </cell>
          <cell r="BT66">
            <v>12.435400981761124</v>
          </cell>
          <cell r="BV66">
            <v>21.63035893759082</v>
          </cell>
          <cell r="CA66">
            <v>58.035181872391163</v>
          </cell>
          <cell r="CB66">
            <v>18.160868184971378</v>
          </cell>
          <cell r="CD66">
            <v>19.07486458965608</v>
          </cell>
        </row>
        <row r="67">
          <cell r="A67" t="str">
            <v>Operating expenses</v>
          </cell>
        </row>
        <row r="68">
          <cell r="A68" t="str">
            <v xml:space="preserve">  Sales &amp; mkting</v>
          </cell>
          <cell r="AB68">
            <v>15.974025974025974</v>
          </cell>
          <cell r="AD68">
            <v>48.445643509718586</v>
          </cell>
          <cell r="AH68">
            <v>7.202380952380949</v>
          </cell>
          <cell r="AJ68">
            <v>33.838331430943235</v>
          </cell>
          <cell r="AN68">
            <v>24.555555555555575</v>
          </cell>
          <cell r="AP68">
            <v>28.518689432395018</v>
          </cell>
          <cell r="AS68">
            <v>37.587268993839842</v>
          </cell>
          <cell r="AT68">
            <v>31.808952468850936</v>
          </cell>
          <cell r="AW68">
            <v>31.885245901639347</v>
          </cell>
          <cell r="AX68">
            <v>17.876910367616695</v>
          </cell>
          <cell r="AZ68">
            <v>30.158172231985937</v>
          </cell>
          <cell r="BA68">
            <v>58.888975034889143</v>
          </cell>
          <cell r="BC68">
            <v>26.689409210730332</v>
          </cell>
          <cell r="BD68">
            <v>22.545780969479345</v>
          </cell>
          <cell r="BF68">
            <v>34.318334452652799</v>
          </cell>
          <cell r="BG68">
            <v>29.538213773063049</v>
          </cell>
          <cell r="BI68">
            <v>9.3279136589810019</v>
          </cell>
          <cell r="BJ68">
            <v>-14.607070534559741</v>
          </cell>
          <cell r="BK68">
            <v>11.928272143924534</v>
          </cell>
          <cell r="BL68">
            <v>7.0270270270270219</v>
          </cell>
          <cell r="BP68">
            <v>51.063301356679382</v>
          </cell>
          <cell r="BS68">
            <v>30.774163053083715</v>
          </cell>
          <cell r="BT68">
            <v>32.170007235550038</v>
          </cell>
          <cell r="BV68">
            <v>2.378887198373314</v>
          </cell>
          <cell r="CA68">
            <v>63.825169973636761</v>
          </cell>
          <cell r="CB68">
            <v>32.84669332636696</v>
          </cell>
          <cell r="CD68">
            <v>6.9454003645522233</v>
          </cell>
        </row>
        <row r="69">
          <cell r="A69" t="str">
            <v xml:space="preserve">  R &amp; D</v>
          </cell>
          <cell r="AB69">
            <v>40.468749999999986</v>
          </cell>
          <cell r="AD69">
            <v>45.060274352223949</v>
          </cell>
          <cell r="AH69">
            <v>35.151515151515156</v>
          </cell>
          <cell r="AJ69">
            <v>54.527669088876472</v>
          </cell>
          <cell r="AN69">
            <v>19.700000000000006</v>
          </cell>
          <cell r="AP69">
            <v>24.87997439453753</v>
          </cell>
          <cell r="AS69">
            <v>32.241707162476253</v>
          </cell>
          <cell r="AT69">
            <v>33.628507414915191</v>
          </cell>
          <cell r="AW69">
            <v>26.993748816063643</v>
          </cell>
          <cell r="AX69">
            <v>28.847072308720989</v>
          </cell>
          <cell r="AZ69">
            <v>29.25549602808055</v>
          </cell>
          <cell r="BA69">
            <v>58.166033640803015</v>
          </cell>
          <cell r="BC69">
            <v>27.691027135009151</v>
          </cell>
          <cell r="BD69">
            <v>27.031183255019208</v>
          </cell>
          <cell r="BF69">
            <v>34.564626937210406</v>
          </cell>
          <cell r="BG69">
            <v>35.728542914171648</v>
          </cell>
          <cell r="BI69">
            <v>12.684409518867223</v>
          </cell>
          <cell r="BJ69">
            <v>-1.3722126929674006</v>
          </cell>
          <cell r="BK69">
            <v>24.419934091061933</v>
          </cell>
          <cell r="BL69">
            <v>15.882352941176459</v>
          </cell>
          <cell r="BP69">
            <v>57.149702238346237</v>
          </cell>
          <cell r="BS69">
            <v>29.773499433748583</v>
          </cell>
          <cell r="BT69">
            <v>37.351662040780639</v>
          </cell>
          <cell r="BV69">
            <v>12.414078411405317</v>
          </cell>
          <cell r="CA69">
            <v>54.772574501456425</v>
          </cell>
          <cell r="CB69">
            <v>37.009740640769849</v>
          </cell>
          <cell r="CD69">
            <v>16.40655782639233</v>
          </cell>
        </row>
        <row r="70">
          <cell r="A70" t="str">
            <v xml:space="preserve">  G &amp; A</v>
          </cell>
          <cell r="AB70">
            <v>41.117647058823522</v>
          </cell>
          <cell r="AD70">
            <v>40.155371015269203</v>
          </cell>
          <cell r="AH70">
            <v>25.619047619047606</v>
          </cell>
          <cell r="AJ70">
            <v>30.224134027620565</v>
          </cell>
          <cell r="AN70">
            <v>56.400000000000006</v>
          </cell>
          <cell r="AP70">
            <v>40.848307563727545</v>
          </cell>
          <cell r="AS70">
            <v>19.446467589220685</v>
          </cell>
          <cell r="AT70">
            <v>23.965733389051415</v>
          </cell>
          <cell r="AW70">
            <v>37.344398340248965</v>
          </cell>
          <cell r="AX70">
            <v>32.243883792048948</v>
          </cell>
          <cell r="AZ70">
            <v>5.6737588652482351</v>
          </cell>
          <cell r="BA70">
            <v>42.593880389429771</v>
          </cell>
          <cell r="BC70">
            <v>-7.413010590015146</v>
          </cell>
          <cell r="BD70">
            <v>0.78623349651387731</v>
          </cell>
          <cell r="BF70">
            <v>19.512195121951216</v>
          </cell>
          <cell r="BG70">
            <v>17.984156413281639</v>
          </cell>
          <cell r="BI70">
            <v>1.1706894059835271</v>
          </cell>
          <cell r="BJ70">
            <v>-9.7781029017312786</v>
          </cell>
          <cell r="BK70">
            <v>11.863408890197235</v>
          </cell>
          <cell r="BL70">
            <v>11.428571428571432</v>
          </cell>
          <cell r="BP70">
            <v>65.44263105835806</v>
          </cell>
          <cell r="BS70">
            <v>12.031985651296617</v>
          </cell>
          <cell r="BT70">
            <v>22.220813255558379</v>
          </cell>
          <cell r="BV70">
            <v>3.0606951409303251</v>
          </cell>
          <cell r="CA70">
            <v>37.290729933990249</v>
          </cell>
          <cell r="CB70">
            <v>23.708409222158068</v>
          </cell>
          <cell r="CD70">
            <v>4.1367423154266003</v>
          </cell>
        </row>
        <row r="71">
          <cell r="A71" t="str">
            <v>Operating income</v>
          </cell>
          <cell r="AB71">
            <v>292.09090909090946</v>
          </cell>
          <cell r="AD71">
            <v>206.83708038189059</v>
          </cell>
          <cell r="AH71">
            <v>182.42937853107341</v>
          </cell>
          <cell r="AJ71">
            <v>148.46089850249632</v>
          </cell>
          <cell r="AN71">
            <v>63.93939393939403</v>
          </cell>
          <cell r="AP71">
            <v>56.943181818181834</v>
          </cell>
          <cell r="AS71">
            <v>56.171693735498863</v>
          </cell>
          <cell r="AT71">
            <v>79.193181818181799</v>
          </cell>
          <cell r="AW71">
            <v>44.5849479910257</v>
          </cell>
          <cell r="AX71">
            <v>-80.738733313259132</v>
          </cell>
          <cell r="AZ71">
            <v>56.250437215809754</v>
          </cell>
          <cell r="BA71">
            <v>-147.10363301523515</v>
          </cell>
          <cell r="BC71">
            <v>56.041423570594958</v>
          </cell>
          <cell r="BD71">
            <v>-28.897255810585666</v>
          </cell>
          <cell r="BF71">
            <v>76.164017233694764</v>
          </cell>
          <cell r="BG71">
            <v>-27.611135772718587</v>
          </cell>
          <cell r="BI71">
            <v>308.15528921313336</v>
          </cell>
          <cell r="BJ71">
            <v>-290.37675493158019</v>
          </cell>
          <cell r="BK71">
            <v>56.619144602851136</v>
          </cell>
          <cell r="BL71">
            <v>82.501095050372271</v>
          </cell>
          <cell r="BP71">
            <v>146.94481281240394</v>
          </cell>
          <cell r="BS71">
            <v>59.365499008592252</v>
          </cell>
          <cell r="BT71">
            <v>-65.959719551748861</v>
          </cell>
          <cell r="BV71">
            <v>212.41798368231804</v>
          </cell>
          <cell r="CA71">
            <v>82.253336965404358</v>
          </cell>
          <cell r="CB71">
            <v>-50.851302785265041</v>
          </cell>
          <cell r="CD71">
            <v>107.21173620949705</v>
          </cell>
        </row>
        <row r="72">
          <cell r="A72" t="str">
            <v>Pro forma</v>
          </cell>
        </row>
        <row r="73">
          <cell r="A73" t="str">
            <v>Net income</v>
          </cell>
          <cell r="AB73">
            <v>272.76923076923111</v>
          </cell>
          <cell r="AD73">
            <v>201.08359133126902</v>
          </cell>
          <cell r="AH73">
            <v>161.98156682027647</v>
          </cell>
          <cell r="AJ73">
            <v>155.25817263321557</v>
          </cell>
          <cell r="AN73">
            <v>116.69444444444457</v>
          </cell>
          <cell r="AP73">
            <v>96.319349131016963</v>
          </cell>
          <cell r="AS73">
            <v>92.154150197628496</v>
          </cell>
          <cell r="AT73">
            <v>85.190153505739104</v>
          </cell>
          <cell r="AW73">
            <v>80.741970658207535</v>
          </cell>
          <cell r="AX73">
            <v>-44.267352185090061</v>
          </cell>
          <cell r="AZ73">
            <v>82.944803474944393</v>
          </cell>
          <cell r="BA73">
            <v>-106.06755470980013</v>
          </cell>
          <cell r="BC73">
            <v>45.309589601883005</v>
          </cell>
          <cell r="BD73">
            <v>-12.668610733472384</v>
          </cell>
          <cell r="BF73">
            <v>58.979738763755975</v>
          </cell>
          <cell r="BG73">
            <v>-19.420361284733822</v>
          </cell>
          <cell r="BI73">
            <v>83.464022140221658</v>
          </cell>
          <cell r="BJ73">
            <v>-1736.9374313940846</v>
          </cell>
          <cell r="BK73">
            <v>32.870370370370217</v>
          </cell>
          <cell r="BL73">
            <v>63.687966266623363</v>
          </cell>
          <cell r="BP73">
            <v>181.49819040916802</v>
          </cell>
          <cell r="BS73">
            <v>63.775094305930736</v>
          </cell>
          <cell r="BT73">
            <v>-42.939484940644604</v>
          </cell>
          <cell r="BV73">
            <v>100.33122487397077</v>
          </cell>
          <cell r="CA73">
            <v>106.25099425541298</v>
          </cell>
          <cell r="CB73">
            <v>-26.752989914250158</v>
          </cell>
          <cell r="CD73">
            <v>56.673002290942584</v>
          </cell>
        </row>
        <row r="74">
          <cell r="A74" t="str">
            <v>EPS</v>
          </cell>
          <cell r="AB74">
            <v>187.67731050428074</v>
          </cell>
          <cell r="AD74">
            <v>151.90426074770943</v>
          </cell>
          <cell r="AH74">
            <v>133.92469524052441</v>
          </cell>
          <cell r="AJ74">
            <v>127.04164633629462</v>
          </cell>
          <cell r="AN74">
            <v>76.010203567001483</v>
          </cell>
          <cell r="AP74">
            <v>73.063869282321647</v>
          </cell>
          <cell r="AS74">
            <v>59.230366600790553</v>
          </cell>
          <cell r="AT74">
            <v>68.387947523242758</v>
          </cell>
          <cell r="AW74">
            <v>59.826750812531706</v>
          </cell>
          <cell r="AX74">
            <v>-46.296103181052608</v>
          </cell>
          <cell r="AZ74">
            <v>64.882224991009736</v>
          </cell>
          <cell r="BA74">
            <v>-105.8570264188033</v>
          </cell>
          <cell r="BC74">
            <v>43.789302551632268</v>
          </cell>
          <cell r="BD74">
            <v>-15.601485392955961</v>
          </cell>
          <cell r="BF74">
            <v>59.61312417715736</v>
          </cell>
          <cell r="BG74">
            <v>-22.068128954256427</v>
          </cell>
          <cell r="BI74">
            <v>73.677269221462936</v>
          </cell>
          <cell r="BJ74">
            <v>-1653.9327694757339</v>
          </cell>
          <cell r="BK74">
            <v>30.610709407889324</v>
          </cell>
          <cell r="BL74">
            <v>61.047837778452021</v>
          </cell>
          <cell r="BP74">
            <v>127.6917393554136</v>
          </cell>
          <cell r="BS74">
            <v>54.738992239858788</v>
          </cell>
          <cell r="BT74">
            <v>-44.89984849526153</v>
          </cell>
          <cell r="BV74">
            <v>93.478331725745306</v>
          </cell>
          <cell r="CA74">
            <v>56.515302617578513</v>
          </cell>
          <cell r="CB74">
            <v>-30.333067732949271</v>
          </cell>
          <cell r="CD74">
            <v>50.64866714755378</v>
          </cell>
        </row>
        <row r="75">
          <cell r="A75" t="str">
            <v>Avg. shares out</v>
          </cell>
          <cell r="AB75">
            <v>29.578947368421062</v>
          </cell>
          <cell r="AH75">
            <v>11.993975903614462</v>
          </cell>
          <cell r="AN75">
            <v>23.114705882352936</v>
          </cell>
          <cell r="AS75">
            <v>20.676824590488941</v>
          </cell>
          <cell r="AW75">
            <v>13.08618221877531</v>
          </cell>
          <cell r="AZ75">
            <v>10.954836693233316</v>
          </cell>
          <cell r="BC75">
            <v>1.0573019155613705</v>
          </cell>
          <cell r="BF75">
            <v>-0.39682539682538431</v>
          </cell>
          <cell r="BJ75">
            <v>5.3415864282439385</v>
          </cell>
          <cell r="BK75">
            <v>1.7300732633065641</v>
          </cell>
          <cell r="BL75">
            <v>1.6393442622950838</v>
          </cell>
          <cell r="BP75">
            <v>23.63127059685095</v>
          </cell>
          <cell r="BS75">
            <v>5.8395766543866356</v>
          </cell>
          <cell r="BT75">
            <v>3.557818810077773</v>
          </cell>
          <cell r="BV75">
            <v>3.5419434760991297</v>
          </cell>
          <cell r="CA75">
            <v>31.776887503042484</v>
          </cell>
          <cell r="CB75">
            <v>5.1388480907639034</v>
          </cell>
          <cell r="CD75">
            <v>3.9989302643402835</v>
          </cell>
        </row>
      </sheetData>
      <sheetData sheetId="1" refreshError="1">
        <row r="38">
          <cell r="BC38">
            <v>0.63585757558438549</v>
          </cell>
          <cell r="BD38">
            <v>0.9082975388598975</v>
          </cell>
        </row>
      </sheetData>
      <sheetData sheetId="2"/>
      <sheetData sheetId="3"/>
      <sheetData sheetId="4"/>
      <sheetData sheetId="5"/>
      <sheetData sheetId="6"/>
      <sheetData sheetId="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FAME Persistence"/>
      <sheetName val="Q4 - 98"/>
      <sheetName val="Q3 - 98"/>
      <sheetName val="Pre annc."/>
      <sheetName val="Q2 - 98"/>
      <sheetName val="Pre-Talkdown"/>
      <sheetName val="Q1 - 98"/>
      <sheetName val="Q4 - 97"/>
      <sheetName val="Q3 - 97"/>
      <sheetName val="Q2 - 97"/>
      <sheetName val="Q1 - 97"/>
      <sheetName val="Evolution exhibit"/>
      <sheetName val="Valuation"/>
      <sheetName val="Q4 - 96"/>
      <sheetName val="Q1 - 99"/>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Exhibit list"/>
      <sheetName val="initiation charts"/>
      <sheetName val="Exhibits"/>
      <sheetName val="QUICK SUMMARY"/>
      <sheetName val="SENSITIVITY"/>
      <sheetName val="peak and trough"/>
      <sheetName val="Job posting"/>
      <sheetName val="Recent Acquisition"/>
      <sheetName val="Disclosure"/>
      <sheetName val="COMP"/>
      <sheetName val="CF COMP"/>
      <sheetName val="LINKS&amp;INPUTS"/>
      <sheetName val="Earnings Cheat Sheet"/>
      <sheetName val="Upside_Downside"/>
      <sheetName val="RBC TDC Model"/>
    </sheetNames>
    <sheetDataSet>
      <sheetData sheetId="0"/>
      <sheetData sheetId="1" refreshError="1">
        <row r="8">
          <cell r="A8" t="str">
            <v>Consulting services and other revenues</v>
          </cell>
          <cell r="Z8">
            <v>0</v>
          </cell>
          <cell r="AA8">
            <v>0</v>
          </cell>
          <cell r="AB8">
            <v>0</v>
          </cell>
          <cell r="AC8">
            <v>0</v>
          </cell>
          <cell r="AD8">
            <v>104</v>
          </cell>
          <cell r="AE8">
            <v>109</v>
          </cell>
          <cell r="AF8">
            <v>110</v>
          </cell>
          <cell r="AG8">
            <v>117</v>
          </cell>
          <cell r="AH8">
            <v>112</v>
          </cell>
          <cell r="AI8">
            <v>115</v>
          </cell>
          <cell r="AJ8">
            <v>115</v>
          </cell>
          <cell r="AK8">
            <v>125</v>
          </cell>
          <cell r="AL8">
            <v>126</v>
          </cell>
          <cell r="AM8">
            <v>135</v>
          </cell>
          <cell r="AN8">
            <v>139</v>
          </cell>
          <cell r="AO8">
            <v>145</v>
          </cell>
          <cell r="AP8">
            <v>140</v>
          </cell>
          <cell r="AQ8">
            <v>151</v>
          </cell>
          <cell r="AR8">
            <v>147</v>
          </cell>
          <cell r="AS8">
            <v>153.70000000000002</v>
          </cell>
          <cell r="AT8">
            <v>149.99999999999997</v>
          </cell>
          <cell r="AU8">
            <v>160</v>
          </cell>
          <cell r="AV8">
            <v>161.70000000000002</v>
          </cell>
          <cell r="AW8">
            <v>169.07000000000002</v>
          </cell>
          <cell r="AX8">
            <v>164.99999999999997</v>
          </cell>
          <cell r="AY8">
            <v>176</v>
          </cell>
          <cell r="AZ8">
            <v>177.87000000000003</v>
          </cell>
          <cell r="BA8">
            <v>185.97700000000003</v>
          </cell>
          <cell r="BW8">
            <v>0</v>
          </cell>
          <cell r="BX8">
            <v>0</v>
          </cell>
          <cell r="BY8">
            <v>440</v>
          </cell>
          <cell r="BZ8">
            <v>467</v>
          </cell>
          <cell r="CA8">
            <v>545</v>
          </cell>
          <cell r="CB8">
            <v>591.70000000000005</v>
          </cell>
          <cell r="CC8">
            <v>640.7700000000001</v>
          </cell>
          <cell r="CD8">
            <v>704.84699999999998</v>
          </cell>
        </row>
        <row r="26">
          <cell r="A26" t="str">
            <v>Earnings per Share (U.S.$)</v>
          </cell>
          <cell r="Z26">
            <v>0.24684585847504112</v>
          </cell>
          <cell r="AA26">
            <v>0.39735099337748347</v>
          </cell>
          <cell r="AB26">
            <v>0.38461538461538458</v>
          </cell>
          <cell r="AC26">
            <v>0.47132311186825671</v>
          </cell>
          <cell r="AD26">
            <v>0.27538726333907054</v>
          </cell>
          <cell r="AE26">
            <v>0.37952846463484763</v>
          </cell>
          <cell r="AF26">
            <v>0.40206777713957498</v>
          </cell>
          <cell r="AG26">
            <v>0.50230946882217098</v>
          </cell>
          <cell r="AH26">
            <v>0.41055718475073316</v>
          </cell>
          <cell r="AI26">
            <v>0.45936395759717313</v>
          </cell>
          <cell r="AJ26">
            <v>0.46443268665490889</v>
          </cell>
          <cell r="AK26">
            <v>0.52631578947368418</v>
          </cell>
          <cell r="AL26">
            <v>0.47729918509895225</v>
          </cell>
          <cell r="AM26">
            <v>0.59744779582366592</v>
          </cell>
          <cell r="AN26">
            <v>0.58823529411764708</v>
          </cell>
          <cell r="AO26">
            <v>0.65966141272621126</v>
          </cell>
          <cell r="AP26">
            <v>0.60023310023310028</v>
          </cell>
          <cell r="AQ26">
            <v>0.76610562971561225</v>
          </cell>
          <cell r="AR26">
            <v>0.69025522041763343</v>
          </cell>
          <cell r="AS26">
            <v>0.73977744779582377</v>
          </cell>
          <cell r="AT26">
            <v>0.67523261112709043</v>
          </cell>
          <cell r="AU26">
            <v>0.77604232074625457</v>
          </cell>
          <cell r="AV26">
            <v>0.76977264893748132</v>
          </cell>
          <cell r="AW26">
            <v>0.8816189416081075</v>
          </cell>
          <cell r="AX26">
            <v>0.80487043268343939</v>
          </cell>
          <cell r="AY26">
            <v>0.87606083796925283</v>
          </cell>
          <cell r="AZ26">
            <v>0.86039277777138712</v>
          </cell>
          <cell r="BA26">
            <v>1.0289307968501953</v>
          </cell>
          <cell r="BB26" t="e">
            <v>#REF!</v>
          </cell>
          <cell r="BC26" t="e">
            <v>#REF!</v>
          </cell>
          <cell r="BD26" t="e">
            <v>#REF!</v>
          </cell>
          <cell r="BE26" t="e">
            <v>#REF!</v>
          </cell>
          <cell r="BF26" t="e">
            <v>#REF!</v>
          </cell>
          <cell r="BG26" t="e">
            <v>#REF!</v>
          </cell>
          <cell r="BH26" t="e">
            <v>#REF!</v>
          </cell>
          <cell r="BI26" t="e">
            <v>#REF!</v>
          </cell>
          <cell r="BJ26" t="e">
            <v>#REF!</v>
          </cell>
          <cell r="BK26" t="e">
            <v>#REF!</v>
          </cell>
          <cell r="BL26" t="e">
            <v>#REF!</v>
          </cell>
          <cell r="BM26" t="e">
            <v>#REF!</v>
          </cell>
          <cell r="BN26" t="e">
            <v>#REF!</v>
          </cell>
          <cell r="BO26" t="e">
            <v>#REF!</v>
          </cell>
          <cell r="BP26" t="e">
            <v>#REF!</v>
          </cell>
          <cell r="BQ26" t="e">
            <v>#REF!</v>
          </cell>
          <cell r="BR26" t="e">
            <v>#REF!</v>
          </cell>
          <cell r="BS26" t="e">
            <v>#REF!</v>
          </cell>
          <cell r="BT26" t="e">
            <v>#REF!</v>
          </cell>
          <cell r="BU26" t="e">
            <v>#REF!</v>
          </cell>
          <cell r="BV26" t="e">
            <v>#REF!</v>
          </cell>
          <cell r="BW26">
            <v>0</v>
          </cell>
          <cell r="BX26">
            <v>1.4965229485396383</v>
          </cell>
          <cell r="BY26">
            <v>1.5585909417685118</v>
          </cell>
          <cell r="BZ26">
            <v>1.8331646667630475</v>
          </cell>
          <cell r="CA26">
            <v>2.3224679860302677</v>
          </cell>
          <cell r="CB26">
            <v>2.7967918222738497</v>
          </cell>
          <cell r="CC26">
            <v>3.102666522418934</v>
          </cell>
          <cell r="CD26">
            <v>3.5702548452742748</v>
          </cell>
          <cell r="CE26">
            <v>0</v>
          </cell>
          <cell r="CF26">
            <v>0</v>
          </cell>
          <cell r="CG26">
            <v>0</v>
          </cell>
          <cell r="CH26">
            <v>0</v>
          </cell>
          <cell r="CK26">
            <v>0.14130329070965897</v>
          </cell>
          <cell r="CW26" t="str">
            <v xml:space="preserve">      % of Revenue</v>
          </cell>
          <cell r="CZ26">
            <v>0.29081334113516677</v>
          </cell>
          <cell r="DA26">
            <v>0.27685950413223143</v>
          </cell>
          <cell r="DB26">
            <v>0.29164918170373477</v>
          </cell>
          <cell r="DC26">
            <v>0.29003169332930878</v>
          </cell>
          <cell r="DD26">
            <v>0.29275445165936975</v>
          </cell>
          <cell r="DE26">
            <v>0.28344851098542417</v>
          </cell>
        </row>
        <row r="546">
          <cell r="A546" t="str">
            <v>Proceeds from sales and maturities of short-term investments</v>
          </cell>
          <cell r="Z546">
            <v>0</v>
          </cell>
          <cell r="AA546">
            <v>0</v>
          </cell>
          <cell r="AB546">
            <v>0</v>
          </cell>
          <cell r="AC546">
            <v>50</v>
          </cell>
          <cell r="AD546">
            <v>0</v>
          </cell>
          <cell r="AE546">
            <v>65</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X546">
            <v>50</v>
          </cell>
          <cell r="BY546">
            <v>65</v>
          </cell>
          <cell r="BZ546">
            <v>0</v>
          </cell>
          <cell r="CA546">
            <v>0</v>
          </cell>
          <cell r="CB546">
            <v>0</v>
          </cell>
          <cell r="CC546">
            <v>0</v>
          </cell>
          <cell r="CD546">
            <v>0</v>
          </cell>
          <cell r="CE546">
            <v>0</v>
          </cell>
          <cell r="CF546">
            <v>0</v>
          </cell>
          <cell r="CG546">
            <v>0</v>
          </cell>
          <cell r="CH546">
            <v>0</v>
          </cell>
        </row>
      </sheetData>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iesLines"/>
      <sheetName val="Input"/>
      <sheetName val="DebtInput"/>
      <sheetName val="IncStatement"/>
      <sheetName val="BalanceSheet"/>
      <sheetName val="CashFlow"/>
      <sheetName val="DebtSchedule"/>
      <sheetName val="NWI"/>
      <sheetName val="OperatingRatios"/>
      <sheetName val="CreditRatios"/>
      <sheetName val="IncStat(PctofSales)"/>
      <sheetName val="Reconciliations"/>
      <sheetName val="ValuationInput"/>
      <sheetName val="Valuation"/>
      <sheetName val="ValuationSummary"/>
      <sheetName val="Storage"/>
      <sheetName val="XLMMacros"/>
      <sheetName val="DialogBanner"/>
      <sheetName val="DialogCheck"/>
      <sheetName val="DialogExport"/>
      <sheetName val="DialogGoTo"/>
      <sheetName val="DialogImbalance"/>
      <sheetName val="DialogImport"/>
      <sheetName val="DialogPrint"/>
      <sheetName val="DialogPrintAlert"/>
      <sheetName val="DialogSettings"/>
      <sheetName val="DialogSkipFactor"/>
      <sheetName val="DialogTV"/>
      <sheetName val="DialogWarning"/>
      <sheetName val="DialogWelcome"/>
      <sheetName val="ProImportExport"/>
      <sheetName val="ProSetPeriods"/>
      <sheetName val="ProTV"/>
      <sheetName val="ProUtil"/>
      <sheetName val="ProPrint"/>
    </sheetNames>
    <sheetDataSet>
      <sheetData sheetId="0" refreshError="1"/>
      <sheetData sheetId="1" refreshError="1">
        <row r="1">
          <cell r="C1" t="str">
            <v>Anyco</v>
          </cell>
        </row>
        <row r="4">
          <cell r="C4" t="str">
            <v>$ millions</v>
          </cell>
        </row>
      </sheetData>
      <sheetData sheetId="2"/>
      <sheetData sheetId="3"/>
      <sheetData sheetId="4"/>
      <sheetData sheetId="5"/>
      <sheetData sheetId="6" refreshError="1"/>
      <sheetData sheetId="7" refreshError="1"/>
      <sheetData sheetId="8" refreshError="1"/>
      <sheetData sheetId="9"/>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Model"/>
      <sheetName val="Revs"/>
      <sheetName val="LaRonde"/>
      <sheetName val="Valuation-NAV"/>
      <sheetName val="PubFin"/>
      <sheetName val="Charts"/>
      <sheetName val="Vezza"/>
      <sheetName val="Goldex"/>
      <sheetName val="DS_Key_Information"/>
      <sheetName val="DS_Quarterly_Estimates_Data"/>
      <sheetName val="DS_Valuation_Measures"/>
      <sheetName val="DS_Income_Statement"/>
      <sheetName val="DS_Cash_Flow"/>
      <sheetName val="DS_Balance_Sheet"/>
      <sheetName val="DS_Industry_Specif"/>
      <sheetName val="RBCGold"/>
    </sheetNames>
    <sheetDataSet>
      <sheetData sheetId="0"/>
      <sheetData sheetId="1" refreshError="1">
        <row r="57">
          <cell r="AR57">
            <v>149.82123199764209</v>
          </cell>
          <cell r="AS57">
            <v>149.82123199764209</v>
          </cell>
          <cell r="AT57">
            <v>187.87848333938368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 Sum"/>
      <sheetName val="OnePager"/>
      <sheetName val="Output"/>
      <sheetName val="EPS Model"/>
      <sheetName val="xPeers"/>
      <sheetName val="exhibits"/>
      <sheetName val="Long Canyon"/>
      <sheetName val="Investments"/>
      <sheetName val="Michelin"/>
      <sheetName val="AuCu Val"/>
      <sheetName val="Val Detail"/>
      <sheetName val="OptionsWarrants"/>
      <sheetName val="LC Val"/>
      <sheetName val="AXU Target Price"/>
      <sheetName val="XAU Acq"/>
      <sheetName val="Nthblnd"/>
      <sheetName val="Cu Comps"/>
      <sheetName val="Halilaga"/>
      <sheetName val="FinStat"/>
      <sheetName val="Output for T&amp;V"/>
      <sheetName val="Output for Cheat Sheet"/>
      <sheetName val="RBCCM_Key_Information"/>
      <sheetName val="RBCCM_Valuation_Measures"/>
      <sheetName val="RBCCM_Quarterly_Estimates_Data"/>
      <sheetName val="RBCCM_Income_Statement"/>
      <sheetName val="RBCCM_Cash_Flow"/>
      <sheetName val="RBCCM_Balance_Sheet"/>
      <sheetName val="RBCCM_Industry_Specif"/>
      <sheetName val="GoldCompSheet"/>
    </sheetNames>
    <sheetDataSet>
      <sheetData sheetId="0"/>
      <sheetData sheetId="1"/>
      <sheetData sheetId="2" refreshError="1">
        <row r="13">
          <cell r="Q13">
            <v>14.54</v>
          </cell>
        </row>
      </sheetData>
      <sheetData sheetId="3" refreshError="1">
        <row r="17">
          <cell r="H17">
            <v>48975467</v>
          </cell>
          <cell r="I17">
            <v>55038852</v>
          </cell>
          <cell r="J17">
            <v>59530825</v>
          </cell>
          <cell r="K17">
            <v>60423304</v>
          </cell>
          <cell r="L17">
            <v>55944336</v>
          </cell>
          <cell r="M17">
            <v>62795316</v>
          </cell>
          <cell r="N17">
            <v>67795165</v>
          </cell>
          <cell r="O17">
            <v>68847806</v>
          </cell>
          <cell r="P17">
            <v>70692759</v>
          </cell>
          <cell r="Q17">
            <v>67532761.5</v>
          </cell>
          <cell r="R17">
            <v>83186606</v>
          </cell>
          <cell r="S17">
            <v>83208907</v>
          </cell>
          <cell r="T17">
            <v>83226050</v>
          </cell>
          <cell r="U17">
            <v>83275668</v>
          </cell>
          <cell r="V17">
            <v>83224307.75</v>
          </cell>
          <cell r="W17">
            <v>100903019</v>
          </cell>
          <cell r="X17">
            <v>117554000</v>
          </cell>
          <cell r="Y17">
            <v>118765666</v>
          </cell>
          <cell r="Z17">
            <v>119248025</v>
          </cell>
          <cell r="AA17">
            <v>112383585</v>
          </cell>
          <cell r="AB17">
            <v>119823959</v>
          </cell>
          <cell r="AC17">
            <v>120244000</v>
          </cell>
          <cell r="AD17">
            <v>120665914</v>
          </cell>
          <cell r="AE17">
            <v>135635856</v>
          </cell>
          <cell r="AF17">
            <v>124092432.25</v>
          </cell>
          <cell r="AG17">
            <v>150567856</v>
          </cell>
          <cell r="AH17">
            <v>150567856</v>
          </cell>
          <cell r="AI17">
            <v>150567856</v>
          </cell>
          <cell r="AJ17">
            <v>150567856</v>
          </cell>
          <cell r="AK17">
            <v>150567856</v>
          </cell>
          <cell r="AL17">
            <v>150567856</v>
          </cell>
          <cell r="AM17">
            <v>150567856</v>
          </cell>
          <cell r="AN17">
            <v>150567856</v>
          </cell>
          <cell r="AO17">
            <v>150567856</v>
          </cell>
          <cell r="AP17">
            <v>150567856</v>
          </cell>
          <cell r="AQ17">
            <v>150567856</v>
          </cell>
          <cell r="AR17">
            <v>150567856</v>
          </cell>
          <cell r="AS17">
            <v>150567856</v>
          </cell>
          <cell r="AT17">
            <v>150567856</v>
          </cell>
          <cell r="AU17">
            <v>150567856</v>
          </cell>
        </row>
        <row r="18">
          <cell r="H18">
            <v>54534498</v>
          </cell>
          <cell r="I18">
            <v>55038852</v>
          </cell>
          <cell r="J18">
            <v>59530825</v>
          </cell>
          <cell r="K18">
            <v>66547881.5</v>
          </cell>
          <cell r="L18">
            <v>59991201</v>
          </cell>
          <cell r="M18">
            <v>65971831</v>
          </cell>
          <cell r="N18">
            <v>67795165</v>
          </cell>
          <cell r="O18">
            <v>68847806</v>
          </cell>
          <cell r="P18">
            <v>73245070</v>
          </cell>
          <cell r="Q18">
            <v>68964968</v>
          </cell>
          <cell r="R18">
            <v>83186606</v>
          </cell>
          <cell r="S18">
            <v>83208907</v>
          </cell>
          <cell r="T18">
            <v>83226050</v>
          </cell>
          <cell r="U18">
            <v>83275668</v>
          </cell>
          <cell r="V18">
            <v>83224307.75</v>
          </cell>
          <cell r="W18">
            <v>106624919</v>
          </cell>
          <cell r="X18">
            <v>122272000</v>
          </cell>
          <cell r="Y18">
            <v>126257407</v>
          </cell>
          <cell r="Z18">
            <v>126666008.5</v>
          </cell>
          <cell r="AA18">
            <v>113854359</v>
          </cell>
          <cell r="AB18">
            <v>127595864</v>
          </cell>
          <cell r="AC18">
            <v>120244000</v>
          </cell>
          <cell r="AD18">
            <v>120665914</v>
          </cell>
          <cell r="AE18">
            <v>148983660</v>
          </cell>
          <cell r="AF18">
            <v>129372359.5</v>
          </cell>
          <cell r="AG18">
            <v>163915660</v>
          </cell>
          <cell r="AH18">
            <v>163915660</v>
          </cell>
          <cell r="AI18">
            <v>163915660</v>
          </cell>
          <cell r="AJ18">
            <v>163915660</v>
          </cell>
          <cell r="AK18">
            <v>163915660</v>
          </cell>
          <cell r="AL18">
            <v>163915660</v>
          </cell>
          <cell r="AM18">
            <v>163915660</v>
          </cell>
          <cell r="AN18">
            <v>163915660</v>
          </cell>
          <cell r="AO18">
            <v>163915660</v>
          </cell>
          <cell r="AP18">
            <v>163915660</v>
          </cell>
          <cell r="AQ18">
            <v>163915660</v>
          </cell>
          <cell r="AR18">
            <v>163915660</v>
          </cell>
          <cell r="AS18">
            <v>163915660</v>
          </cell>
          <cell r="AT18">
            <v>163915660</v>
          </cell>
          <cell r="AU18">
            <v>163915660</v>
          </cell>
        </row>
      </sheetData>
      <sheetData sheetId="4"/>
      <sheetData sheetId="5"/>
      <sheetData sheetId="6" refreshError="1">
        <row r="7">
          <cell r="F7">
            <v>31.103000000000002</v>
          </cell>
        </row>
        <row r="10">
          <cell r="H10">
            <v>-4</v>
          </cell>
          <cell r="I10">
            <v>-3</v>
          </cell>
          <cell r="J10">
            <v>-2</v>
          </cell>
          <cell r="K10">
            <v>-1</v>
          </cell>
          <cell r="L10">
            <v>1</v>
          </cell>
          <cell r="M10">
            <v>2</v>
          </cell>
          <cell r="N10">
            <v>3</v>
          </cell>
          <cell r="O10">
            <v>4</v>
          </cell>
          <cell r="P10">
            <v>5</v>
          </cell>
          <cell r="Q10">
            <v>6</v>
          </cell>
          <cell r="R10">
            <v>7</v>
          </cell>
          <cell r="S10">
            <v>8</v>
          </cell>
          <cell r="T10">
            <v>9</v>
          </cell>
          <cell r="U10">
            <v>10</v>
          </cell>
          <cell r="V10">
            <v>11</v>
          </cell>
          <cell r="W10">
            <v>12</v>
          </cell>
        </row>
        <row r="12">
          <cell r="E12">
            <v>1.5</v>
          </cell>
        </row>
      </sheetData>
      <sheetData sheetId="7"/>
      <sheetData sheetId="8" refreshError="1">
        <row r="13">
          <cell r="L13">
            <v>0.06</v>
          </cell>
          <cell r="M13">
            <v>0.06</v>
          </cell>
          <cell r="N13">
            <v>0.06</v>
          </cell>
          <cell r="O13">
            <v>0.06</v>
          </cell>
          <cell r="P13">
            <v>0.06</v>
          </cell>
          <cell r="Q13">
            <v>0.06</v>
          </cell>
          <cell r="R13">
            <v>0.06</v>
          </cell>
          <cell r="S13">
            <v>0.06</v>
          </cell>
          <cell r="T13">
            <v>0.06</v>
          </cell>
          <cell r="U13">
            <v>0.06</v>
          </cell>
          <cell r="V13">
            <v>0.06</v>
          </cell>
          <cell r="W13">
            <v>3.2500000000000001E-2</v>
          </cell>
          <cell r="X13">
            <v>2.75E-2</v>
          </cell>
          <cell r="Y13">
            <v>2.8000000000000001E-2</v>
          </cell>
          <cell r="Z13">
            <v>2.7601000000000001E-2</v>
          </cell>
          <cell r="AA13">
            <v>2.8900249999999999E-2</v>
          </cell>
          <cell r="AB13">
            <v>1.2404399999999999E-2</v>
          </cell>
          <cell r="AC13">
            <v>8.4042000000000006E-3</v>
          </cell>
          <cell r="AD13">
            <v>4.1380999999999996E-3</v>
          </cell>
          <cell r="AE13">
            <v>2.6832000000000002E-3</v>
          </cell>
          <cell r="AF13">
            <v>6.9074749999999997E-3</v>
          </cell>
          <cell r="AG13">
            <v>3.4600500000000001E-3</v>
          </cell>
          <cell r="AH13">
            <v>8.0000000000000002E-3</v>
          </cell>
          <cell r="AI13">
            <v>8.0000000000000002E-3</v>
          </cell>
          <cell r="AJ13">
            <v>8.0000000000000002E-3</v>
          </cell>
          <cell r="AK13">
            <v>8.0000000000000002E-3</v>
          </cell>
          <cell r="AL13">
            <v>8.0000000000000002E-3</v>
          </cell>
          <cell r="AM13">
            <v>8.0000000000000002E-3</v>
          </cell>
          <cell r="AN13">
            <v>8.0000000000000002E-3</v>
          </cell>
          <cell r="AO13">
            <v>8.0000000000000002E-3</v>
          </cell>
          <cell r="AP13">
            <v>8.0000000000000002E-3</v>
          </cell>
          <cell r="AQ13">
            <v>8.0000000000000002E-3</v>
          </cell>
          <cell r="AR13">
            <v>8.0000000000000002E-3</v>
          </cell>
          <cell r="AS13">
            <v>8.0000000000000002E-3</v>
          </cell>
          <cell r="AT13">
            <v>8.0000000000000002E-3</v>
          </cell>
          <cell r="AU13">
            <v>8.0000000000000002E-3</v>
          </cell>
          <cell r="AV13">
            <v>8.0000000000000002E-3</v>
          </cell>
          <cell r="AW13">
            <v>8.0000000000000002E-3</v>
          </cell>
          <cell r="AX13">
            <v>8.0000000000000002E-3</v>
          </cell>
          <cell r="AY13">
            <v>8.0000000000000002E-3</v>
          </cell>
          <cell r="AZ13">
            <v>8.0000000000000002E-3</v>
          </cell>
          <cell r="BA13">
            <v>8.0000000000000002E-3</v>
          </cell>
        </row>
        <row r="25">
          <cell r="L25">
            <v>0.82589999999999997</v>
          </cell>
          <cell r="M25">
            <v>0.86639999999999995</v>
          </cell>
          <cell r="N25">
            <v>0.89102604289470866</v>
          </cell>
          <cell r="O25">
            <v>0.89180000000000004</v>
          </cell>
          <cell r="P25">
            <v>0.87771757607958556</v>
          </cell>
          <cell r="Q25">
            <v>0.88173590474357355</v>
          </cell>
          <cell r="R25">
            <v>0.85341999999999996</v>
          </cell>
          <cell r="S25">
            <v>0.91090000000000004</v>
          </cell>
          <cell r="T25">
            <v>0.95679999999999998</v>
          </cell>
          <cell r="U25">
            <v>1.0190999999999999</v>
          </cell>
          <cell r="V25">
            <v>0.93505499999999997</v>
          </cell>
          <cell r="W25">
            <v>0.995</v>
          </cell>
          <cell r="X25">
            <v>0.99</v>
          </cell>
          <cell r="Y25">
            <v>0.96</v>
          </cell>
          <cell r="Z25">
            <v>0.81499999999999995</v>
          </cell>
          <cell r="AA25">
            <v>0.94</v>
          </cell>
          <cell r="AB25">
            <v>0.8037541652123994</v>
          </cell>
          <cell r="AC25">
            <v>0.85667759167531898</v>
          </cell>
          <cell r="AD25">
            <v>0.91149765509665293</v>
          </cell>
          <cell r="AE25">
            <v>0.94688764953479931</v>
          </cell>
          <cell r="AF25">
            <v>0.87629961183151672</v>
          </cell>
          <cell r="AG25">
            <v>0.96970000000000001</v>
          </cell>
          <cell r="AH25">
            <v>0.97370000000000001</v>
          </cell>
          <cell r="AI25">
            <v>0.96097577000000001</v>
          </cell>
          <cell r="AJ25">
            <v>0.94348670999999984</v>
          </cell>
          <cell r="AK25">
            <v>0.93468892999999997</v>
          </cell>
          <cell r="AL25">
            <v>0.82000000000000006</v>
          </cell>
          <cell r="AM25">
            <v>0.82000000000000006</v>
          </cell>
          <cell r="AN25">
            <v>0.82000000000000006</v>
          </cell>
          <cell r="AO25">
            <v>0.82000000000000006</v>
          </cell>
          <cell r="AP25">
            <v>0.82000000000000006</v>
          </cell>
          <cell r="AQ25">
            <v>0.82000000000000006</v>
          </cell>
          <cell r="AR25">
            <v>0.82000000000000006</v>
          </cell>
          <cell r="AS25">
            <v>0.82000000000000006</v>
          </cell>
          <cell r="AT25">
            <v>0.82000000000000006</v>
          </cell>
          <cell r="AU25">
            <v>0.82000000000000006</v>
          </cell>
          <cell r="AV25">
            <v>0.82000000000000006</v>
          </cell>
          <cell r="AW25">
            <v>0.82000000000000006</v>
          </cell>
          <cell r="AX25">
            <v>0.82000000000000006</v>
          </cell>
          <cell r="AY25">
            <v>0.82000000000000006</v>
          </cell>
          <cell r="AZ25">
            <v>0.82000000000000006</v>
          </cell>
          <cell r="BA25">
            <v>0.82000000000000006</v>
          </cell>
          <cell r="BB25">
            <v>0.82000000000000006</v>
          </cell>
          <cell r="BC25">
            <v>0.82000000000000006</v>
          </cell>
          <cell r="BD25">
            <v>0.82000000000000006</v>
          </cell>
          <cell r="BE25">
            <v>0.82000000000000006</v>
          </cell>
          <cell r="BF25">
            <v>0.82000000000000006</v>
          </cell>
          <cell r="BG25">
            <v>0.82000000000000006</v>
          </cell>
          <cell r="BH25">
            <v>0.82000000000000006</v>
          </cell>
          <cell r="BI25">
            <v>0.82000000000000006</v>
          </cell>
          <cell r="BJ25">
            <v>0.82000000000000006</v>
          </cell>
          <cell r="BK25">
            <v>0.82000000000000006</v>
          </cell>
          <cell r="BL25">
            <v>0.82000000000000006</v>
          </cell>
          <cell r="BM25">
            <v>0.82000000000000006</v>
          </cell>
        </row>
        <row r="29">
          <cell r="A29" t="str">
            <v>MICHELIN/JACQUES LAKE, LABRADOR</v>
          </cell>
        </row>
        <row r="43">
          <cell r="E43">
            <v>2017</v>
          </cell>
        </row>
        <row r="45">
          <cell r="Q45">
            <v>-11</v>
          </cell>
          <cell r="R45">
            <v>-10</v>
          </cell>
          <cell r="S45">
            <v>-10</v>
          </cell>
          <cell r="T45">
            <v>-10</v>
          </cell>
          <cell r="U45">
            <v>-10</v>
          </cell>
          <cell r="V45">
            <v>-10</v>
          </cell>
          <cell r="W45">
            <v>-9</v>
          </cell>
          <cell r="X45">
            <v>-9</v>
          </cell>
          <cell r="Y45">
            <v>-9</v>
          </cell>
          <cell r="Z45">
            <v>-9</v>
          </cell>
          <cell r="AA45">
            <v>-9</v>
          </cell>
          <cell r="AB45">
            <v>-8</v>
          </cell>
          <cell r="AC45">
            <v>-8</v>
          </cell>
          <cell r="AD45">
            <v>-8</v>
          </cell>
          <cell r="AE45">
            <v>-8</v>
          </cell>
          <cell r="AF45">
            <v>-8</v>
          </cell>
          <cell r="AG45">
            <v>-7</v>
          </cell>
          <cell r="AH45">
            <v>-6</v>
          </cell>
          <cell r="AI45">
            <v>-5</v>
          </cell>
          <cell r="AJ45">
            <v>-4</v>
          </cell>
          <cell r="AK45">
            <v>-3</v>
          </cell>
          <cell r="AL45">
            <v>-2</v>
          </cell>
          <cell r="AM45">
            <v>-1</v>
          </cell>
          <cell r="AN45">
            <v>1</v>
          </cell>
          <cell r="AO45">
            <v>2</v>
          </cell>
          <cell r="AP45">
            <v>3</v>
          </cell>
          <cell r="AQ45">
            <v>4</v>
          </cell>
          <cell r="AR45">
            <v>5</v>
          </cell>
          <cell r="AS45">
            <v>6</v>
          </cell>
          <cell r="AT45">
            <v>7</v>
          </cell>
          <cell r="AU45">
            <v>8</v>
          </cell>
          <cell r="AV45">
            <v>9</v>
          </cell>
          <cell r="AW45">
            <v>10</v>
          </cell>
          <cell r="AX45">
            <v>11</v>
          </cell>
          <cell r="AY45">
            <v>12</v>
          </cell>
          <cell r="AZ45">
            <v>13</v>
          </cell>
          <cell r="BA45">
            <v>14</v>
          </cell>
          <cell r="BB45">
            <v>15</v>
          </cell>
          <cell r="BC45">
            <v>16</v>
          </cell>
          <cell r="BD45">
            <v>17</v>
          </cell>
          <cell r="BE45">
            <v>18</v>
          </cell>
          <cell r="BF45">
            <v>19</v>
          </cell>
          <cell r="BG45">
            <v>20</v>
          </cell>
          <cell r="BH45">
            <v>21</v>
          </cell>
          <cell r="BI45">
            <v>22</v>
          </cell>
          <cell r="BJ45">
            <v>23</v>
          </cell>
          <cell r="BK45">
            <v>24</v>
          </cell>
          <cell r="BL45">
            <v>25</v>
          </cell>
          <cell r="BM45">
            <v>26</v>
          </cell>
        </row>
        <row r="60">
          <cell r="Q60">
            <v>0</v>
          </cell>
        </row>
        <row r="64">
          <cell r="E64">
            <v>0.35</v>
          </cell>
        </row>
        <row r="65">
          <cell r="E65">
            <v>6</v>
          </cell>
        </row>
        <row r="75">
          <cell r="F75">
            <v>0</v>
          </cell>
        </row>
        <row r="110">
          <cell r="Q110">
            <v>14534.07</v>
          </cell>
        </row>
        <row r="185">
          <cell r="Q185">
            <v>0</v>
          </cell>
        </row>
        <row r="186">
          <cell r="Q186">
            <v>0</v>
          </cell>
        </row>
        <row r="188">
          <cell r="Q188">
            <v>0</v>
          </cell>
        </row>
        <row r="266">
          <cell r="M266">
            <v>53494.444000000003</v>
          </cell>
          <cell r="N266">
            <v>60732.892999999996</v>
          </cell>
          <cell r="O266">
            <v>60868.84</v>
          </cell>
          <cell r="P266">
            <v>63186.481500000002</v>
          </cell>
          <cell r="Q266">
            <v>54632.56</v>
          </cell>
          <cell r="R266">
            <v>65644.013000000006</v>
          </cell>
          <cell r="S266">
            <v>66068.909</v>
          </cell>
          <cell r="T266">
            <v>66167.574999999997</v>
          </cell>
          <cell r="U266">
            <v>69640.794999999998</v>
          </cell>
          <cell r="V266">
            <v>66880.323000000004</v>
          </cell>
          <cell r="W266">
            <v>73182.554000000004</v>
          </cell>
          <cell r="X266">
            <v>73182.554000000004</v>
          </cell>
          <cell r="Y266">
            <v>73182.554000000004</v>
          </cell>
          <cell r="Z266">
            <v>73182.554000000004</v>
          </cell>
          <cell r="AA266">
            <v>73182.554000000004</v>
          </cell>
          <cell r="AB266">
            <v>73182.554000000004</v>
          </cell>
          <cell r="AC266">
            <v>73182.554000000004</v>
          </cell>
          <cell r="AD266">
            <v>73182.554000000004</v>
          </cell>
          <cell r="AE266">
            <v>73182.554000000004</v>
          </cell>
          <cell r="AF266">
            <v>73182.554000000004</v>
          </cell>
          <cell r="AG266">
            <v>73182.554000000004</v>
          </cell>
          <cell r="AH266">
            <v>187861.4530825688</v>
          </cell>
          <cell r="AI266">
            <v>302540.35216513759</v>
          </cell>
          <cell r="AJ266">
            <v>302540.35216513759</v>
          </cell>
          <cell r="AK266">
            <v>302540.35216513759</v>
          </cell>
          <cell r="AL266">
            <v>302540.35216513759</v>
          </cell>
          <cell r="AM266">
            <v>302540.35216513759</v>
          </cell>
          <cell r="AN266">
            <v>302540.35216513759</v>
          </cell>
          <cell r="AO266">
            <v>302540.35216513759</v>
          </cell>
          <cell r="AP266">
            <v>302540.35216513759</v>
          </cell>
          <cell r="AQ266">
            <v>302540.35216513759</v>
          </cell>
          <cell r="AR266">
            <v>302540.35216513759</v>
          </cell>
          <cell r="AS266">
            <v>302540.35216513759</v>
          </cell>
          <cell r="AT266">
            <v>302540.35216513759</v>
          </cell>
          <cell r="AU266">
            <v>302540.35216513759</v>
          </cell>
          <cell r="AV266">
            <v>302540.35216513759</v>
          </cell>
          <cell r="AW266">
            <v>302540.35216513759</v>
          </cell>
          <cell r="AX266">
            <v>302540.35216513759</v>
          </cell>
          <cell r="AY266">
            <v>302540.35216513759</v>
          </cell>
          <cell r="AZ266">
            <v>302540.35216513759</v>
          </cell>
          <cell r="BA266">
            <v>302540.35216513759</v>
          </cell>
          <cell r="BB266">
            <v>302540.35216513759</v>
          </cell>
          <cell r="BC266">
            <v>302540.35216513759</v>
          </cell>
          <cell r="BD266">
            <v>302540.35216513759</v>
          </cell>
          <cell r="BE266">
            <v>302540.35216513759</v>
          </cell>
          <cell r="BF266">
            <v>302540.35216513759</v>
          </cell>
          <cell r="BG266">
            <v>302540.35216513759</v>
          </cell>
          <cell r="BH266">
            <v>302540.35216513759</v>
          </cell>
          <cell r="BI266">
            <v>302540.35216513759</v>
          </cell>
          <cell r="BJ266">
            <v>302540.35216513759</v>
          </cell>
          <cell r="BK266">
            <v>302540.35216513759</v>
          </cell>
          <cell r="BL266">
            <v>302540.35216513759</v>
          </cell>
          <cell r="BM266">
            <v>302540.35216513759</v>
          </cell>
          <cell r="BN266" t="str">
            <v>.</v>
          </cell>
        </row>
        <row r="267">
          <cell r="M267">
            <v>53494.444000000003</v>
          </cell>
          <cell r="N267">
            <v>60732.892999999996</v>
          </cell>
          <cell r="O267">
            <v>60868.84</v>
          </cell>
          <cell r="P267">
            <v>63186.481500000002</v>
          </cell>
          <cell r="Q267">
            <v>54632.56</v>
          </cell>
          <cell r="R267">
            <v>65644.013000000006</v>
          </cell>
          <cell r="S267">
            <v>66068.909</v>
          </cell>
          <cell r="T267">
            <v>66167.574999999997</v>
          </cell>
          <cell r="U267">
            <v>74073.63</v>
          </cell>
          <cell r="V267">
            <v>67988.531750000009</v>
          </cell>
          <cell r="W267">
            <v>73182.554000000004</v>
          </cell>
          <cell r="X267">
            <v>73182.554000000004</v>
          </cell>
          <cell r="Y267">
            <v>77207.38900000001</v>
          </cell>
          <cell r="Z267">
            <v>77207.38900000001</v>
          </cell>
          <cell r="AA267">
            <v>75194.971500000014</v>
          </cell>
          <cell r="AB267">
            <v>77207.38900000001</v>
          </cell>
          <cell r="AC267">
            <v>77207.38900000001</v>
          </cell>
          <cell r="AD267">
            <v>77207.38900000001</v>
          </cell>
          <cell r="AE267">
            <v>77207.38900000001</v>
          </cell>
          <cell r="AF267">
            <v>77207.38900000001</v>
          </cell>
          <cell r="AG267">
            <v>77207.38900000001</v>
          </cell>
          <cell r="AH267">
            <v>191886.28808256882</v>
          </cell>
          <cell r="AI267">
            <v>306565.18716513761</v>
          </cell>
          <cell r="AJ267">
            <v>306565.18716513761</v>
          </cell>
          <cell r="AK267">
            <v>306565.18716513761</v>
          </cell>
          <cell r="AL267">
            <v>306565.18716513761</v>
          </cell>
          <cell r="AM267">
            <v>306565.18716513761</v>
          </cell>
          <cell r="AN267">
            <v>306565.18716513761</v>
          </cell>
          <cell r="AO267">
            <v>306565.18716513761</v>
          </cell>
          <cell r="AP267">
            <v>306565.18716513761</v>
          </cell>
          <cell r="AQ267">
            <v>306565.18716513761</v>
          </cell>
          <cell r="AR267">
            <v>306565.18716513761</v>
          </cell>
          <cell r="AS267">
            <v>306565.18716513761</v>
          </cell>
          <cell r="AT267">
            <v>306565.18716513761</v>
          </cell>
          <cell r="AU267">
            <v>306565.18716513761</v>
          </cell>
          <cell r="AV267">
            <v>306565.18716513761</v>
          </cell>
          <cell r="AW267">
            <v>306565.18716513761</v>
          </cell>
          <cell r="AX267">
            <v>306565.18716513761</v>
          </cell>
          <cell r="AY267">
            <v>306565.18716513761</v>
          </cell>
          <cell r="AZ267">
            <v>306565.18716513761</v>
          </cell>
          <cell r="BA267">
            <v>306565.18716513761</v>
          </cell>
          <cell r="BB267">
            <v>306565.18716513761</v>
          </cell>
          <cell r="BC267">
            <v>306565.18716513761</v>
          </cell>
          <cell r="BD267">
            <v>306565.18716513761</v>
          </cell>
          <cell r="BE267">
            <v>306565.18716513761</v>
          </cell>
          <cell r="BF267">
            <v>306565.18716513761</v>
          </cell>
          <cell r="BG267">
            <v>306565.18716513761</v>
          </cell>
          <cell r="BH267">
            <v>306565.18716513761</v>
          </cell>
          <cell r="BI267">
            <v>306565.18716513761</v>
          </cell>
          <cell r="BJ267">
            <v>306565.18716513761</v>
          </cell>
          <cell r="BK267">
            <v>306565.18716513761</v>
          </cell>
          <cell r="BL267">
            <v>306565.18716513761</v>
          </cell>
          <cell r="BM267">
            <v>306565.18716513761</v>
          </cell>
          <cell r="BN267" t="str">
            <v>.</v>
          </cell>
        </row>
        <row r="365">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-290.89971219502155</v>
          </cell>
          <cell r="AR365">
            <v>-60428.597279703681</v>
          </cell>
          <cell r="AS365">
            <v>-62027.58987460965</v>
          </cell>
          <cell r="AT365">
            <v>-63462.188170025009</v>
          </cell>
          <cell r="AU365">
            <v>-64748.831595898853</v>
          </cell>
          <cell r="AV365">
            <v>-65902.315639185297</v>
          </cell>
          <cell r="AW365">
            <v>-66935.956238143102</v>
          </cell>
          <cell r="AX365">
            <v>-67861.737737205127</v>
          </cell>
          <cell r="AY365">
            <v>-68690.446046360943</v>
          </cell>
          <cell r="AZ365">
            <v>-69431.788484601158</v>
          </cell>
          <cell r="BA365">
            <v>-70094.501639017399</v>
          </cell>
          <cell r="BB365">
            <v>-70686.448437991989</v>
          </cell>
          <cell r="BC365">
            <v>-27120.937450200076</v>
          </cell>
          <cell r="BD365">
            <v>0</v>
          </cell>
          <cell r="BE365">
            <v>0</v>
          </cell>
          <cell r="BF365">
            <v>0</v>
          </cell>
          <cell r="BG365">
            <v>0</v>
          </cell>
          <cell r="BH365">
            <v>0</v>
          </cell>
          <cell r="BI365">
            <v>0</v>
          </cell>
          <cell r="BJ365">
            <v>0</v>
          </cell>
          <cell r="BK365">
            <v>0</v>
          </cell>
          <cell r="BL365">
            <v>0</v>
          </cell>
          <cell r="BM365">
            <v>0</v>
          </cell>
        </row>
        <row r="669">
          <cell r="F669">
            <v>5</v>
          </cell>
        </row>
        <row r="673">
          <cell r="F673">
            <v>0.05</v>
          </cell>
        </row>
        <row r="677">
          <cell r="F677">
            <v>0</v>
          </cell>
        </row>
        <row r="681">
          <cell r="F681">
            <v>0</v>
          </cell>
        </row>
        <row r="683">
          <cell r="F683">
            <v>0</v>
          </cell>
        </row>
      </sheetData>
      <sheetData sheetId="9"/>
      <sheetData sheetId="10" refreshError="1">
        <row r="5">
          <cell r="F5">
            <v>950</v>
          </cell>
        </row>
        <row r="6">
          <cell r="F6">
            <v>12</v>
          </cell>
        </row>
        <row r="71">
          <cell r="F71">
            <v>1</v>
          </cell>
        </row>
        <row r="129">
          <cell r="F129">
            <v>0.4</v>
          </cell>
        </row>
        <row r="187">
          <cell r="F187">
            <v>1</v>
          </cell>
        </row>
      </sheetData>
      <sheetData sheetId="11" refreshError="1">
        <row r="4">
          <cell r="B4">
            <v>10.7</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Upside_Downside"/>
      <sheetName val="Earnings Summary"/>
      <sheetName val="guidance range"/>
      <sheetName val="BMTemplate"/>
      <sheetName val="Pointsec"/>
      <sheetName val="job postings"/>
      <sheetName val="SENSITIVITY"/>
      <sheetName val="__FDSCACHE__"/>
      <sheetName val="MULTIPLES"/>
      <sheetName val="MULTIPLES - CHARTS"/>
      <sheetName val="LINKS"/>
      <sheetName val="Def Rev 1"/>
      <sheetName val="Def Rev 2"/>
    </sheetNames>
    <sheetDataSet>
      <sheetData sheetId="0" refreshError="1">
        <row r="55">
          <cell r="A55" t="str">
            <v>Delta</v>
          </cell>
        </row>
        <row r="67">
          <cell r="A67" t="str">
            <v>% Lic Rev from emerging products</v>
          </cell>
          <cell r="AH67">
            <v>8.5836909871244635E-2</v>
          </cell>
          <cell r="AI67">
            <v>0.10040527218956516</v>
          </cell>
          <cell r="AJ67">
            <v>0.11102475852115021</v>
          </cell>
          <cell r="AK67">
            <v>0.1348735362254451</v>
          </cell>
          <cell r="AL67">
            <v>0.17457823485533813</v>
          </cell>
          <cell r="AM67">
            <v>0.25037187587446058</v>
          </cell>
          <cell r="AN67">
            <v>0.2365918937702397</v>
          </cell>
          <cell r="AO67">
            <v>0.246299032952218</v>
          </cell>
          <cell r="AP67">
            <v>0.28000000000000003</v>
          </cell>
          <cell r="AQ67">
            <v>0.3</v>
          </cell>
          <cell r="AR67">
            <v>0.3</v>
          </cell>
          <cell r="AS67">
            <v>0.3</v>
          </cell>
          <cell r="AT67">
            <v>0.3</v>
          </cell>
          <cell r="AU67">
            <v>0.3</v>
          </cell>
          <cell r="AV67">
            <v>0.3</v>
          </cell>
          <cell r="AW67">
            <v>0.3</v>
          </cell>
          <cell r="AX67">
            <v>0.31</v>
          </cell>
          <cell r="AY67">
            <v>0.31</v>
          </cell>
          <cell r="AZ67">
            <v>0.32</v>
          </cell>
          <cell r="BA67">
            <v>0.33</v>
          </cell>
          <cell r="BB67">
            <v>0.34</v>
          </cell>
          <cell r="BC67">
            <v>0.34</v>
          </cell>
          <cell r="BD67">
            <v>0.34</v>
          </cell>
          <cell r="BE67">
            <v>0.35</v>
          </cell>
          <cell r="BF67">
            <v>0.34</v>
          </cell>
          <cell r="BG67">
            <v>0.34</v>
          </cell>
          <cell r="BH67">
            <v>0.34</v>
          </cell>
          <cell r="BI67">
            <v>0.35</v>
          </cell>
          <cell r="BJ67">
            <v>0.34</v>
          </cell>
          <cell r="BK67">
            <v>0.34</v>
          </cell>
          <cell r="BL67">
            <v>0.34</v>
          </cell>
          <cell r="BM67">
            <v>0.35</v>
          </cell>
          <cell r="BN67">
            <v>0.34</v>
          </cell>
          <cell r="BO67">
            <v>0.34</v>
          </cell>
          <cell r="BP67">
            <v>0.34</v>
          </cell>
          <cell r="BQ67">
            <v>0.35</v>
          </cell>
          <cell r="BR67">
            <v>0.34</v>
          </cell>
          <cell r="BS67">
            <v>0.34</v>
          </cell>
          <cell r="BT67">
            <v>0.34</v>
          </cell>
          <cell r="BU67">
            <v>0.35</v>
          </cell>
          <cell r="BV67">
            <v>0.34</v>
          </cell>
          <cell r="BW67">
            <v>0.34</v>
          </cell>
          <cell r="BX67">
            <v>0.34</v>
          </cell>
          <cell r="BY67">
            <v>0.35</v>
          </cell>
          <cell r="BZ67">
            <v>0.34</v>
          </cell>
          <cell r="CA67">
            <v>0.34</v>
          </cell>
          <cell r="CB67">
            <v>0.34</v>
          </cell>
          <cell r="CC67">
            <v>0.35</v>
          </cell>
        </row>
        <row r="68">
          <cell r="A68" t="str">
            <v>Revenue p/Gateway ($K)</v>
          </cell>
          <cell r="K68">
            <v>693.07692307692309</v>
          </cell>
          <cell r="L68">
            <v>729.5</v>
          </cell>
          <cell r="M68">
            <v>784.48717948717945</v>
          </cell>
          <cell r="N68">
            <v>710.13333333333333</v>
          </cell>
          <cell r="O68">
            <v>671.98039215686276</v>
          </cell>
          <cell r="P68">
            <v>596.96610169491521</v>
          </cell>
          <cell r="Q68">
            <v>604.37313432835822</v>
          </cell>
          <cell r="R68">
            <v>607.94444444444446</v>
          </cell>
          <cell r="S68">
            <v>625.63750000000005</v>
          </cell>
          <cell r="T68">
            <v>577.99</v>
          </cell>
          <cell r="U68">
            <v>617.68181818181813</v>
          </cell>
          <cell r="V68">
            <v>625.32799999999997</v>
          </cell>
          <cell r="W68">
            <v>634.04195804195808</v>
          </cell>
          <cell r="X68">
            <v>716.1358024691358</v>
          </cell>
          <cell r="Y68">
            <v>755.02688172043008</v>
          </cell>
          <cell r="Z68">
            <v>763.21052631578948</v>
          </cell>
          <cell r="AA68">
            <v>717.530303030303</v>
          </cell>
          <cell r="AB68">
            <v>587.22388059701495</v>
          </cell>
          <cell r="AC68">
            <v>575.25821596244134</v>
          </cell>
          <cell r="AD68">
            <v>464.81333333333333</v>
          </cell>
          <cell r="AE68">
            <v>460.11440677966101</v>
          </cell>
          <cell r="AF68">
            <v>419.26720647773277</v>
          </cell>
          <cell r="AG68">
            <v>417.65151515151513</v>
          </cell>
          <cell r="AH68">
            <v>384.05494505494505</v>
          </cell>
          <cell r="AI68">
            <v>376.25177304964541</v>
          </cell>
          <cell r="AJ68">
            <v>360.4135593220339</v>
          </cell>
          <cell r="AK68">
            <v>369.55128205128204</v>
          </cell>
          <cell r="AL68">
            <v>350.64048338368576</v>
          </cell>
          <cell r="AM68">
            <v>363.66475644699142</v>
          </cell>
          <cell r="AN68">
            <v>353.36065573770486</v>
          </cell>
          <cell r="AO68">
            <v>370.59326424870466</v>
          </cell>
          <cell r="AP68">
            <v>342.44029850746267</v>
          </cell>
          <cell r="AQ68">
            <v>344.19761904761913</v>
          </cell>
          <cell r="AR68">
            <v>320.60909090909087</v>
          </cell>
          <cell r="AS68">
            <v>339.25652173913045</v>
          </cell>
          <cell r="AT68">
            <v>278.31666666666672</v>
          </cell>
          <cell r="AU68">
            <v>277.87200000000001</v>
          </cell>
          <cell r="AV68">
            <v>269.92045454545456</v>
          </cell>
          <cell r="AW68">
            <v>287.94064748201441</v>
          </cell>
          <cell r="AX68">
            <v>285.16347826086957</v>
          </cell>
          <cell r="AY68">
            <v>295.62416107382552</v>
          </cell>
          <cell r="AZ68">
            <v>298.23662884927069</v>
          </cell>
          <cell r="BA68" t="e">
            <v>#DIV/0!</v>
          </cell>
          <cell r="BB68" t="e">
            <v>#DIV/0!</v>
          </cell>
          <cell r="BC68" t="e">
            <v>#DIV/0!</v>
          </cell>
          <cell r="BD68" t="e">
            <v>#DIV/0!</v>
          </cell>
          <cell r="BE68" t="e">
            <v>#DIV/0!</v>
          </cell>
          <cell r="BF68" t="e">
            <v>#DIV/0!</v>
          </cell>
          <cell r="BG68" t="e">
            <v>#DIV/0!</v>
          </cell>
          <cell r="BH68" t="e">
            <v>#DIV/0!</v>
          </cell>
          <cell r="BI68" t="e">
            <v>#DIV/0!</v>
          </cell>
          <cell r="BJ68" t="e">
            <v>#DIV/0!</v>
          </cell>
          <cell r="BK68" t="e">
            <v>#DIV/0!</v>
          </cell>
          <cell r="BL68" t="e">
            <v>#DIV/0!</v>
          </cell>
          <cell r="BM68" t="e">
            <v>#DIV/0!</v>
          </cell>
          <cell r="BN68" t="e">
            <v>#DIV/0!</v>
          </cell>
          <cell r="BO68" t="e">
            <v>#DIV/0!</v>
          </cell>
          <cell r="BP68" t="e">
            <v>#DIV/0!</v>
          </cell>
          <cell r="BQ68" t="e">
            <v>#DIV/0!</v>
          </cell>
          <cell r="BR68" t="e">
            <v>#DIV/0!</v>
          </cell>
          <cell r="BS68" t="e">
            <v>#DIV/0!</v>
          </cell>
          <cell r="BT68" t="e">
            <v>#DIV/0!</v>
          </cell>
          <cell r="BU68" t="e">
            <v>#DIV/0!</v>
          </cell>
          <cell r="BV68" t="e">
            <v>#DIV/0!</v>
          </cell>
          <cell r="BW68" t="e">
            <v>#DIV/0!</v>
          </cell>
          <cell r="BX68" t="e">
            <v>#DIV/0!</v>
          </cell>
          <cell r="BY68" t="e">
            <v>#DIV/0!</v>
          </cell>
          <cell r="BZ68" t="e">
            <v>#DIV/0!</v>
          </cell>
          <cell r="CA68" t="e">
            <v>#DIV/0!</v>
          </cell>
          <cell r="CB68" t="e">
            <v>#DIV/0!</v>
          </cell>
          <cell r="CC68" t="e">
            <v>#DIV/0!</v>
          </cell>
        </row>
        <row r="254">
          <cell r="A254" t="str">
            <v>SecuRemote VPN Clients (Mil)</v>
          </cell>
          <cell r="T254">
            <v>10</v>
          </cell>
          <cell r="U254">
            <v>20</v>
          </cell>
          <cell r="V254">
            <v>28</v>
          </cell>
          <cell r="W254">
            <v>37</v>
          </cell>
          <cell r="X254">
            <v>42</v>
          </cell>
          <cell r="Y254">
            <v>63</v>
          </cell>
          <cell r="Z254">
            <v>70</v>
          </cell>
          <cell r="AA254">
            <v>83</v>
          </cell>
          <cell r="AB254">
            <v>93</v>
          </cell>
          <cell r="AC254">
            <v>100</v>
          </cell>
          <cell r="AD254">
            <v>107</v>
          </cell>
          <cell r="AE254">
            <v>109</v>
          </cell>
        </row>
      </sheetData>
      <sheetData sheetId="1"/>
      <sheetData sheetId="2"/>
      <sheetData sheetId="3"/>
      <sheetData sheetId="4"/>
      <sheetData sheetId="5"/>
      <sheetData sheetId="6"/>
      <sheetData sheetId="7"/>
      <sheetData sheetId="8"/>
      <sheetData sheetId="9" refreshError="1">
        <row r="2046">
          <cell r="S2046">
            <v>6.2637393842934808</v>
          </cell>
          <cell r="U2046">
            <v>3.1106662720653042</v>
          </cell>
          <cell r="X2046">
            <v>5.8556770466960009</v>
          </cell>
          <cell r="Z2046">
            <v>2.8710077440420929</v>
          </cell>
        </row>
        <row r="2050">
          <cell r="S2050">
            <v>36.261189297029517</v>
          </cell>
          <cell r="U2050">
            <v>20.510002934322952</v>
          </cell>
          <cell r="X2050">
            <v>84.955154232902942</v>
          </cell>
          <cell r="Z2050">
            <v>48.052214954390266</v>
          </cell>
        </row>
        <row r="2051">
          <cell r="S2051">
            <v>5.6977966221597667</v>
          </cell>
          <cell r="U2051">
            <v>2.8296106670854377</v>
          </cell>
          <cell r="X2051">
            <v>5.3266036228750764</v>
          </cell>
          <cell r="Z2051">
            <v>2.6116058192358396</v>
          </cell>
        </row>
        <row r="2052">
          <cell r="S2052">
            <v>11.130951053191325</v>
          </cell>
          <cell r="U2052">
            <v>5.6352297558290365</v>
          </cell>
          <cell r="X2052">
            <v>13.65355232082578</v>
          </cell>
          <cell r="Z2052">
            <v>7.1185639797364404</v>
          </cell>
        </row>
        <row r="2055">
          <cell r="S2055">
            <v>11.322046042226104</v>
          </cell>
          <cell r="U2055">
            <v>6.0612464864793445</v>
          </cell>
          <cell r="X2055">
            <v>25.215051541191986</v>
          </cell>
          <cell r="Z2055">
            <v>14.265389126557524</v>
          </cell>
        </row>
      </sheetData>
      <sheetData sheetId="10"/>
      <sheetData sheetId="11"/>
      <sheetData sheetId="12"/>
      <sheetData sheetId="1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1.Map"/>
      <sheetName val="2.Abitibi"/>
      <sheetName val="3.Camps"/>
      <sheetName val="4.Camps.Table"/>
      <sheetName val="5&amp;6.Production"/>
      <sheetName val="7.Distribution"/>
      <sheetName val="8.Histogram"/>
      <sheetName val="9-33.Tables&amp;FrontPgData"/>
      <sheetName val="10-32.AMCperOZ"/>
      <sheetName val="14.NoResource"/>
      <sheetName val="Appendix.Big.Table"/>
      <sheetName val="Co.Data"/>
      <sheetName val="Project.Data"/>
      <sheetName val="xMEG"/>
      <sheetName val="other.resource.table"/>
    </sheetNames>
    <sheetDataSet>
      <sheetData sheetId="0"/>
      <sheetData sheetId="1"/>
      <sheetData sheetId="2"/>
      <sheetData sheetId="3"/>
      <sheetData sheetId="4"/>
      <sheetData sheetId="5"/>
      <sheetData sheetId="6"/>
      <sheetData sheetId="7"/>
      <sheetData sheetId="8"/>
      <sheetData sheetId="9" refreshError="1">
        <row r="25">
          <cell r="J25" t="str">
            <v>KGI-T</v>
          </cell>
        </row>
        <row r="51">
          <cell r="L51" t="str">
            <v>KGI</v>
          </cell>
        </row>
      </sheetData>
      <sheetData sheetId="10"/>
      <sheetData sheetId="11"/>
      <sheetData sheetId="12" refreshError="1">
        <row r="6">
          <cell r="A6" t="str">
            <v>Thompson Ticker</v>
          </cell>
          <cell r="B6" t="str">
            <v>Ticker to Publish</v>
          </cell>
          <cell r="C6" t="str">
            <v>Short Ticker</v>
          </cell>
          <cell r="D6" t="str">
            <v>Company Name</v>
          </cell>
          <cell r="E6" t="str">
            <v>Shares O.S.</v>
          </cell>
          <cell r="F6" t="str">
            <v>Options O/S:</v>
          </cell>
          <cell r="G6" t="str">
            <v>Weighted Avg Price</v>
          </cell>
          <cell r="H6" t="str">
            <v>Warrants O/S:</v>
          </cell>
          <cell r="I6" t="str">
            <v>Weighted Avg Price</v>
          </cell>
          <cell r="J6" t="str">
            <v>Last Financing:</v>
          </cell>
          <cell r="K6" t="str">
            <v>Size / Price:</v>
          </cell>
          <cell r="L6" t="str">
            <v>Cash</v>
          </cell>
          <cell r="M6" t="str">
            <v>LT Debt</v>
          </cell>
          <cell r="N6" t="str">
            <v>Working Cap</v>
          </cell>
          <cell r="O6" t="str">
            <v>Mines</v>
          </cell>
          <cell r="P6" t="str">
            <v>Mine Locations</v>
          </cell>
          <cell r="Q6" t="str">
            <v>Major Shareholder #11</v>
          </cell>
          <cell r="R6" t="str">
            <v>Major Shareholder #21</v>
          </cell>
          <cell r="S6" t="str">
            <v>Major Shareholder #31</v>
          </cell>
          <cell r="T6" t="str">
            <v>Major Shareholder #41</v>
          </cell>
          <cell r="U6" t="str">
            <v>Major Shareholder #11 to Publish</v>
          </cell>
          <cell r="V6" t="str">
            <v>Major Shareholder #21 to Publish</v>
          </cell>
          <cell r="W6" t="str">
            <v>Major Shareholder #31 to Publish</v>
          </cell>
          <cell r="X6" t="str">
            <v>Major Shareholder #41 to Publish</v>
          </cell>
          <cell r="Y6" t="str">
            <v>Price</v>
          </cell>
          <cell r="Z6" t="str">
            <v>52-week low</v>
          </cell>
          <cell r="AA6" t="str">
            <v>52-week high</v>
          </cell>
          <cell r="AB6" t="str">
            <v>Market Cap</v>
          </cell>
          <cell r="AC6" t="str">
            <v>2P Reserves (000 oz)</v>
          </cell>
          <cell r="AD6" t="str">
            <v>M&amp;I Resources (000 oz)</v>
          </cell>
          <cell r="AE6" t="str">
            <v>Inferred Resources (000 oz)</v>
          </cell>
          <cell r="AF6" t="str">
            <v>Fully Diluted Shares Outstanding</v>
          </cell>
          <cell r="AG6" t="str">
            <v>AMC (US$)</v>
          </cell>
          <cell r="AH6" t="str">
            <v>Total Resources (000 oz)</v>
          </cell>
          <cell r="AI6" t="str">
            <v>AMC/2P</v>
          </cell>
          <cell r="AJ6" t="str">
            <v>AMC/M&amp;I</v>
          </cell>
          <cell r="AK6" t="str">
            <v>AMC/Total</v>
          </cell>
        </row>
        <row r="7">
          <cell r="A7" t="str">
            <v>AEM-N</v>
          </cell>
          <cell r="B7" t="str">
            <v>NYSE: AEM</v>
          </cell>
          <cell r="C7" t="str">
            <v>AEM</v>
          </cell>
          <cell r="D7" t="str">
            <v>Agnico Eagle</v>
          </cell>
          <cell r="Y7">
            <v>69.12</v>
          </cell>
          <cell r="Z7">
            <v>49.64</v>
          </cell>
          <cell r="AA7">
            <v>88.2</v>
          </cell>
          <cell r="AB7">
            <v>11661</v>
          </cell>
          <cell r="AF7">
            <v>0</v>
          </cell>
          <cell r="AG7">
            <v>11644674600</v>
          </cell>
          <cell r="AH7">
            <v>0</v>
          </cell>
          <cell r="AI7" t="str">
            <v>n.m.</v>
          </cell>
          <cell r="AJ7" t="str">
            <v>n.m.</v>
          </cell>
          <cell r="AK7" t="str">
            <v>n.m.</v>
          </cell>
        </row>
        <row r="8">
          <cell r="A8" t="str">
            <v>ARZ-T</v>
          </cell>
          <cell r="B8" t="str">
            <v>TSX: ARZ</v>
          </cell>
          <cell r="C8" t="str">
            <v>ARZ</v>
          </cell>
          <cell r="D8" t="str">
            <v>Aurizon Mines</v>
          </cell>
          <cell r="E8">
            <v>161363482</v>
          </cell>
          <cell r="F8">
            <v>7953000</v>
          </cell>
          <cell r="G8">
            <v>4.18</v>
          </cell>
          <cell r="H8">
            <v>0</v>
          </cell>
          <cell r="I8">
            <v>0</v>
          </cell>
          <cell r="J8" t="str">
            <v>April, 2010</v>
          </cell>
          <cell r="K8" t="str">
            <v>$50.0MM @ $5.15</v>
          </cell>
          <cell r="L8">
            <v>131866000</v>
          </cell>
          <cell r="M8">
            <v>0</v>
          </cell>
          <cell r="N8">
            <v>131513000</v>
          </cell>
          <cell r="O8" t="str">
            <v>Casa Berardi, Joanna</v>
          </cell>
          <cell r="P8" t="str">
            <v>QC</v>
          </cell>
          <cell r="Q8" t="str">
            <v>Van Eck Associates - 7.4%</v>
          </cell>
          <cell r="R8" t="str">
            <v>Goodman &amp; Company - 6.9%</v>
          </cell>
          <cell r="U8" t="str">
            <v>Inst. #1 - 7.4%</v>
          </cell>
          <cell r="V8" t="str">
            <v>Inst. #2 - 6.9%</v>
          </cell>
          <cell r="Y8">
            <v>6.38</v>
          </cell>
          <cell r="Z8">
            <v>3.81</v>
          </cell>
          <cell r="AA8">
            <v>8.41</v>
          </cell>
          <cell r="AB8">
            <v>1034</v>
          </cell>
          <cell r="AC8">
            <v>2032.6</v>
          </cell>
          <cell r="AD8">
            <v>5272.6</v>
          </cell>
          <cell r="AE8">
            <v>2301</v>
          </cell>
          <cell r="AF8">
            <v>164105895.79310346</v>
          </cell>
          <cell r="AG8">
            <v>901223518.20000005</v>
          </cell>
          <cell r="AH8">
            <v>7573.6</v>
          </cell>
          <cell r="AI8">
            <v>443.38459027846113</v>
          </cell>
          <cell r="AJ8">
            <v>170.92582752342298</v>
          </cell>
          <cell r="AK8">
            <v>118.99539429069399</v>
          </cell>
        </row>
        <row r="9">
          <cell r="A9" t="str">
            <v>ABX-T</v>
          </cell>
          <cell r="B9" t="str">
            <v>TSX: ABX</v>
          </cell>
          <cell r="C9" t="str">
            <v>ABX</v>
          </cell>
          <cell r="D9" t="str">
            <v>Barrick Gold</v>
          </cell>
          <cell r="Y9">
            <v>47.39</v>
          </cell>
          <cell r="Z9">
            <v>36.01</v>
          </cell>
          <cell r="AA9">
            <v>55.99</v>
          </cell>
          <cell r="AB9">
            <v>47319</v>
          </cell>
          <cell r="AF9">
            <v>0</v>
          </cell>
          <cell r="AG9">
            <v>47252753400</v>
          </cell>
          <cell r="AH9">
            <v>0</v>
          </cell>
          <cell r="AI9" t="str">
            <v>n.m.</v>
          </cell>
          <cell r="AJ9" t="str">
            <v>n.m.</v>
          </cell>
          <cell r="AK9" t="str">
            <v>n.m.</v>
          </cell>
        </row>
        <row r="10">
          <cell r="A10" t="str">
            <v>BRD-A</v>
          </cell>
          <cell r="B10" t="str">
            <v>AMX: BRD</v>
          </cell>
          <cell r="C10" t="str">
            <v>BRD</v>
          </cell>
          <cell r="D10" t="str">
            <v>Brigus Gold</v>
          </cell>
          <cell r="E10">
            <v>178826672</v>
          </cell>
          <cell r="F10">
            <v>9715109</v>
          </cell>
          <cell r="G10">
            <v>1.57</v>
          </cell>
          <cell r="H10">
            <v>37926221</v>
          </cell>
          <cell r="I10">
            <v>1.3974279810266359</v>
          </cell>
          <cell r="J10" t="str">
            <v>December, 2010</v>
          </cell>
          <cell r="K10" t="str">
            <v>$4.0MM @ $2.07</v>
          </cell>
          <cell r="L10">
            <v>6539000</v>
          </cell>
          <cell r="M10">
            <v>35811000</v>
          </cell>
          <cell r="N10">
            <v>-24941000</v>
          </cell>
          <cell r="O10" t="str">
            <v>Black Fox, Goldfields</v>
          </cell>
          <cell r="P10" t="str">
            <v>ON, SK</v>
          </cell>
          <cell r="Q10" t="str">
            <v>Sprott Asset Management - 11.1%</v>
          </cell>
          <cell r="R10" t="str">
            <v>Wellington - 11.0%</v>
          </cell>
          <cell r="S10" t="str">
            <v>Linear Gold Corp - 8.8%</v>
          </cell>
          <cell r="U10" t="str">
            <v>Inst. #1 - 11.1%</v>
          </cell>
          <cell r="V10" t="str">
            <v>Inst. #2 - 11.0%</v>
          </cell>
          <cell r="W10" t="str">
            <v>Corp. #1 - 8.8%</v>
          </cell>
          <cell r="Y10">
            <v>1.6</v>
          </cell>
          <cell r="Z10">
            <v>1.05</v>
          </cell>
          <cell r="AA10">
            <v>2.23</v>
          </cell>
          <cell r="AB10">
            <v>292</v>
          </cell>
          <cell r="AC10">
            <v>2360.4</v>
          </cell>
          <cell r="AD10">
            <v>2545.7876157909018</v>
          </cell>
          <cell r="AE10">
            <v>901.62258371089024</v>
          </cell>
          <cell r="AF10">
            <v>183810574.76874998</v>
          </cell>
          <cell r="AG10">
            <v>352258147.19999999</v>
          </cell>
          <cell r="AH10">
            <v>3447.4101995017918</v>
          </cell>
          <cell r="AI10">
            <v>149.23663243518047</v>
          </cell>
          <cell r="AJ10">
            <v>138.36902380034704</v>
          </cell>
          <cell r="AK10">
            <v>102.18051430343485</v>
          </cell>
        </row>
        <row r="11">
          <cell r="A11" t="str">
            <v>CRSEF-5</v>
          </cell>
          <cell r="B11" t="str">
            <v>PINK: CRSEF</v>
          </cell>
          <cell r="C11" t="str">
            <v>CRSEF</v>
          </cell>
          <cell r="D11" t="str">
            <v>Carlisle Gold</v>
          </cell>
          <cell r="Y11">
            <v>0.25130000000000002</v>
          </cell>
          <cell r="Z11">
            <v>7.0300000000000001E-2</v>
          </cell>
          <cell r="AA11">
            <v>0.25800000000000001</v>
          </cell>
          <cell r="AB11">
            <v>18</v>
          </cell>
          <cell r="AF11">
            <v>0</v>
          </cell>
          <cell r="AG11">
            <v>17974800</v>
          </cell>
          <cell r="AH11">
            <v>0</v>
          </cell>
          <cell r="AI11" t="str">
            <v>n.m.</v>
          </cell>
          <cell r="AJ11" t="str">
            <v>n.m.</v>
          </cell>
          <cell r="AK11" t="str">
            <v>n.m.</v>
          </cell>
        </row>
        <row r="12">
          <cell r="A12" t="str">
            <v>CRJ-T</v>
          </cell>
          <cell r="B12" t="str">
            <v>TSX: CRJ</v>
          </cell>
          <cell r="C12" t="str">
            <v>CRJ</v>
          </cell>
          <cell r="D12" t="str">
            <v>Claude Resources</v>
          </cell>
          <cell r="E12">
            <v>132132364</v>
          </cell>
          <cell r="F12">
            <v>3904578</v>
          </cell>
          <cell r="G12">
            <v>1.1200000000000001</v>
          </cell>
          <cell r="H12">
            <v>7809500</v>
          </cell>
          <cell r="I12">
            <v>1.0031613790170897</v>
          </cell>
          <cell r="J12" t="str">
            <v>December, 2009</v>
          </cell>
          <cell r="K12" t="str">
            <v>$13.8MM @ $1.15 (special warrants)</v>
          </cell>
          <cell r="L12">
            <v>2477000</v>
          </cell>
          <cell r="M12">
            <v>9300000</v>
          </cell>
          <cell r="N12">
            <v>21144000</v>
          </cell>
          <cell r="O12" t="str">
            <v>Madsen, Seabee</v>
          </cell>
          <cell r="P12" t="str">
            <v>ON, SK</v>
          </cell>
          <cell r="Q12" t="str">
            <v>Bob Buchan - 6.7%</v>
          </cell>
          <cell r="U12" t="str">
            <v>B. Buchan - 6.7%</v>
          </cell>
          <cell r="Y12">
            <v>1.97</v>
          </cell>
          <cell r="Z12">
            <v>0.94</v>
          </cell>
          <cell r="AA12">
            <v>2.42</v>
          </cell>
          <cell r="AB12">
            <v>274</v>
          </cell>
          <cell r="AC12">
            <v>208.178</v>
          </cell>
          <cell r="AD12">
            <v>1343.3920000000001</v>
          </cell>
          <cell r="AE12">
            <v>616.98299999999995</v>
          </cell>
          <cell r="AF12">
            <v>137649834.81754622</v>
          </cell>
          <cell r="AG12">
            <v>261788981.60000002</v>
          </cell>
          <cell r="AH12">
            <v>1960.375</v>
          </cell>
          <cell r="AI12">
            <v>1257.5247221128075</v>
          </cell>
          <cell r="AJ12">
            <v>194.87162466353828</v>
          </cell>
          <cell r="AK12">
            <v>133.54025714467898</v>
          </cell>
        </row>
        <row r="13">
          <cell r="A13" t="str">
            <v>DGC-T</v>
          </cell>
          <cell r="B13" t="str">
            <v>TSX: DGC</v>
          </cell>
          <cell r="C13" t="str">
            <v>DGC</v>
          </cell>
          <cell r="D13" t="str">
            <v>Detour Gold</v>
          </cell>
          <cell r="L13">
            <v>527668000</v>
          </cell>
          <cell r="M13">
            <v>0</v>
          </cell>
          <cell r="N13">
            <v>519998000</v>
          </cell>
          <cell r="Y13">
            <v>26.58</v>
          </cell>
          <cell r="Z13">
            <v>13.99</v>
          </cell>
          <cell r="AA13">
            <v>33.47</v>
          </cell>
          <cell r="AB13">
            <v>2217</v>
          </cell>
          <cell r="AD13">
            <v>17670</v>
          </cell>
          <cell r="AF13">
            <v>0</v>
          </cell>
          <cell r="AG13">
            <v>1694626197.2</v>
          </cell>
          <cell r="AH13">
            <v>17670</v>
          </cell>
          <cell r="AI13" t="str">
            <v>n.m.</v>
          </cell>
          <cell r="AJ13">
            <v>95.904142456140349</v>
          </cell>
          <cell r="AK13">
            <v>95.904142456140349</v>
          </cell>
        </row>
        <row r="14">
          <cell r="A14" t="str">
            <v>GG-N</v>
          </cell>
          <cell r="B14" t="str">
            <v>NYSE: GG</v>
          </cell>
          <cell r="C14" t="str">
            <v>GG</v>
          </cell>
          <cell r="D14" t="str">
            <v>Goldcorp</v>
          </cell>
          <cell r="Y14">
            <v>40.74</v>
          </cell>
          <cell r="Z14">
            <v>32.840000000000003</v>
          </cell>
          <cell r="AA14">
            <v>48.94</v>
          </cell>
          <cell r="AB14">
            <v>32526.000000000004</v>
          </cell>
          <cell r="AF14">
            <v>0</v>
          </cell>
          <cell r="AG14">
            <v>32480463600.000004</v>
          </cell>
          <cell r="AH14">
            <v>0</v>
          </cell>
          <cell r="AI14" t="str">
            <v>n.m.</v>
          </cell>
          <cell r="AJ14" t="str">
            <v>n.m.</v>
          </cell>
          <cell r="AK14" t="str">
            <v>n.m.</v>
          </cell>
        </row>
        <row r="15">
          <cell r="A15" t="str">
            <v>GCU-V</v>
          </cell>
          <cell r="B15" t="str">
            <v>TSX-V: GCU</v>
          </cell>
          <cell r="C15" t="str">
            <v>GCU</v>
          </cell>
          <cell r="D15" t="str">
            <v>Gold Canyon</v>
          </cell>
          <cell r="E15">
            <v>88658445</v>
          </cell>
          <cell r="F15">
            <v>5630000</v>
          </cell>
          <cell r="G15">
            <v>0.2024866785079929</v>
          </cell>
          <cell r="H15">
            <v>13410716</v>
          </cell>
          <cell r="I15">
            <v>0.36732357951655975</v>
          </cell>
          <cell r="J15" t="str">
            <v>October, 2010</v>
          </cell>
          <cell r="K15" t="str">
            <v>$6.0MM @ $1.00</v>
          </cell>
          <cell r="L15">
            <v>7404497</v>
          </cell>
          <cell r="M15">
            <v>0</v>
          </cell>
          <cell r="N15">
            <v>7057503</v>
          </cell>
          <cell r="O15" t="str">
            <v>Springpole</v>
          </cell>
          <cell r="P15" t="str">
            <v>ON</v>
          </cell>
          <cell r="Q15" t="str">
            <v>Pinetree Capital - 8.7%</v>
          </cell>
          <cell r="R15" t="str">
            <v>Sprott Asset Management - 7.9%</v>
          </cell>
          <cell r="U15" t="str">
            <v>Inst. #1 - 8.7%</v>
          </cell>
          <cell r="V15" t="str">
            <v>Inst. #2 - 7.9%</v>
          </cell>
          <cell r="Y15">
            <v>2.4</v>
          </cell>
          <cell r="Z15">
            <v>0.18</v>
          </cell>
          <cell r="AA15">
            <v>2.76</v>
          </cell>
          <cell r="AB15">
            <v>218</v>
          </cell>
          <cell r="AC15">
            <v>0</v>
          </cell>
          <cell r="AD15">
            <v>45.5</v>
          </cell>
          <cell r="AE15">
            <v>197.1</v>
          </cell>
          <cell r="AF15">
            <v>105171630.91458333</v>
          </cell>
          <cell r="AG15">
            <v>210647177.50420001</v>
          </cell>
          <cell r="AH15">
            <v>242.6</v>
          </cell>
          <cell r="AI15" t="str">
            <v>n.m.</v>
          </cell>
          <cell r="AJ15">
            <v>4629.6082967956045</v>
          </cell>
          <cell r="AK15">
            <v>868.29009688458382</v>
          </cell>
        </row>
        <row r="16">
          <cell r="A16" t="str">
            <v>GRC-T</v>
          </cell>
          <cell r="B16" t="str">
            <v>TSX: GRC</v>
          </cell>
          <cell r="C16" t="str">
            <v>GRC</v>
          </cell>
          <cell r="D16" t="str">
            <v>Goldstone Resources</v>
          </cell>
          <cell r="E16">
            <v>103843272</v>
          </cell>
          <cell r="F16">
            <v>2451000</v>
          </cell>
          <cell r="G16">
            <v>0.79400000000000004</v>
          </cell>
          <cell r="H16">
            <v>5524243</v>
          </cell>
          <cell r="I16">
            <v>1.198</v>
          </cell>
          <cell r="J16" t="str">
            <v>November, 2010</v>
          </cell>
          <cell r="K16" t="str">
            <v>$6.5M @ $1.15</v>
          </cell>
          <cell r="L16">
            <v>9922234.0999999996</v>
          </cell>
          <cell r="M16">
            <v>0</v>
          </cell>
          <cell r="N16">
            <v>9505411.0999999996</v>
          </cell>
          <cell r="O16" t="str">
            <v>Brookbank, Hardrock, Northern Empire</v>
          </cell>
          <cell r="P16" t="str">
            <v>ON</v>
          </cell>
          <cell r="Q16" t="str">
            <v>Bendigo Mining - 14.7%</v>
          </cell>
          <cell r="U16" t="str">
            <v>Inst. #1 - 14.7%</v>
          </cell>
          <cell r="Y16">
            <v>0.83</v>
          </cell>
          <cell r="Z16">
            <v>0.37</v>
          </cell>
          <cell r="AA16">
            <v>1.2</v>
          </cell>
          <cell r="AB16">
            <v>87</v>
          </cell>
          <cell r="AC16">
            <v>0</v>
          </cell>
          <cell r="AD16">
            <v>664.60699999999997</v>
          </cell>
          <cell r="AE16">
            <v>569.61900000000003</v>
          </cell>
          <cell r="AF16">
            <v>103949580.43373494</v>
          </cell>
          <cell r="AG16">
            <v>77386096.475540012</v>
          </cell>
          <cell r="AH16">
            <v>1234.2260000000001</v>
          </cell>
          <cell r="AI16" t="str">
            <v>n.m.</v>
          </cell>
          <cell r="AJ16">
            <v>116.43888264123009</v>
          </cell>
          <cell r="AK16">
            <v>62.700102311521555</v>
          </cell>
        </row>
        <row r="17">
          <cell r="A17" t="str">
            <v>IAG-T</v>
          </cell>
          <cell r="B17" t="str">
            <v>TSX: IAG</v>
          </cell>
          <cell r="C17" t="str">
            <v>IAG</v>
          </cell>
          <cell r="D17" t="str">
            <v>IAMGOLD</v>
          </cell>
          <cell r="Y17">
            <v>36.700000000000003</v>
          </cell>
          <cell r="Z17">
            <v>29.69</v>
          </cell>
          <cell r="AA17">
            <v>37.4</v>
          </cell>
          <cell r="AB17">
            <v>3079</v>
          </cell>
          <cell r="AF17">
            <v>0</v>
          </cell>
          <cell r="AG17">
            <v>3074689400</v>
          </cell>
          <cell r="AH17">
            <v>0</v>
          </cell>
          <cell r="AI17" t="str">
            <v>n.m.</v>
          </cell>
          <cell r="AJ17" t="str">
            <v>n.m.</v>
          </cell>
          <cell r="AK17" t="str">
            <v>n.m.</v>
          </cell>
        </row>
        <row r="18">
          <cell r="A18" t="str">
            <v>KGI-T</v>
          </cell>
          <cell r="B18" t="str">
            <v>TSX: KGI</v>
          </cell>
          <cell r="C18" t="str">
            <v>KGI</v>
          </cell>
          <cell r="D18" t="str">
            <v>Kirkland Lake Gold</v>
          </cell>
          <cell r="E18">
            <v>67730634</v>
          </cell>
          <cell r="F18">
            <v>945250</v>
          </cell>
          <cell r="G18">
            <v>7.74</v>
          </cell>
          <cell r="H18">
            <v>3537936</v>
          </cell>
          <cell r="I18">
            <v>9.7200000000000006</v>
          </cell>
          <cell r="J18" t="str">
            <v>February, 2010</v>
          </cell>
          <cell r="K18" t="str">
            <v>$32.0MM @ $8.25</v>
          </cell>
          <cell r="L18">
            <v>48607767</v>
          </cell>
          <cell r="M18">
            <v>0</v>
          </cell>
          <cell r="N18">
            <v>46767143</v>
          </cell>
          <cell r="O18" t="str">
            <v>Main Break, South Mine Complex</v>
          </cell>
          <cell r="P18" t="str">
            <v>ON</v>
          </cell>
          <cell r="Q18" t="str">
            <v>JPMorgan Asset Management - 5.8%</v>
          </cell>
          <cell r="R18" t="str">
            <v>D Harold W Dobson - 5.5%</v>
          </cell>
          <cell r="U18" t="str">
            <v>Inst. #1 - 5.8%</v>
          </cell>
          <cell r="V18" t="str">
            <v>DHW Dobson - 5.5%</v>
          </cell>
          <cell r="Y18">
            <v>13.78</v>
          </cell>
          <cell r="Z18">
            <v>6.25</v>
          </cell>
          <cell r="AA18">
            <v>17.62</v>
          </cell>
          <cell r="AB18">
            <v>944</v>
          </cell>
          <cell r="AC18">
            <v>1036.5</v>
          </cell>
          <cell r="AD18">
            <v>2057.5</v>
          </cell>
          <cell r="AE18">
            <v>663.5</v>
          </cell>
          <cell r="AF18">
            <v>69187334.301886782</v>
          </cell>
          <cell r="AG18">
            <v>895976731.00020003</v>
          </cell>
          <cell r="AH18">
            <v>2721</v>
          </cell>
          <cell r="AI18">
            <v>864.42521080578877</v>
          </cell>
          <cell r="AJ18">
            <v>435.46864204140951</v>
          </cell>
          <cell r="AK18">
            <v>329.28215031245867</v>
          </cell>
        </row>
        <row r="19">
          <cell r="A19" t="str">
            <v>LSG-T</v>
          </cell>
          <cell r="B19" t="str">
            <v>TSX: LSG</v>
          </cell>
          <cell r="C19" t="str">
            <v>LSG</v>
          </cell>
          <cell r="D19" t="str">
            <v>Lake Shore Gold</v>
          </cell>
          <cell r="Y19">
            <v>3.73</v>
          </cell>
          <cell r="Z19">
            <v>2.48</v>
          </cell>
          <cell r="AA19">
            <v>4.32</v>
          </cell>
          <cell r="AB19">
            <v>1415</v>
          </cell>
          <cell r="AF19">
            <v>0</v>
          </cell>
          <cell r="AG19">
            <v>1413019000</v>
          </cell>
          <cell r="AH19">
            <v>0</v>
          </cell>
          <cell r="AI19" t="str">
            <v>n.m.</v>
          </cell>
          <cell r="AJ19" t="str">
            <v>n.m.</v>
          </cell>
          <cell r="AK19" t="str">
            <v>n.m.</v>
          </cell>
        </row>
        <row r="20">
          <cell r="A20" t="str">
            <v>MAO-V</v>
          </cell>
          <cell r="B20" t="str">
            <v>TSX-V: MAO</v>
          </cell>
          <cell r="C20" t="str">
            <v>MAO</v>
          </cell>
          <cell r="D20" t="str">
            <v>Maudore Minerals</v>
          </cell>
          <cell r="E20">
            <v>22774347</v>
          </cell>
          <cell r="F20">
            <v>1269500</v>
          </cell>
          <cell r="G20">
            <v>1.54</v>
          </cell>
          <cell r="H20">
            <v>0</v>
          </cell>
          <cell r="I20">
            <v>0</v>
          </cell>
          <cell r="J20" t="str">
            <v>December, 2010</v>
          </cell>
          <cell r="K20" t="str">
            <v>$5.0MM @ $8.00 (special units)</v>
          </cell>
          <cell r="L20">
            <v>3645084</v>
          </cell>
          <cell r="M20">
            <v>0</v>
          </cell>
          <cell r="N20">
            <v>6307441</v>
          </cell>
          <cell r="O20" t="str">
            <v>Comtois</v>
          </cell>
          <cell r="P20" t="str">
            <v>QC</v>
          </cell>
          <cell r="Y20">
            <v>6.04</v>
          </cell>
          <cell r="Z20">
            <v>3.05</v>
          </cell>
          <cell r="AA20">
            <v>6.65</v>
          </cell>
          <cell r="AB20">
            <v>137</v>
          </cell>
          <cell r="AC20">
            <v>0</v>
          </cell>
          <cell r="AD20">
            <v>0</v>
          </cell>
          <cell r="AE20">
            <v>1212.7929999999999</v>
          </cell>
          <cell r="AF20">
            <v>23720166.53642384</v>
          </cell>
          <cell r="AG20">
            <v>130509589.4174</v>
          </cell>
          <cell r="AH20">
            <v>1212.7929999999999</v>
          </cell>
          <cell r="AI20" t="str">
            <v>n.m.</v>
          </cell>
          <cell r="AJ20" t="str">
            <v>n.m.</v>
          </cell>
          <cell r="AK20">
            <v>107.61077068996936</v>
          </cell>
        </row>
        <row r="21">
          <cell r="A21" t="str">
            <v>PDL-T</v>
          </cell>
          <cell r="B21" t="str">
            <v>TSX: PDL</v>
          </cell>
          <cell r="C21" t="str">
            <v>PDL</v>
          </cell>
          <cell r="D21" t="str">
            <v>N.A. Palladium</v>
          </cell>
          <cell r="Y21">
            <v>6.55</v>
          </cell>
          <cell r="Z21">
            <v>3.06</v>
          </cell>
          <cell r="AA21">
            <v>7.92</v>
          </cell>
          <cell r="AB21">
            <v>1012.9999999999999</v>
          </cell>
          <cell r="AF21">
            <v>0</v>
          </cell>
          <cell r="AG21">
            <v>1011581799.9999999</v>
          </cell>
          <cell r="AH21">
            <v>0</v>
          </cell>
          <cell r="AI21" t="str">
            <v>n.m.</v>
          </cell>
          <cell r="AJ21" t="str">
            <v>n.m.</v>
          </cell>
          <cell r="AK21" t="str">
            <v>n.m.</v>
          </cell>
        </row>
        <row r="22">
          <cell r="A22" t="str">
            <v>NGM-V</v>
          </cell>
          <cell r="B22" t="str">
            <v>TSX-V: NGM</v>
          </cell>
          <cell r="C22" t="str">
            <v>NGM</v>
          </cell>
          <cell r="D22" t="str">
            <v>Northern Gold</v>
          </cell>
          <cell r="E22">
            <v>88686188</v>
          </cell>
          <cell r="F22">
            <v>6575000</v>
          </cell>
          <cell r="G22">
            <v>0.31</v>
          </cell>
          <cell r="H22">
            <v>31602511</v>
          </cell>
          <cell r="I22">
            <v>0.25041052165127009</v>
          </cell>
          <cell r="J22" t="str">
            <v>November, 2010</v>
          </cell>
          <cell r="K22" t="str">
            <v>$3.1M @ $0.40 (HDUs) &amp; $1.9M @ $0.45 (FTUs)</v>
          </cell>
          <cell r="L22">
            <v>6660492</v>
          </cell>
          <cell r="M22">
            <v>0</v>
          </cell>
          <cell r="N22">
            <v>6699003</v>
          </cell>
          <cell r="O22" t="str">
            <v>Garrison</v>
          </cell>
          <cell r="P22" t="str">
            <v>ON</v>
          </cell>
          <cell r="Q22" t="str">
            <v>Sprott Asset Management - 7.7%</v>
          </cell>
          <cell r="U22" t="str">
            <v>Sprott Asset Management - 7.7%</v>
          </cell>
          <cell r="Y22">
            <v>0.42499999999999999</v>
          </cell>
          <cell r="Z22">
            <v>0.105</v>
          </cell>
          <cell r="AA22">
            <v>0.48</v>
          </cell>
          <cell r="AB22">
            <v>38</v>
          </cell>
          <cell r="AC22">
            <v>0</v>
          </cell>
          <cell r="AD22">
            <v>165.76</v>
          </cell>
          <cell r="AE22">
            <v>621.23199999999997</v>
          </cell>
          <cell r="AF22">
            <v>103447578.3764706</v>
          </cell>
          <cell r="AG22">
            <v>31257175.604200002</v>
          </cell>
          <cell r="AH22">
            <v>786.99199999999996</v>
          </cell>
          <cell r="AI22" t="str">
            <v>n.m.</v>
          </cell>
          <cell r="AJ22">
            <v>188.5688682685811</v>
          </cell>
          <cell r="AK22">
            <v>39.717272353721519</v>
          </cell>
        </row>
        <row r="23">
          <cell r="A23" t="str">
            <v>NGX-T</v>
          </cell>
          <cell r="B23" t="str">
            <v>TSX: NGX</v>
          </cell>
          <cell r="C23" t="str">
            <v>NGX</v>
          </cell>
          <cell r="D23" t="str">
            <v>Northgate Minerals</v>
          </cell>
          <cell r="E23">
            <v>291080975</v>
          </cell>
          <cell r="F23">
            <v>6325850</v>
          </cell>
          <cell r="G23">
            <v>2.4900000000000002</v>
          </cell>
          <cell r="H23">
            <v>0</v>
          </cell>
          <cell r="I23">
            <v>0</v>
          </cell>
          <cell r="J23" t="str">
            <v>October, 2010</v>
          </cell>
          <cell r="K23" t="str">
            <v>$163.5MM 3.5% senior converts</v>
          </cell>
          <cell r="L23">
            <v>168174000</v>
          </cell>
          <cell r="M23">
            <v>0</v>
          </cell>
          <cell r="N23">
            <v>127457000</v>
          </cell>
          <cell r="O23" t="str">
            <v>Foserville, Kemess, Stawell, Young-Davidson</v>
          </cell>
          <cell r="P23" t="str">
            <v>BC, ON</v>
          </cell>
          <cell r="Q23" t="str">
            <v>Van Eck Associates - 9.8%</v>
          </cell>
          <cell r="R23" t="str">
            <v>Renaissance Technologies #1 - 5.3%</v>
          </cell>
          <cell r="U23" t="str">
            <v>Inst. #1 - 9.8%</v>
          </cell>
          <cell r="V23" t="str">
            <v>Corp. #1 - 5.3%</v>
          </cell>
          <cell r="Y23">
            <v>2.65</v>
          </cell>
          <cell r="Z23">
            <v>2.42</v>
          </cell>
          <cell r="AA23">
            <v>3.62</v>
          </cell>
          <cell r="AB23">
            <v>771</v>
          </cell>
          <cell r="AC23">
            <v>3754.2959999999998</v>
          </cell>
          <cell r="AD23">
            <v>11602.602999999999</v>
          </cell>
          <cell r="AE23">
            <v>1552.85</v>
          </cell>
          <cell r="AF23">
            <v>291462913.11320752</v>
          </cell>
          <cell r="AG23">
            <v>642642039.80000007</v>
          </cell>
          <cell r="AH23">
            <v>13155.453</v>
          </cell>
          <cell r="AI23">
            <v>171.17511240456267</v>
          </cell>
          <cell r="AJ23">
            <v>55.387747025387327</v>
          </cell>
          <cell r="AK23">
            <v>48.849860191055377</v>
          </cell>
        </row>
        <row r="24">
          <cell r="A24" t="str">
            <v>OSK-T</v>
          </cell>
          <cell r="B24" t="str">
            <v>TSX: OSK</v>
          </cell>
          <cell r="C24" t="str">
            <v>OSK</v>
          </cell>
          <cell r="D24" t="str">
            <v>Osisko</v>
          </cell>
          <cell r="L24">
            <v>427470000</v>
          </cell>
          <cell r="M24">
            <v>172709000</v>
          </cell>
          <cell r="N24">
            <v>385047000</v>
          </cell>
          <cell r="Y24">
            <v>13.3</v>
          </cell>
          <cell r="Z24">
            <v>7.8</v>
          </cell>
          <cell r="AA24">
            <v>16.39</v>
          </cell>
          <cell r="AB24">
            <v>5077</v>
          </cell>
          <cell r="AF24">
            <v>0</v>
          </cell>
          <cell r="AG24">
            <v>4857851473.1999998</v>
          </cell>
          <cell r="AH24">
            <v>0</v>
          </cell>
          <cell r="AI24" t="str">
            <v>n.m.</v>
          </cell>
          <cell r="AJ24" t="str">
            <v>n.m.</v>
          </cell>
          <cell r="AK24" t="str">
            <v>n.m.</v>
          </cell>
        </row>
        <row r="25">
          <cell r="A25" t="str">
            <v>PG-T</v>
          </cell>
          <cell r="B25" t="str">
            <v>TSX: PG</v>
          </cell>
          <cell r="C25" t="str">
            <v>PG</v>
          </cell>
          <cell r="D25" t="str">
            <v>Premier Gold</v>
          </cell>
          <cell r="Y25">
            <v>6.46</v>
          </cell>
          <cell r="Z25">
            <v>3.4</v>
          </cell>
          <cell r="AA25">
            <v>7.75</v>
          </cell>
          <cell r="AB25">
            <v>673</v>
          </cell>
          <cell r="AF25">
            <v>0</v>
          </cell>
          <cell r="AG25">
            <v>672057800</v>
          </cell>
          <cell r="AH25">
            <v>0</v>
          </cell>
          <cell r="AI25" t="str">
            <v>n.m.</v>
          </cell>
          <cell r="AJ25" t="str">
            <v>n.m.</v>
          </cell>
          <cell r="AK25" t="str">
            <v>n.m.</v>
          </cell>
        </row>
        <row r="26">
          <cell r="A26" t="str">
            <v>PDG-V</v>
          </cell>
          <cell r="B26" t="str">
            <v>TSX-V: PDG</v>
          </cell>
          <cell r="C26" t="str">
            <v>PDG</v>
          </cell>
          <cell r="D26" t="str">
            <v>Prodigy Gold</v>
          </cell>
          <cell r="Y26">
            <v>0.26</v>
          </cell>
          <cell r="Z26">
            <v>0.19</v>
          </cell>
          <cell r="AA26">
            <v>0.51</v>
          </cell>
          <cell r="AB26">
            <v>46</v>
          </cell>
          <cell r="AF26">
            <v>0</v>
          </cell>
          <cell r="AG26">
            <v>45935600</v>
          </cell>
          <cell r="AH26">
            <v>0</v>
          </cell>
          <cell r="AI26" t="str">
            <v>n.m.</v>
          </cell>
          <cell r="AJ26" t="str">
            <v>n.m.</v>
          </cell>
          <cell r="AK26" t="str">
            <v>n.m.</v>
          </cell>
        </row>
        <row r="27">
          <cell r="A27" t="str">
            <v>QMI-T</v>
          </cell>
          <cell r="B27" t="str">
            <v>TSX: QMI</v>
          </cell>
          <cell r="C27" t="str">
            <v>QMI</v>
          </cell>
          <cell r="D27" t="str">
            <v>Queenston Mining</v>
          </cell>
          <cell r="E27">
            <v>77756628</v>
          </cell>
          <cell r="F27">
            <v>5605500</v>
          </cell>
          <cell r="G27">
            <v>3.03</v>
          </cell>
          <cell r="H27">
            <v>2709081</v>
          </cell>
          <cell r="I27">
            <v>6.9925234793644044</v>
          </cell>
          <cell r="J27" t="str">
            <v>November, 2010</v>
          </cell>
          <cell r="K27" t="str">
            <v>$20.1MM @ $6.70</v>
          </cell>
          <cell r="L27">
            <v>54322473</v>
          </cell>
          <cell r="M27">
            <v>0</v>
          </cell>
          <cell r="N27">
            <v>53201991</v>
          </cell>
          <cell r="O27" t="str">
            <v>Anoki, McBean, South Mine Complex, Upper Beaver</v>
          </cell>
          <cell r="P27" t="str">
            <v>ON</v>
          </cell>
          <cell r="Q27" t="str">
            <v>Pinetree Capital - 11.1%</v>
          </cell>
          <cell r="R27" t="str">
            <v>Agnico-Eagle - 8.5%</v>
          </cell>
          <cell r="S27" t="str">
            <v>Ned Goodman Investment Counsel - 8.3%</v>
          </cell>
          <cell r="U27" t="str">
            <v>Inst. #1 - 11.1%</v>
          </cell>
          <cell r="V27" t="str">
            <v>Corp. #1 - 8.5%</v>
          </cell>
          <cell r="W27" t="str">
            <v>Inst. #2 - 8.4%</v>
          </cell>
          <cell r="Y27">
            <v>5.45</v>
          </cell>
          <cell r="Z27">
            <v>3.2</v>
          </cell>
          <cell r="AA27">
            <v>6.55</v>
          </cell>
          <cell r="AB27">
            <v>424</v>
          </cell>
          <cell r="AC27">
            <v>0</v>
          </cell>
          <cell r="AD27">
            <v>657.2</v>
          </cell>
          <cell r="AE27">
            <v>582.5</v>
          </cell>
          <cell r="AF27">
            <v>80245675.706422016</v>
          </cell>
          <cell r="AG27">
            <v>370278891.78740001</v>
          </cell>
          <cell r="AH27">
            <v>1239.7</v>
          </cell>
          <cell r="AI27" t="str">
            <v>n.m.</v>
          </cell>
          <cell r="AJ27">
            <v>563.41888586031644</v>
          </cell>
          <cell r="AK27">
            <v>298.68427182979752</v>
          </cell>
        </row>
        <row r="28">
          <cell r="A28" t="str">
            <v>RR-V</v>
          </cell>
          <cell r="B28" t="str">
            <v>TSX-V: RR</v>
          </cell>
          <cell r="C28" t="str">
            <v>RR</v>
          </cell>
          <cell r="D28" t="str">
            <v>Rainy River</v>
          </cell>
          <cell r="L28">
            <v>613955199</v>
          </cell>
          <cell r="M28">
            <v>0</v>
          </cell>
          <cell r="N28">
            <v>59638088</v>
          </cell>
          <cell r="Y28">
            <v>11.65</v>
          </cell>
          <cell r="Z28">
            <v>4.3</v>
          </cell>
          <cell r="AA28">
            <v>13.5</v>
          </cell>
          <cell r="AB28">
            <v>958</v>
          </cell>
          <cell r="AF28">
            <v>0</v>
          </cell>
          <cell r="AG28">
            <v>897104205.32319999</v>
          </cell>
          <cell r="AH28">
            <v>0</v>
          </cell>
          <cell r="AI28" t="str">
            <v>n.m.</v>
          </cell>
          <cell r="AJ28" t="str">
            <v>n.m.</v>
          </cell>
          <cell r="AK28" t="str">
            <v>n.m.</v>
          </cell>
        </row>
        <row r="29">
          <cell r="A29" t="str">
            <v>RIC-T</v>
          </cell>
          <cell r="B29" t="str">
            <v>TSX: RIC</v>
          </cell>
          <cell r="C29" t="str">
            <v>RIC</v>
          </cell>
          <cell r="D29" t="str">
            <v>Richmont Mines</v>
          </cell>
          <cell r="Y29">
            <v>4.45</v>
          </cell>
          <cell r="Z29">
            <v>3.7800000000000002</v>
          </cell>
          <cell r="AA29">
            <v>5.71</v>
          </cell>
          <cell r="AB29">
            <v>139</v>
          </cell>
          <cell r="AF29">
            <v>0</v>
          </cell>
          <cell r="AG29">
            <v>138805400</v>
          </cell>
          <cell r="AH29">
            <v>0</v>
          </cell>
          <cell r="AI29" t="str">
            <v>n.m.</v>
          </cell>
          <cell r="AJ29" t="str">
            <v>n.m.</v>
          </cell>
          <cell r="AK29" t="str">
            <v>n.m.</v>
          </cell>
        </row>
        <row r="30">
          <cell r="A30" t="str">
            <v>RLL-V</v>
          </cell>
          <cell r="B30" t="str">
            <v>TSX-V: RLL</v>
          </cell>
          <cell r="C30" t="str">
            <v>RLL</v>
          </cell>
          <cell r="D30" t="str">
            <v>Rolling Rock</v>
          </cell>
          <cell r="Y30" t="str">
            <v>#NT/FND</v>
          </cell>
          <cell r="Z30" t="str">
            <v>#NT/FND</v>
          </cell>
          <cell r="AA30" t="str">
            <v>#NT/FND</v>
          </cell>
          <cell r="AB30" t="e">
            <v>#VALUE!</v>
          </cell>
          <cell r="AF30" t="e">
            <v>#VALUE!</v>
          </cell>
          <cell r="AG30" t="e">
            <v>#VALUE!</v>
          </cell>
          <cell r="AH30">
            <v>0</v>
          </cell>
          <cell r="AI30" t="str">
            <v>n.m.</v>
          </cell>
          <cell r="AJ30" t="str">
            <v>n.m.</v>
          </cell>
          <cell r="AK30" t="str">
            <v>n.m.</v>
          </cell>
        </row>
        <row r="31">
          <cell r="A31" t="str">
            <v>RMX-T</v>
          </cell>
          <cell r="B31" t="str">
            <v>TSX: RMX</v>
          </cell>
          <cell r="C31" t="str">
            <v>RMX</v>
          </cell>
          <cell r="D31" t="str">
            <v>Rubicon Minerals</v>
          </cell>
          <cell r="E31">
            <v>213569174</v>
          </cell>
          <cell r="F31">
            <v>8520500</v>
          </cell>
          <cell r="G31">
            <v>2.7</v>
          </cell>
          <cell r="H31">
            <v>0</v>
          </cell>
          <cell r="I31">
            <v>0</v>
          </cell>
          <cell r="J31" t="str">
            <v>October, 2010</v>
          </cell>
          <cell r="K31" t="str">
            <v>$190.2MM @ $4.16</v>
          </cell>
          <cell r="L31">
            <v>85661049</v>
          </cell>
          <cell r="M31">
            <v>0</v>
          </cell>
          <cell r="N31">
            <v>77988534</v>
          </cell>
          <cell r="O31" t="str">
            <v>Pheonix Gold</v>
          </cell>
          <cell r="P31" t="str">
            <v>ON</v>
          </cell>
          <cell r="Q31" t="str">
            <v>Oppenheimer Funds - 5.2%</v>
          </cell>
          <cell r="U31" t="str">
            <v>Inst. #1 - 5.2%</v>
          </cell>
          <cell r="Y31">
            <v>4.99</v>
          </cell>
          <cell r="Z31">
            <v>3.24</v>
          </cell>
          <cell r="AA31">
            <v>6.5</v>
          </cell>
          <cell r="AB31">
            <v>1069</v>
          </cell>
          <cell r="AC31">
            <v>0</v>
          </cell>
          <cell r="AD31">
            <v>0</v>
          </cell>
          <cell r="AE31">
            <v>4007</v>
          </cell>
          <cell r="AF31">
            <v>217479383.41883767</v>
          </cell>
          <cell r="AG31">
            <v>989624049.94760001</v>
          </cell>
          <cell r="AH31">
            <v>4007</v>
          </cell>
          <cell r="AI31" t="str">
            <v>n.m.</v>
          </cell>
          <cell r="AJ31" t="str">
            <v>n.m.</v>
          </cell>
          <cell r="AK31">
            <v>246.97380832233591</v>
          </cell>
        </row>
        <row r="32">
          <cell r="A32" t="str">
            <v>SGR-T</v>
          </cell>
          <cell r="B32" t="str">
            <v>TSX: SGR</v>
          </cell>
          <cell r="C32" t="str">
            <v>SGR</v>
          </cell>
          <cell r="D32" t="str">
            <v>San Gold</v>
          </cell>
          <cell r="E32">
            <v>300408146</v>
          </cell>
          <cell r="F32">
            <v>13837685</v>
          </cell>
          <cell r="G32">
            <v>2.06</v>
          </cell>
          <cell r="H32">
            <v>0</v>
          </cell>
          <cell r="I32">
            <v>0</v>
          </cell>
          <cell r="J32" t="str">
            <v>August, 2010</v>
          </cell>
          <cell r="K32" t="str">
            <v>$80.0MM @ $4.00</v>
          </cell>
          <cell r="L32">
            <v>75698516</v>
          </cell>
          <cell r="M32">
            <v>1633025</v>
          </cell>
          <cell r="N32">
            <v>87558272</v>
          </cell>
          <cell r="O32" t="str">
            <v>Rice Lake, Tully Gold Property</v>
          </cell>
          <cell r="P32" t="str">
            <v>MB, ON</v>
          </cell>
          <cell r="Q32" t="str">
            <v>Goodman &amp; Company - 8.5%</v>
          </cell>
          <cell r="R32" t="str">
            <v>Fidelity - 6.3%</v>
          </cell>
          <cell r="S32" t="str">
            <v>Van Eck Associates Corp - 5.2%</v>
          </cell>
          <cell r="U32" t="str">
            <v>Inst. #1 - 8.5%</v>
          </cell>
          <cell r="V32" t="str">
            <v>Inst. #2 - 6.3%</v>
          </cell>
          <cell r="W32" t="str">
            <v>Inst. #3 - 5.2%</v>
          </cell>
          <cell r="Y32">
            <v>3.04</v>
          </cell>
          <cell r="Z32">
            <v>2.63</v>
          </cell>
          <cell r="AA32">
            <v>5</v>
          </cell>
          <cell r="AB32">
            <v>913</v>
          </cell>
          <cell r="AC32">
            <v>767.125</v>
          </cell>
          <cell r="AD32">
            <v>1625.9649999999999</v>
          </cell>
          <cell r="AE32">
            <v>1884.81</v>
          </cell>
          <cell r="AF32">
            <v>304868978.66447371</v>
          </cell>
          <cell r="AG32">
            <v>825916848.34580004</v>
          </cell>
          <cell r="AH32">
            <v>3510.7749999999996</v>
          </cell>
          <cell r="AI32">
            <v>1076.6392026668407</v>
          </cell>
          <cell r="AJ32">
            <v>507.95487501010177</v>
          </cell>
          <cell r="AK32">
            <v>235.25200229174473</v>
          </cell>
        </row>
        <row r="33">
          <cell r="A33" t="str">
            <v>SAS-T</v>
          </cell>
          <cell r="B33" t="str">
            <v>TSX: SAS</v>
          </cell>
          <cell r="C33" t="str">
            <v>SAS</v>
          </cell>
          <cell r="D33" t="str">
            <v>St. Andrew Goldfields</v>
          </cell>
          <cell r="E33">
            <v>360528090</v>
          </cell>
          <cell r="F33">
            <v>14879167</v>
          </cell>
          <cell r="G33">
            <v>0.81</v>
          </cell>
          <cell r="H33">
            <v>16839389</v>
          </cell>
          <cell r="I33">
            <v>0.44</v>
          </cell>
          <cell r="J33" t="str">
            <v>August, 2010</v>
          </cell>
          <cell r="K33" t="str">
            <v>$28.9MM @ $1.25 (special units)</v>
          </cell>
          <cell r="L33">
            <v>33954000</v>
          </cell>
          <cell r="M33">
            <v>15556000</v>
          </cell>
          <cell r="N33">
            <v>29546000</v>
          </cell>
          <cell r="O33" t="str">
            <v>Aquarius, Clavos, Hislop, Holloway, Holt, Taylor</v>
          </cell>
          <cell r="P33" t="str">
            <v>ON</v>
          </cell>
          <cell r="Q33" t="str">
            <v>Randall Abramson - 24.8%</v>
          </cell>
          <cell r="R33" t="str">
            <v>2187791 Ontario Inc - 11.5%</v>
          </cell>
          <cell r="S33" t="str">
            <v>2187793 Ontario Inc - 10.9%</v>
          </cell>
          <cell r="T33" t="str">
            <v>Herbert Abramson - 8.2%</v>
          </cell>
          <cell r="U33" t="str">
            <v>R. Abramson - 24.8%</v>
          </cell>
          <cell r="V33" t="str">
            <v>Corp. #1 - 11.5%</v>
          </cell>
          <cell r="W33" t="str">
            <v>Corp. #2 - 10.9%</v>
          </cell>
          <cell r="X33" t="str">
            <v>H. Abramson - 8.2%</v>
          </cell>
          <cell r="Y33">
            <v>1.37</v>
          </cell>
          <cell r="Z33">
            <v>0.67</v>
          </cell>
          <cell r="AA33">
            <v>1.71</v>
          </cell>
          <cell r="AB33">
            <v>502</v>
          </cell>
          <cell r="AC33">
            <v>749</v>
          </cell>
          <cell r="AD33">
            <v>3532.8</v>
          </cell>
          <cell r="AE33">
            <v>1079</v>
          </cell>
          <cell r="AF33">
            <v>378041203.35036498</v>
          </cell>
          <cell r="AG33">
            <v>487326786</v>
          </cell>
          <cell r="AH33">
            <v>4611.8</v>
          </cell>
          <cell r="AI33">
            <v>650.63656341789056</v>
          </cell>
          <cell r="AJ33">
            <v>137.94349694293479</v>
          </cell>
          <cell r="AK33">
            <v>105.66954030964048</v>
          </cell>
        </row>
        <row r="34">
          <cell r="A34" t="str">
            <v>TME-V</v>
          </cell>
          <cell r="B34" t="str">
            <v>TSX-V: TME</v>
          </cell>
          <cell r="C34" t="str">
            <v>TME</v>
          </cell>
          <cell r="D34" t="str">
            <v>Temex Resources</v>
          </cell>
          <cell r="Y34">
            <v>0.42499999999999999</v>
          </cell>
          <cell r="Z34">
            <v>0.17</v>
          </cell>
          <cell r="AA34">
            <v>0.48</v>
          </cell>
          <cell r="AB34">
            <v>45</v>
          </cell>
          <cell r="AC34">
            <v>0</v>
          </cell>
          <cell r="AD34">
            <v>614</v>
          </cell>
          <cell r="AE34">
            <v>602</v>
          </cell>
          <cell r="AF34">
            <v>0</v>
          </cell>
          <cell r="AG34">
            <v>44937000</v>
          </cell>
          <cell r="AH34">
            <v>1216</v>
          </cell>
          <cell r="AI34" t="str">
            <v>n.m.</v>
          </cell>
          <cell r="AJ34">
            <v>73.187296416938111</v>
          </cell>
          <cell r="AK34">
            <v>36.954769736842103</v>
          </cell>
        </row>
        <row r="35">
          <cell r="A35" t="str">
            <v>TWD-V</v>
          </cell>
          <cell r="B35" t="str">
            <v>TSX-V: TWD</v>
          </cell>
          <cell r="C35" t="str">
            <v>TWD</v>
          </cell>
          <cell r="D35" t="str">
            <v>Trade Winds Ventures</v>
          </cell>
          <cell r="Y35">
            <v>0.33</v>
          </cell>
          <cell r="Z35">
            <v>0.105</v>
          </cell>
          <cell r="AA35">
            <v>0.47499999999999998</v>
          </cell>
          <cell r="AB35">
            <v>54</v>
          </cell>
          <cell r="AC35">
            <v>0</v>
          </cell>
          <cell r="AD35">
            <v>962</v>
          </cell>
          <cell r="AE35">
            <v>381</v>
          </cell>
          <cell r="AF35">
            <v>0</v>
          </cell>
          <cell r="AG35">
            <v>53924400</v>
          </cell>
          <cell r="AH35">
            <v>1343</v>
          </cell>
          <cell r="AI35" t="str">
            <v>n.m.</v>
          </cell>
          <cell r="AJ35">
            <v>56.054469854469858</v>
          </cell>
          <cell r="AK35">
            <v>40.152196574832466</v>
          </cell>
        </row>
        <row r="36">
          <cell r="A36" t="str">
            <v>TRR-V</v>
          </cell>
          <cell r="B36" t="str">
            <v>TSX-V: TRR</v>
          </cell>
          <cell r="C36" t="str">
            <v>TRR</v>
          </cell>
          <cell r="D36" t="str">
            <v>Trelawney</v>
          </cell>
          <cell r="E36">
            <v>120608877</v>
          </cell>
          <cell r="F36">
            <v>6954000</v>
          </cell>
          <cell r="G36">
            <v>0.55000000000000004</v>
          </cell>
          <cell r="H36">
            <v>6791224</v>
          </cell>
          <cell r="I36">
            <v>0.98890852370647764</v>
          </cell>
          <cell r="J36" t="str">
            <v>December, 2010</v>
          </cell>
          <cell r="K36" t="str">
            <v>$57.1M @ $2.50</v>
          </cell>
          <cell r="L36">
            <v>64398292</v>
          </cell>
          <cell r="M36">
            <v>0</v>
          </cell>
          <cell r="N36">
            <v>62663377</v>
          </cell>
          <cell r="O36" t="str">
            <v>Chester</v>
          </cell>
          <cell r="P36" t="str">
            <v>ON</v>
          </cell>
          <cell r="Q36" t="str">
            <v>Libra Advisors - 10.7%</v>
          </cell>
          <cell r="R36" t="str">
            <v>Metallum Resources - 5.4%</v>
          </cell>
          <cell r="U36" t="str">
            <v>Inst. #1 - 10.7%</v>
          </cell>
          <cell r="V36" t="str">
            <v>Corp. #1 - 5.4%</v>
          </cell>
          <cell r="Y36">
            <v>3.12</v>
          </cell>
          <cell r="Z36">
            <v>0.45</v>
          </cell>
          <cell r="AA36">
            <v>3.4</v>
          </cell>
          <cell r="AB36">
            <v>376.29969624</v>
          </cell>
          <cell r="AC36">
            <v>0</v>
          </cell>
          <cell r="AD36">
            <v>0</v>
          </cell>
          <cell r="AE36">
            <v>0</v>
          </cell>
          <cell r="AF36">
            <v>130975703.78846154</v>
          </cell>
          <cell r="AG36">
            <v>313197228.39306402</v>
          </cell>
          <cell r="AH36">
            <v>0</v>
          </cell>
          <cell r="AI36" t="str">
            <v>n.m.</v>
          </cell>
          <cell r="AJ36" t="str">
            <v>n.m.</v>
          </cell>
          <cell r="AK36" t="str">
            <v>n.m.</v>
          </cell>
        </row>
        <row r="37">
          <cell r="A37" t="str">
            <v>VIO-V</v>
          </cell>
          <cell r="B37" t="str">
            <v>TSX-V: VIO</v>
          </cell>
          <cell r="C37" t="str">
            <v>VIO</v>
          </cell>
          <cell r="D37" t="str">
            <v>Vior</v>
          </cell>
          <cell r="Y37">
            <v>0.13500000000000001</v>
          </cell>
          <cell r="Z37">
            <v>7.0000000000000007E-2</v>
          </cell>
          <cell r="AA37">
            <v>0.20499999999999999</v>
          </cell>
          <cell r="AB37">
            <v>13</v>
          </cell>
          <cell r="AF37">
            <v>0</v>
          </cell>
          <cell r="AG37">
            <v>12981800</v>
          </cell>
          <cell r="AH37">
            <v>0</v>
          </cell>
          <cell r="AI37" t="str">
            <v>n.m.</v>
          </cell>
          <cell r="AJ37" t="str">
            <v>n.m.</v>
          </cell>
          <cell r="AK37" t="str">
            <v>n.m.</v>
          </cell>
        </row>
        <row r="38">
          <cell r="A38" t="str">
            <v>WDO-T</v>
          </cell>
          <cell r="B38" t="str">
            <v>TSX: WDO</v>
          </cell>
          <cell r="C38" t="str">
            <v>WDO</v>
          </cell>
          <cell r="D38" t="str">
            <v>Wesdome Gold Mines</v>
          </cell>
          <cell r="E38">
            <v>100957909</v>
          </cell>
          <cell r="F38">
            <v>1995250</v>
          </cell>
          <cell r="G38">
            <v>1.88</v>
          </cell>
          <cell r="H38">
            <v>0</v>
          </cell>
          <cell r="I38">
            <v>0</v>
          </cell>
          <cell r="J38" t="str">
            <v>December, 2008</v>
          </cell>
          <cell r="K38" t="str">
            <v>$1.7MM @ $1.15</v>
          </cell>
          <cell r="L38">
            <v>21538000</v>
          </cell>
          <cell r="M38">
            <v>9916000</v>
          </cell>
          <cell r="N38">
            <v>31924000</v>
          </cell>
          <cell r="O38" t="str">
            <v>Eagle River, Kiena, Mishi, Wesdome</v>
          </cell>
          <cell r="P38" t="str">
            <v>ON, QC</v>
          </cell>
          <cell r="Q38" t="str">
            <v>Sprott Asset Management - 11.8%</v>
          </cell>
          <cell r="R38" t="str">
            <v>AGF Investments - 10.5%</v>
          </cell>
          <cell r="S38" t="str">
            <v>Alexander Christ - 9.9%</v>
          </cell>
          <cell r="U38" t="str">
            <v>Inst. #1 - 11.8%</v>
          </cell>
          <cell r="V38" t="str">
            <v>Inst. #2 - 10.5%</v>
          </cell>
          <cell r="W38" t="str">
            <v>A. Christ - 9.9%</v>
          </cell>
          <cell r="Y38">
            <v>2.7199999999999998</v>
          </cell>
          <cell r="Z38">
            <v>2</v>
          </cell>
          <cell r="AA38">
            <v>3.1</v>
          </cell>
          <cell r="AB38">
            <v>275</v>
          </cell>
          <cell r="AC38">
            <v>188</v>
          </cell>
          <cell r="AD38">
            <v>829</v>
          </cell>
          <cell r="AE38">
            <v>595</v>
          </cell>
          <cell r="AF38">
            <v>101574089.14705883</v>
          </cell>
          <cell r="AG38">
            <v>252637811.20000002</v>
          </cell>
          <cell r="AH38">
            <v>1424</v>
          </cell>
          <cell r="AI38">
            <v>1343.8181446808512</v>
          </cell>
          <cell r="AJ38">
            <v>304.75007382388424</v>
          </cell>
          <cell r="AK38">
            <v>177.41419325842699</v>
          </cell>
        </row>
      </sheetData>
      <sheetData sheetId="13" refreshError="1">
        <row r="4">
          <cell r="D4" t="str">
            <v>Location</v>
          </cell>
          <cell r="H4" t="str">
            <v>Reserves (P&amp;P) - 100%</v>
          </cell>
          <cell r="K4" t="str">
            <v>M&amp;I Resources - 100%1</v>
          </cell>
          <cell r="N4" t="str">
            <v>Inferred Resources - 100%</v>
          </cell>
          <cell r="Q4" t="str">
            <v>Reserves (P&amp;P) - % Owned</v>
          </cell>
          <cell r="T4" t="str">
            <v>M&amp;I Resources - % Owned1</v>
          </cell>
          <cell r="W4" t="str">
            <v>Inferred Resources - % Owned</v>
          </cell>
          <cell r="Z4" t="str">
            <v>State/Province</v>
          </cell>
          <cell r="AB4" t="str">
            <v>tonnes/ton</v>
          </cell>
          <cell r="AC4">
            <v>0.90718474000000004</v>
          </cell>
        </row>
        <row r="5">
          <cell r="A5" t="str">
            <v>Project</v>
          </cell>
          <cell r="B5" t="str">
            <v>Company</v>
          </cell>
          <cell r="C5" t="str">
            <v>Ownership</v>
          </cell>
          <cell r="D5" t="str">
            <v>Country</v>
          </cell>
          <cell r="E5" t="str">
            <v>State/Province</v>
          </cell>
          <cell r="F5" t="str">
            <v>County/District</v>
          </cell>
          <cell r="G5" t="str">
            <v>Town</v>
          </cell>
          <cell r="H5" t="str">
            <v>Tonnes</v>
          </cell>
          <cell r="I5" t="str">
            <v>Grade (g Au/t)</v>
          </cell>
          <cell r="J5" t="str">
            <v>Total (oz Au)</v>
          </cell>
          <cell r="K5" t="str">
            <v>Tonnes</v>
          </cell>
          <cell r="L5" t="str">
            <v>Grade (g Au/t)</v>
          </cell>
          <cell r="M5" t="str">
            <v>Total (oz Au)</v>
          </cell>
          <cell r="N5" t="str">
            <v>Tonnes</v>
          </cell>
          <cell r="O5" t="str">
            <v>Grade (g Au/t)</v>
          </cell>
          <cell r="P5" t="str">
            <v>Total (oz Au)</v>
          </cell>
          <cell r="Q5" t="str">
            <v>Tonnes</v>
          </cell>
          <cell r="R5" t="str">
            <v>Grade (g Au/t)</v>
          </cell>
          <cell r="S5" t="str">
            <v>Total (oz Au)</v>
          </cell>
          <cell r="T5" t="str">
            <v>Tonnes</v>
          </cell>
          <cell r="U5" t="str">
            <v>Grade (g Au/t)</v>
          </cell>
          <cell r="V5" t="str">
            <v>Total (oz Au)</v>
          </cell>
          <cell r="W5" t="str">
            <v>Tonnes</v>
          </cell>
          <cell r="X5" t="str">
            <v>Grade (g Au/t)</v>
          </cell>
          <cell r="Y5" t="str">
            <v>Total (oz Au)</v>
          </cell>
          <cell r="Z5" t="str">
            <v>To Publish</v>
          </cell>
        </row>
        <row r="6">
          <cell r="A6" t="str">
            <v>Goldex</v>
          </cell>
          <cell r="B6" t="str">
            <v>Agnico Eagle</v>
          </cell>
          <cell r="C6">
            <v>1</v>
          </cell>
          <cell r="D6" t="str">
            <v>Canada</v>
          </cell>
          <cell r="E6" t="str">
            <v>Quebec</v>
          </cell>
          <cell r="F6" t="str">
            <v>Dubuisson</v>
          </cell>
          <cell r="G6" t="str">
            <v>Val d'Or</v>
          </cell>
          <cell r="H6">
            <v>24741000</v>
          </cell>
          <cell r="I6">
            <v>2.0515654177276588</v>
          </cell>
          <cell r="J6">
            <v>1630000</v>
          </cell>
          <cell r="K6">
            <v>24961000</v>
          </cell>
          <cell r="L6">
            <v>2.0492600456712475</v>
          </cell>
          <cell r="M6">
            <v>1643000</v>
          </cell>
          <cell r="N6">
            <v>10540000</v>
          </cell>
          <cell r="O6">
            <v>2.37</v>
          </cell>
          <cell r="P6">
            <v>802000</v>
          </cell>
          <cell r="Q6">
            <v>24741000</v>
          </cell>
          <cell r="R6">
            <v>2.0515654177276588</v>
          </cell>
          <cell r="S6">
            <v>1630000</v>
          </cell>
          <cell r="T6">
            <v>24961000</v>
          </cell>
          <cell r="U6">
            <v>2.0492600456712475</v>
          </cell>
          <cell r="V6">
            <v>1643000</v>
          </cell>
          <cell r="W6">
            <v>10540000</v>
          </cell>
          <cell r="X6">
            <v>2.37</v>
          </cell>
          <cell r="Y6">
            <v>802000</v>
          </cell>
          <cell r="Z6" t="str">
            <v>QC</v>
          </cell>
        </row>
        <row r="7">
          <cell r="A7" t="str">
            <v>Lapa</v>
          </cell>
          <cell r="B7" t="str">
            <v>Agnico Eagle</v>
          </cell>
          <cell r="C7">
            <v>1</v>
          </cell>
          <cell r="D7" t="str">
            <v>Canada</v>
          </cell>
          <cell r="E7" t="str">
            <v>Quebec</v>
          </cell>
          <cell r="F7" t="str">
            <v>Abitibi</v>
          </cell>
          <cell r="G7" t="str">
            <v>Cadillac</v>
          </cell>
          <cell r="H7">
            <v>3216000</v>
          </cell>
          <cell r="I7">
            <v>8.1569402985074628</v>
          </cell>
          <cell r="J7">
            <v>843000</v>
          </cell>
          <cell r="K7">
            <v>4888000</v>
          </cell>
          <cell r="L7">
            <v>6.9505073649754499</v>
          </cell>
          <cell r="M7">
            <v>1092000</v>
          </cell>
          <cell r="N7">
            <v>383000</v>
          </cell>
          <cell r="O7">
            <v>7.9</v>
          </cell>
          <cell r="P7">
            <v>100000</v>
          </cell>
          <cell r="Q7">
            <v>3216000</v>
          </cell>
          <cell r="R7">
            <v>8.1569402985074628</v>
          </cell>
          <cell r="S7">
            <v>843000</v>
          </cell>
          <cell r="T7">
            <v>4888000</v>
          </cell>
          <cell r="U7">
            <v>6.9505073649754499</v>
          </cell>
          <cell r="V7">
            <v>1092000</v>
          </cell>
          <cell r="W7">
            <v>383000</v>
          </cell>
          <cell r="X7">
            <v>7.9</v>
          </cell>
          <cell r="Y7">
            <v>100000</v>
          </cell>
          <cell r="Z7" t="str">
            <v>QC</v>
          </cell>
        </row>
        <row r="8">
          <cell r="A8" t="str">
            <v>LaRonde</v>
          </cell>
          <cell r="B8" t="str">
            <v>Agnico Eagle</v>
          </cell>
          <cell r="C8">
            <v>1</v>
          </cell>
          <cell r="D8" t="str">
            <v>Canada</v>
          </cell>
          <cell r="E8" t="str">
            <v>Quebec</v>
          </cell>
          <cell r="F8" t="str">
            <v>Bousquet</v>
          </cell>
          <cell r="G8" t="str">
            <v>Cadillac</v>
          </cell>
          <cell r="H8">
            <v>29629755</v>
          </cell>
          <cell r="I8">
            <v>4.3908289703315884</v>
          </cell>
          <cell r="J8">
            <v>4850000</v>
          </cell>
          <cell r="K8">
            <v>36111755</v>
          </cell>
          <cell r="L8">
            <v>3.9347543933499556</v>
          </cell>
          <cell r="M8">
            <v>5236000</v>
          </cell>
          <cell r="N8">
            <v>10942000</v>
          </cell>
          <cell r="O8">
            <v>3.93</v>
          </cell>
          <cell r="P8">
            <v>1384000</v>
          </cell>
          <cell r="Q8">
            <v>29629755</v>
          </cell>
          <cell r="R8">
            <v>4.3908289703315884</v>
          </cell>
          <cell r="S8">
            <v>4850000</v>
          </cell>
          <cell r="T8">
            <v>36111755</v>
          </cell>
          <cell r="U8">
            <v>3.9347543933499556</v>
          </cell>
          <cell r="V8">
            <v>5236000</v>
          </cell>
          <cell r="W8">
            <v>10942000</v>
          </cell>
          <cell r="X8">
            <v>3.93</v>
          </cell>
          <cell r="Y8">
            <v>1384000</v>
          </cell>
          <cell r="Z8" t="str">
            <v>QC</v>
          </cell>
        </row>
        <row r="9">
          <cell r="A9" t="str">
            <v>Casa Berardi</v>
          </cell>
          <cell r="B9" t="str">
            <v>Aurizon Mines</v>
          </cell>
          <cell r="C9">
            <v>1</v>
          </cell>
          <cell r="D9" t="str">
            <v>Canada</v>
          </cell>
          <cell r="E9" t="str">
            <v>Quebec</v>
          </cell>
          <cell r="F9" t="str">
            <v>Casa Berardi</v>
          </cell>
          <cell r="G9" t="str">
            <v>La Sarre</v>
          </cell>
          <cell r="H9">
            <v>4433000</v>
          </cell>
          <cell r="I9">
            <v>7.1</v>
          </cell>
          <cell r="J9">
            <v>1010000</v>
          </cell>
          <cell r="K9">
            <v>12953000</v>
          </cell>
          <cell r="L9">
            <v>8.8105674361151856</v>
          </cell>
          <cell r="M9">
            <v>2248000</v>
          </cell>
          <cell r="N9">
            <v>4621000</v>
          </cell>
          <cell r="O9">
            <v>4.3921168578229821</v>
          </cell>
          <cell r="P9">
            <v>861000</v>
          </cell>
          <cell r="Q9">
            <v>4433000</v>
          </cell>
          <cell r="R9">
            <v>7.1</v>
          </cell>
          <cell r="S9">
            <v>1010000</v>
          </cell>
          <cell r="T9">
            <v>12953000</v>
          </cell>
          <cell r="U9">
            <v>8.8105674361151856</v>
          </cell>
          <cell r="V9">
            <v>2248000</v>
          </cell>
          <cell r="W9">
            <v>4621000</v>
          </cell>
          <cell r="X9">
            <v>4.3921168578229821</v>
          </cell>
          <cell r="Y9">
            <v>861000</v>
          </cell>
          <cell r="Z9" t="str">
            <v>QC</v>
          </cell>
        </row>
        <row r="10">
          <cell r="A10" t="str">
            <v>Joanna</v>
          </cell>
          <cell r="B10" t="str">
            <v>Aurizon Mines</v>
          </cell>
          <cell r="C10">
            <v>1</v>
          </cell>
          <cell r="D10" t="str">
            <v>Canada</v>
          </cell>
          <cell r="E10" t="str">
            <v>Quebec</v>
          </cell>
          <cell r="F10" t="str">
            <v>NW Quebec</v>
          </cell>
          <cell r="G10" t="str">
            <v>Rouyn-Noranda</v>
          </cell>
          <cell r="H10">
            <v>26050000</v>
          </cell>
          <cell r="I10">
            <v>1.22</v>
          </cell>
          <cell r="J10">
            <v>1022600</v>
          </cell>
          <cell r="K10">
            <v>71000000</v>
          </cell>
          <cell r="L10">
            <v>1.3276267605633802</v>
          </cell>
          <cell r="M10">
            <v>3024600</v>
          </cell>
          <cell r="N10">
            <v>33270000</v>
          </cell>
          <cell r="O10">
            <v>1.35</v>
          </cell>
          <cell r="P10">
            <v>1440000</v>
          </cell>
          <cell r="Q10">
            <v>26050000</v>
          </cell>
          <cell r="R10">
            <v>1.22</v>
          </cell>
          <cell r="S10">
            <v>1022600</v>
          </cell>
          <cell r="T10">
            <v>71000000</v>
          </cell>
          <cell r="U10">
            <v>1.3276267605633802</v>
          </cell>
          <cell r="V10">
            <v>3024600</v>
          </cell>
          <cell r="W10">
            <v>33270000</v>
          </cell>
          <cell r="X10">
            <v>1.35</v>
          </cell>
          <cell r="Y10">
            <v>1440000</v>
          </cell>
          <cell r="Z10" t="str">
            <v>QC</v>
          </cell>
        </row>
        <row r="11">
          <cell r="A11" t="str">
            <v>Hemlo</v>
          </cell>
          <cell r="B11" t="str">
            <v>Barrick Gold</v>
          </cell>
          <cell r="C11">
            <v>1</v>
          </cell>
          <cell r="D11" t="str">
            <v>Canada</v>
          </cell>
          <cell r="E11" t="str">
            <v>Ontario</v>
          </cell>
          <cell r="F11" t="str">
            <v>Hemlo</v>
          </cell>
          <cell r="G11" t="str">
            <v>Marathon</v>
          </cell>
          <cell r="I11">
            <v>2.3638644800000002</v>
          </cell>
          <cell r="J11">
            <v>1325000</v>
          </cell>
          <cell r="L11">
            <v>2.3401702849588428</v>
          </cell>
          <cell r="M11">
            <v>1504000</v>
          </cell>
          <cell r="O11">
            <v>0</v>
          </cell>
          <cell r="P11">
            <v>0</v>
          </cell>
          <cell r="Q11">
            <v>0</v>
          </cell>
          <cell r="R11">
            <v>2.3638644800000002</v>
          </cell>
          <cell r="S11">
            <v>1325000</v>
          </cell>
          <cell r="T11">
            <v>0</v>
          </cell>
          <cell r="U11">
            <v>2.3401702849588428</v>
          </cell>
          <cell r="V11">
            <v>1504000</v>
          </cell>
          <cell r="W11">
            <v>0</v>
          </cell>
          <cell r="X11">
            <v>0</v>
          </cell>
          <cell r="Y11">
            <v>0</v>
          </cell>
          <cell r="Z11" t="str">
            <v>ON</v>
          </cell>
        </row>
        <row r="12">
          <cell r="A12" t="str">
            <v>Black Fox</v>
          </cell>
          <cell r="B12" t="str">
            <v>Brigus Gold</v>
          </cell>
          <cell r="C12">
            <v>1</v>
          </cell>
          <cell r="D12" t="str">
            <v>Canada</v>
          </cell>
          <cell r="E12" t="str">
            <v>Ontario</v>
          </cell>
          <cell r="F12" t="str">
            <v>Beatty</v>
          </cell>
          <cell r="G12" t="str">
            <v>Matheson</v>
          </cell>
          <cell r="I12">
            <v>6.4</v>
          </cell>
          <cell r="J12">
            <v>1330000</v>
          </cell>
          <cell r="L12">
            <v>6.4</v>
          </cell>
          <cell r="M12">
            <v>1425680.611944387</v>
          </cell>
          <cell r="O12">
            <v>6.6</v>
          </cell>
          <cell r="P12">
            <v>744804.11838160874</v>
          </cell>
          <cell r="Q12">
            <v>0</v>
          </cell>
          <cell r="R12">
            <v>6.4</v>
          </cell>
          <cell r="S12">
            <v>1330000</v>
          </cell>
          <cell r="T12">
            <v>0</v>
          </cell>
          <cell r="U12">
            <v>6.4</v>
          </cell>
          <cell r="V12">
            <v>1425680.611944387</v>
          </cell>
          <cell r="W12">
            <v>0</v>
          </cell>
          <cell r="X12">
            <v>6.6</v>
          </cell>
          <cell r="Y12">
            <v>744804.11838160874</v>
          </cell>
          <cell r="Z12" t="str">
            <v>ON</v>
          </cell>
        </row>
        <row r="13">
          <cell r="A13" t="str">
            <v>Goldfields</v>
          </cell>
          <cell r="B13" t="str">
            <v>Brigus Gold</v>
          </cell>
          <cell r="C13">
            <v>1</v>
          </cell>
          <cell r="D13" t="str">
            <v>Canada</v>
          </cell>
          <cell r="E13" t="str">
            <v>Saskatchewan</v>
          </cell>
          <cell r="F13" t="str">
            <v>Beaverlodge</v>
          </cell>
          <cell r="G13" t="str">
            <v>Uranium City</v>
          </cell>
          <cell r="I13">
            <v>1.2348548698357686</v>
          </cell>
          <cell r="J13">
            <v>1030400</v>
          </cell>
          <cell r="L13">
            <v>1.4</v>
          </cell>
          <cell r="M13">
            <v>1120107.003846515</v>
          </cell>
          <cell r="O13">
            <v>0.82559241706161135</v>
          </cell>
          <cell r="P13">
            <v>156818.46532928149</v>
          </cell>
          <cell r="Q13">
            <v>0</v>
          </cell>
          <cell r="R13">
            <v>1.2348548698357686</v>
          </cell>
          <cell r="S13">
            <v>1030400</v>
          </cell>
          <cell r="T13">
            <v>0</v>
          </cell>
          <cell r="U13">
            <v>1.4</v>
          </cell>
          <cell r="V13">
            <v>1120107.003846515</v>
          </cell>
          <cell r="W13">
            <v>0</v>
          </cell>
          <cell r="X13">
            <v>0.82559241706161135</v>
          </cell>
          <cell r="Y13">
            <v>156818.46532928149</v>
          </cell>
          <cell r="Z13" t="str">
            <v>SK</v>
          </cell>
        </row>
        <row r="14">
          <cell r="A14" t="str">
            <v>Lynn Lake</v>
          </cell>
          <cell r="B14" t="str">
            <v>Carlisle Gold</v>
          </cell>
          <cell r="C14">
            <v>1</v>
          </cell>
          <cell r="D14" t="str">
            <v>Canada</v>
          </cell>
          <cell r="E14" t="str">
            <v>Manitoba</v>
          </cell>
          <cell r="H14">
            <v>0</v>
          </cell>
          <cell r="I14">
            <v>0</v>
          </cell>
          <cell r="J14">
            <v>0</v>
          </cell>
          <cell r="K14">
            <v>5314000</v>
          </cell>
          <cell r="L14">
            <v>3.59</v>
          </cell>
          <cell r="M14">
            <v>612600</v>
          </cell>
          <cell r="N14">
            <v>4428000</v>
          </cell>
          <cell r="O14">
            <v>2.97</v>
          </cell>
          <cell r="P14">
            <v>422600</v>
          </cell>
          <cell r="Q14">
            <v>0</v>
          </cell>
          <cell r="R14">
            <v>0</v>
          </cell>
          <cell r="S14">
            <v>0</v>
          </cell>
          <cell r="T14">
            <v>5314000</v>
          </cell>
          <cell r="U14">
            <v>3.59</v>
          </cell>
          <cell r="V14">
            <v>612600</v>
          </cell>
          <cell r="W14">
            <v>4428000</v>
          </cell>
          <cell r="X14">
            <v>2.97</v>
          </cell>
          <cell r="Y14">
            <v>422600</v>
          </cell>
          <cell r="Z14" t="str">
            <v>MB</v>
          </cell>
        </row>
        <row r="15">
          <cell r="A15" t="str">
            <v>Madsen</v>
          </cell>
          <cell r="B15" t="str">
            <v>Claude Resources</v>
          </cell>
          <cell r="C15">
            <v>1</v>
          </cell>
          <cell r="D15" t="str">
            <v>Canada</v>
          </cell>
          <cell r="E15" t="str">
            <v>Ontario</v>
          </cell>
          <cell r="F15" t="str">
            <v>Red Lake</v>
          </cell>
          <cell r="G15" t="str">
            <v>Madsen</v>
          </cell>
          <cell r="H15">
            <v>0</v>
          </cell>
          <cell r="I15">
            <v>0</v>
          </cell>
          <cell r="J15">
            <v>0</v>
          </cell>
          <cell r="K15">
            <v>3236000</v>
          </cell>
          <cell r="L15">
            <v>8.93</v>
          </cell>
          <cell r="M15">
            <v>928000</v>
          </cell>
          <cell r="N15">
            <v>788000</v>
          </cell>
          <cell r="O15">
            <v>11.74</v>
          </cell>
          <cell r="P15">
            <v>297000</v>
          </cell>
          <cell r="Q15">
            <v>0</v>
          </cell>
          <cell r="R15">
            <v>0</v>
          </cell>
          <cell r="S15">
            <v>0</v>
          </cell>
          <cell r="T15">
            <v>3236000</v>
          </cell>
          <cell r="U15">
            <v>8.93</v>
          </cell>
          <cell r="V15">
            <v>928000</v>
          </cell>
          <cell r="W15">
            <v>788000</v>
          </cell>
          <cell r="X15">
            <v>11.74</v>
          </cell>
          <cell r="Y15">
            <v>297000</v>
          </cell>
          <cell r="Z15" t="str">
            <v>ON</v>
          </cell>
        </row>
        <row r="16">
          <cell r="A16" t="str">
            <v>Seabee</v>
          </cell>
          <cell r="B16" t="str">
            <v>Claude Resources</v>
          </cell>
          <cell r="C16">
            <v>1</v>
          </cell>
          <cell r="D16" t="str">
            <v>Canada</v>
          </cell>
          <cell r="E16" t="str">
            <v>Saskatchewan</v>
          </cell>
          <cell r="F16" t="str">
            <v>Peninsula at NE end of Laonil Lake</v>
          </cell>
          <cell r="G16" t="str">
            <v>La Ronge</v>
          </cell>
          <cell r="H16">
            <v>949637</v>
          </cell>
          <cell r="I16">
            <v>6.82</v>
          </cell>
          <cell r="J16">
            <v>208178</v>
          </cell>
          <cell r="K16">
            <v>1768170</v>
          </cell>
          <cell r="L16">
            <v>7.3060729737525243</v>
          </cell>
          <cell r="M16">
            <v>415392</v>
          </cell>
          <cell r="N16">
            <v>1250982</v>
          </cell>
          <cell r="O16">
            <v>7.96</v>
          </cell>
          <cell r="P16">
            <v>319983</v>
          </cell>
          <cell r="Q16">
            <v>949637</v>
          </cell>
          <cell r="R16">
            <v>6.82</v>
          </cell>
          <cell r="S16">
            <v>208178</v>
          </cell>
          <cell r="T16">
            <v>1768170</v>
          </cell>
          <cell r="U16">
            <v>7.3060729737525243</v>
          </cell>
          <cell r="V16">
            <v>415392</v>
          </cell>
          <cell r="W16">
            <v>1250982</v>
          </cell>
          <cell r="X16">
            <v>7.96</v>
          </cell>
          <cell r="Y16">
            <v>319983</v>
          </cell>
          <cell r="Z16" t="str">
            <v>SK</v>
          </cell>
        </row>
        <row r="17">
          <cell r="A17" t="str">
            <v>Detour Lake</v>
          </cell>
          <cell r="B17" t="str">
            <v>Detour Gold</v>
          </cell>
          <cell r="C17">
            <v>1</v>
          </cell>
          <cell r="D17" t="str">
            <v>Canada</v>
          </cell>
          <cell r="E17" t="str">
            <v>Ontario</v>
          </cell>
          <cell r="H17">
            <v>347500000</v>
          </cell>
          <cell r="I17">
            <v>1.02</v>
          </cell>
          <cell r="J17">
            <v>11389000</v>
          </cell>
          <cell r="K17">
            <v>510000000</v>
          </cell>
          <cell r="L17">
            <v>1.08</v>
          </cell>
          <cell r="M17">
            <v>17670000</v>
          </cell>
          <cell r="N17">
            <v>133600000</v>
          </cell>
          <cell r="O17">
            <v>0.8</v>
          </cell>
          <cell r="P17">
            <v>3430000</v>
          </cell>
          <cell r="Q17">
            <v>347500000</v>
          </cell>
          <cell r="R17">
            <v>1.02</v>
          </cell>
          <cell r="S17">
            <v>11389000</v>
          </cell>
          <cell r="T17">
            <v>510000000</v>
          </cell>
          <cell r="U17">
            <v>1.08</v>
          </cell>
          <cell r="V17">
            <v>17670000</v>
          </cell>
          <cell r="W17">
            <v>133600000</v>
          </cell>
          <cell r="X17">
            <v>0.8</v>
          </cell>
          <cell r="Y17">
            <v>3430000</v>
          </cell>
          <cell r="Z17" t="str">
            <v>ON</v>
          </cell>
        </row>
        <row r="18">
          <cell r="A18" t="str">
            <v>Springpole</v>
          </cell>
          <cell r="B18" t="str">
            <v>Gold Canyon</v>
          </cell>
          <cell r="C18">
            <v>1</v>
          </cell>
          <cell r="D18" t="str">
            <v>Canada</v>
          </cell>
          <cell r="E18" t="str">
            <v>Ontario</v>
          </cell>
          <cell r="F18" t="str">
            <v>Red Lake</v>
          </cell>
          <cell r="G18" t="str">
            <v>Casummit Lake</v>
          </cell>
          <cell r="H18">
            <v>0</v>
          </cell>
          <cell r="I18">
            <v>0</v>
          </cell>
          <cell r="J18">
            <v>0</v>
          </cell>
          <cell r="K18">
            <v>249000</v>
          </cell>
          <cell r="L18">
            <v>5.66</v>
          </cell>
          <cell r="M18">
            <v>45500</v>
          </cell>
          <cell r="N18">
            <v>1353000</v>
          </cell>
          <cell r="O18">
            <v>4.53</v>
          </cell>
          <cell r="P18">
            <v>197100</v>
          </cell>
          <cell r="Q18">
            <v>0</v>
          </cell>
          <cell r="R18">
            <v>0</v>
          </cell>
          <cell r="S18">
            <v>0</v>
          </cell>
          <cell r="T18">
            <v>249000</v>
          </cell>
          <cell r="U18">
            <v>5.66</v>
          </cell>
          <cell r="V18">
            <v>45500</v>
          </cell>
          <cell r="W18">
            <v>1353000</v>
          </cell>
          <cell r="X18">
            <v>4.53</v>
          </cell>
          <cell r="Y18">
            <v>197100</v>
          </cell>
          <cell r="Z18" t="str">
            <v>ON</v>
          </cell>
        </row>
        <row r="19">
          <cell r="A19" t="str">
            <v>Eleonore</v>
          </cell>
          <cell r="B19" t="str">
            <v>Goldcorp</v>
          </cell>
          <cell r="C19">
            <v>1</v>
          </cell>
          <cell r="D19" t="str">
            <v>Canada</v>
          </cell>
          <cell r="E19" t="str">
            <v>Quebec</v>
          </cell>
          <cell r="F19" t="str">
            <v>Opinace Area, James Bay</v>
          </cell>
          <cell r="I19" t="str">
            <v>-</v>
          </cell>
          <cell r="J19">
            <v>0</v>
          </cell>
          <cell r="L19">
            <v>11.92</v>
          </cell>
          <cell r="M19">
            <v>3150000</v>
          </cell>
          <cell r="O19">
            <v>12.93</v>
          </cell>
          <cell r="P19">
            <v>6250000</v>
          </cell>
          <cell r="Q19">
            <v>0</v>
          </cell>
          <cell r="R19" t="str">
            <v>-</v>
          </cell>
          <cell r="S19">
            <v>0</v>
          </cell>
          <cell r="T19">
            <v>0</v>
          </cell>
          <cell r="U19">
            <v>11.92</v>
          </cell>
          <cell r="V19">
            <v>3150000</v>
          </cell>
          <cell r="W19">
            <v>0</v>
          </cell>
          <cell r="X19">
            <v>12.93</v>
          </cell>
          <cell r="Y19">
            <v>6250000</v>
          </cell>
          <cell r="Z19" t="str">
            <v>QC</v>
          </cell>
        </row>
        <row r="20">
          <cell r="A20" t="str">
            <v>Musselwhite</v>
          </cell>
          <cell r="B20" t="str">
            <v>Goldcorp</v>
          </cell>
          <cell r="C20">
            <v>1</v>
          </cell>
          <cell r="D20" t="str">
            <v>Canada</v>
          </cell>
          <cell r="E20" t="str">
            <v>Ontario</v>
          </cell>
          <cell r="F20" t="str">
            <v>Thunder Bay North</v>
          </cell>
          <cell r="G20" t="str">
            <v>Pickle Lake</v>
          </cell>
          <cell r="I20">
            <v>6.29</v>
          </cell>
          <cell r="J20">
            <v>2110000</v>
          </cell>
          <cell r="L20">
            <v>6.1947058823529408</v>
          </cell>
          <cell r="M20">
            <v>2380000</v>
          </cell>
          <cell r="O20">
            <v>5.92</v>
          </cell>
          <cell r="P20">
            <v>750000</v>
          </cell>
          <cell r="Q20">
            <v>0</v>
          </cell>
          <cell r="R20">
            <v>6.29</v>
          </cell>
          <cell r="S20">
            <v>2110000</v>
          </cell>
          <cell r="T20">
            <v>0</v>
          </cell>
          <cell r="U20">
            <v>6.1947058823529408</v>
          </cell>
          <cell r="V20">
            <v>2380000</v>
          </cell>
          <cell r="W20">
            <v>0</v>
          </cell>
          <cell r="X20">
            <v>5.92</v>
          </cell>
          <cell r="Y20">
            <v>750000</v>
          </cell>
          <cell r="Z20" t="str">
            <v>ON</v>
          </cell>
        </row>
        <row r="21">
          <cell r="A21" t="str">
            <v>Porcupine</v>
          </cell>
          <cell r="B21" t="str">
            <v>Goldcorp</v>
          </cell>
          <cell r="C21">
            <v>1</v>
          </cell>
          <cell r="D21" t="str">
            <v>Canada</v>
          </cell>
          <cell r="E21" t="str">
            <v>Ontario</v>
          </cell>
          <cell r="F21" t="str">
            <v>Hoyle</v>
          </cell>
          <cell r="G21" t="str">
            <v>Timmins</v>
          </cell>
          <cell r="I21">
            <v>1.5</v>
          </cell>
          <cell r="J21">
            <v>2729000</v>
          </cell>
          <cell r="L21">
            <v>1.3959866649570458</v>
          </cell>
          <cell r="M21">
            <v>7799000</v>
          </cell>
          <cell r="O21">
            <v>3.66</v>
          </cell>
          <cell r="P21">
            <v>840000</v>
          </cell>
          <cell r="Q21">
            <v>0</v>
          </cell>
          <cell r="R21">
            <v>1.5</v>
          </cell>
          <cell r="S21">
            <v>2729000</v>
          </cell>
          <cell r="T21">
            <v>0</v>
          </cell>
          <cell r="U21">
            <v>1.3959866649570458</v>
          </cell>
          <cell r="V21">
            <v>7799000</v>
          </cell>
          <cell r="W21">
            <v>0</v>
          </cell>
          <cell r="X21">
            <v>3.66</v>
          </cell>
          <cell r="Y21">
            <v>840000</v>
          </cell>
          <cell r="Z21" t="str">
            <v>ON</v>
          </cell>
        </row>
        <row r="22">
          <cell r="A22" t="str">
            <v>Red Lake</v>
          </cell>
          <cell r="B22" t="str">
            <v>Goldcorp</v>
          </cell>
          <cell r="C22">
            <v>1</v>
          </cell>
          <cell r="D22" t="str">
            <v>Canada</v>
          </cell>
          <cell r="E22" t="str">
            <v>Ontario</v>
          </cell>
          <cell r="F22" t="str">
            <v>Balmer</v>
          </cell>
          <cell r="G22" t="str">
            <v>Red Lake</v>
          </cell>
          <cell r="I22">
            <v>12.58</v>
          </cell>
          <cell r="J22">
            <v>3420000</v>
          </cell>
          <cell r="L22">
            <v>13.843065693430656</v>
          </cell>
          <cell r="M22">
            <v>5480000</v>
          </cell>
          <cell r="O22">
            <v>19.39</v>
          </cell>
          <cell r="P22">
            <v>2160000</v>
          </cell>
          <cell r="Q22">
            <v>0</v>
          </cell>
          <cell r="R22">
            <v>12.58</v>
          </cell>
          <cell r="S22">
            <v>3420000</v>
          </cell>
          <cell r="T22">
            <v>0</v>
          </cell>
          <cell r="U22">
            <v>13.843065693430656</v>
          </cell>
          <cell r="V22">
            <v>5480000</v>
          </cell>
          <cell r="W22">
            <v>0</v>
          </cell>
          <cell r="X22">
            <v>19.39</v>
          </cell>
          <cell r="Y22">
            <v>2160000</v>
          </cell>
          <cell r="Z22" t="str">
            <v>ON</v>
          </cell>
        </row>
        <row r="23">
          <cell r="A23" t="str">
            <v>Brookbank</v>
          </cell>
          <cell r="B23" t="str">
            <v>Goldstone Resources</v>
          </cell>
          <cell r="C23">
            <v>1</v>
          </cell>
          <cell r="D23" t="str">
            <v>Canada</v>
          </cell>
          <cell r="E23" t="str">
            <v>Ontario</v>
          </cell>
          <cell r="F23" t="str">
            <v>Irwin, Sandra</v>
          </cell>
          <cell r="G23" t="str">
            <v>Beardmore</v>
          </cell>
          <cell r="H23">
            <v>0</v>
          </cell>
          <cell r="I23">
            <v>0</v>
          </cell>
          <cell r="J23">
            <v>0</v>
          </cell>
          <cell r="K23">
            <v>1840300</v>
          </cell>
          <cell r="L23">
            <v>7.3</v>
          </cell>
          <cell r="M23">
            <v>432300</v>
          </cell>
          <cell r="N23">
            <v>2655600</v>
          </cell>
          <cell r="O23">
            <v>4.9000000000000004</v>
          </cell>
          <cell r="P23">
            <v>421400</v>
          </cell>
          <cell r="Q23">
            <v>0</v>
          </cell>
          <cell r="R23">
            <v>0</v>
          </cell>
          <cell r="S23">
            <v>0</v>
          </cell>
          <cell r="T23">
            <v>1840300</v>
          </cell>
          <cell r="U23">
            <v>7.3</v>
          </cell>
          <cell r="V23">
            <v>432300</v>
          </cell>
          <cell r="W23">
            <v>2655600</v>
          </cell>
          <cell r="X23">
            <v>4.9000000000000004</v>
          </cell>
          <cell r="Y23">
            <v>421400</v>
          </cell>
          <cell r="Z23" t="str">
            <v>ON</v>
          </cell>
        </row>
        <row r="24">
          <cell r="A24" t="str">
            <v>Hardrock</v>
          </cell>
          <cell r="B24" t="str">
            <v>Goldstone Resources</v>
          </cell>
          <cell r="C24">
            <v>0.3</v>
          </cell>
          <cell r="D24" t="str">
            <v>Canada</v>
          </cell>
          <cell r="E24" t="str">
            <v>Ontario</v>
          </cell>
          <cell r="F24" t="str">
            <v>Thunder Bay</v>
          </cell>
          <cell r="G24" t="str">
            <v>Geraldton</v>
          </cell>
          <cell r="H24">
            <v>0</v>
          </cell>
          <cell r="I24">
            <v>0</v>
          </cell>
          <cell r="J24">
            <v>0</v>
          </cell>
          <cell r="K24">
            <v>11600000</v>
          </cell>
          <cell r="L24">
            <v>1.82</v>
          </cell>
          <cell r="M24">
            <v>675000</v>
          </cell>
          <cell r="N24">
            <v>7300000</v>
          </cell>
          <cell r="O24">
            <v>1.81</v>
          </cell>
          <cell r="P24">
            <v>425000</v>
          </cell>
          <cell r="Q24">
            <v>0</v>
          </cell>
          <cell r="R24">
            <v>0</v>
          </cell>
          <cell r="S24">
            <v>0</v>
          </cell>
          <cell r="T24">
            <v>3480000</v>
          </cell>
          <cell r="U24">
            <v>1.82</v>
          </cell>
          <cell r="V24">
            <v>202500</v>
          </cell>
          <cell r="W24">
            <v>2190000</v>
          </cell>
          <cell r="X24">
            <v>1.81</v>
          </cell>
          <cell r="Y24">
            <v>127500</v>
          </cell>
          <cell r="Z24" t="str">
            <v>ON</v>
          </cell>
        </row>
        <row r="25">
          <cell r="A25" t="str">
            <v>Northern Empire</v>
          </cell>
          <cell r="B25" t="str">
            <v>Goldstone Resources</v>
          </cell>
          <cell r="C25">
            <v>1</v>
          </cell>
          <cell r="D25" t="str">
            <v>Canada</v>
          </cell>
          <cell r="E25" t="str">
            <v>Ontario</v>
          </cell>
          <cell r="G25" t="str">
            <v>Beardmore</v>
          </cell>
          <cell r="H25">
            <v>0</v>
          </cell>
          <cell r="I25">
            <v>0</v>
          </cell>
          <cell r="J25">
            <v>0</v>
          </cell>
          <cell r="K25">
            <v>78609.372090479999</v>
          </cell>
          <cell r="L25">
            <v>10.7</v>
          </cell>
          <cell r="M25">
            <v>29807</v>
          </cell>
          <cell r="N25">
            <v>58738.397545520005</v>
          </cell>
          <cell r="O25">
            <v>9.9499999999999993</v>
          </cell>
          <cell r="P25">
            <v>20719</v>
          </cell>
          <cell r="Q25">
            <v>0</v>
          </cell>
          <cell r="R25">
            <v>0</v>
          </cell>
          <cell r="S25">
            <v>0</v>
          </cell>
          <cell r="T25">
            <v>78609.372090479999</v>
          </cell>
          <cell r="U25">
            <v>10.7</v>
          </cell>
          <cell r="V25">
            <v>29807</v>
          </cell>
          <cell r="W25">
            <v>58738.397545520005</v>
          </cell>
          <cell r="X25">
            <v>9.9499999999999993</v>
          </cell>
          <cell r="Y25">
            <v>20719</v>
          </cell>
          <cell r="Z25" t="str">
            <v>ON</v>
          </cell>
        </row>
        <row r="26">
          <cell r="A26" t="str">
            <v>Doyon</v>
          </cell>
          <cell r="B26" t="str">
            <v>IAMGOLD</v>
          </cell>
          <cell r="C26">
            <v>1</v>
          </cell>
          <cell r="D26" t="str">
            <v>Canada</v>
          </cell>
          <cell r="E26" t="str">
            <v>Quebec</v>
          </cell>
          <cell r="F26" t="str">
            <v>Bousquet</v>
          </cell>
          <cell r="G26" t="str">
            <v>Cadillac</v>
          </cell>
          <cell r="I26">
            <v>13.740336134453781</v>
          </cell>
          <cell r="J26">
            <v>53000</v>
          </cell>
          <cell r="L26">
            <v>6.3603942685721737</v>
          </cell>
          <cell r="M26">
            <v>451000</v>
          </cell>
          <cell r="O26">
            <v>5.3</v>
          </cell>
          <cell r="P26">
            <v>633000</v>
          </cell>
          <cell r="Q26">
            <v>0</v>
          </cell>
          <cell r="R26">
            <v>13.740336134453781</v>
          </cell>
          <cell r="S26">
            <v>53000</v>
          </cell>
          <cell r="T26">
            <v>0</v>
          </cell>
          <cell r="U26">
            <v>6.3603942685721737</v>
          </cell>
          <cell r="V26">
            <v>451000</v>
          </cell>
          <cell r="W26">
            <v>0</v>
          </cell>
          <cell r="X26">
            <v>5.3</v>
          </cell>
          <cell r="Y26">
            <v>633000</v>
          </cell>
          <cell r="Z26" t="str">
            <v>QC</v>
          </cell>
        </row>
        <row r="27">
          <cell r="A27" t="str">
            <v>Main Break</v>
          </cell>
          <cell r="B27" t="str">
            <v>Kirkland Lake Gold</v>
          </cell>
          <cell r="C27">
            <v>1</v>
          </cell>
          <cell r="D27" t="str">
            <v>Canada</v>
          </cell>
          <cell r="E27" t="str">
            <v>Ontario</v>
          </cell>
          <cell r="G27" t="str">
            <v>Kirkland Lake</v>
          </cell>
          <cell r="H27">
            <v>1385271.0979800001</v>
          </cell>
          <cell r="I27">
            <v>15.185405557114789</v>
          </cell>
          <cell r="J27">
            <v>676000</v>
          </cell>
          <cell r="K27">
            <v>3139766.3851399999</v>
          </cell>
          <cell r="L27">
            <v>14.363346679324719</v>
          </cell>
          <cell r="M27">
            <v>1451000</v>
          </cell>
          <cell r="N27">
            <v>768385.47478000005</v>
          </cell>
          <cell r="O27">
            <v>12.130355952</v>
          </cell>
          <cell r="P27">
            <v>325000</v>
          </cell>
          <cell r="Q27">
            <v>1385271.0979800001</v>
          </cell>
          <cell r="R27">
            <v>15.185405557114789</v>
          </cell>
          <cell r="S27">
            <v>676000</v>
          </cell>
          <cell r="T27">
            <v>3139766.3851399999</v>
          </cell>
          <cell r="U27">
            <v>14.363346679324719</v>
          </cell>
          <cell r="V27">
            <v>1451000</v>
          </cell>
          <cell r="W27">
            <v>768385.47478000005</v>
          </cell>
          <cell r="X27">
            <v>12.130355952</v>
          </cell>
          <cell r="Y27">
            <v>325000</v>
          </cell>
          <cell r="Z27" t="str">
            <v>ON</v>
          </cell>
        </row>
        <row r="28">
          <cell r="A28" t="str">
            <v>South Mine Complex - KGI</v>
          </cell>
          <cell r="B28" t="str">
            <v>Kirkland Lake Gold</v>
          </cell>
          <cell r="C28">
            <v>0.5</v>
          </cell>
          <cell r="D28" t="str">
            <v>Canada</v>
          </cell>
          <cell r="E28" t="str">
            <v>Ontario</v>
          </cell>
          <cell r="G28" t="str">
            <v>Teck</v>
          </cell>
          <cell r="H28">
            <v>865454.24196000001</v>
          </cell>
          <cell r="I28">
            <v>25.806648697214737</v>
          </cell>
          <cell r="J28">
            <v>721000</v>
          </cell>
          <cell r="K28">
            <v>1553100.2748799999</v>
          </cell>
          <cell r="L28">
            <v>24.210881174899868</v>
          </cell>
          <cell r="M28">
            <v>1213000</v>
          </cell>
          <cell r="N28">
            <v>810115.97282000002</v>
          </cell>
          <cell r="O28">
            <v>23.638642367999999</v>
          </cell>
          <cell r="P28">
            <v>677000</v>
          </cell>
          <cell r="Q28">
            <v>432727.12098000001</v>
          </cell>
          <cell r="R28">
            <v>25.806648697214737</v>
          </cell>
          <cell r="S28">
            <v>360500</v>
          </cell>
          <cell r="T28">
            <v>776550.13743999996</v>
          </cell>
          <cell r="U28">
            <v>24.210881174899868</v>
          </cell>
          <cell r="V28">
            <v>606500</v>
          </cell>
          <cell r="W28">
            <v>405057.98641000001</v>
          </cell>
          <cell r="X28">
            <v>23.638642367999999</v>
          </cell>
          <cell r="Y28">
            <v>338500</v>
          </cell>
          <cell r="Z28" t="str">
            <v>ON</v>
          </cell>
          <cell r="AB28" t="str">
            <v>grams/oz</v>
          </cell>
          <cell r="AC28">
            <v>31.103476799999999</v>
          </cell>
        </row>
        <row r="29">
          <cell r="A29" t="str">
            <v>Bell Creek Mine</v>
          </cell>
          <cell r="B29" t="str">
            <v>Lake Shore Gold</v>
          </cell>
          <cell r="C29">
            <v>1</v>
          </cell>
          <cell r="D29" t="str">
            <v>Canada</v>
          </cell>
          <cell r="E29" t="str">
            <v>Ontario</v>
          </cell>
          <cell r="G29" t="str">
            <v>Timmins</v>
          </cell>
          <cell r="H29">
            <v>0</v>
          </cell>
          <cell r="I29">
            <v>0</v>
          </cell>
          <cell r="J29">
            <v>0</v>
          </cell>
          <cell r="K29">
            <v>1790000</v>
          </cell>
          <cell r="L29">
            <v>4.3600000000000003</v>
          </cell>
          <cell r="M29">
            <v>251200</v>
          </cell>
          <cell r="N29">
            <v>8427000</v>
          </cell>
          <cell r="O29">
            <v>4.4000000000000004</v>
          </cell>
          <cell r="P29">
            <v>1192900</v>
          </cell>
          <cell r="Q29">
            <v>0</v>
          </cell>
          <cell r="R29">
            <v>0</v>
          </cell>
          <cell r="S29">
            <v>0</v>
          </cell>
          <cell r="T29">
            <v>1790000</v>
          </cell>
          <cell r="U29">
            <v>4.3600000000000003</v>
          </cell>
          <cell r="V29">
            <v>251200</v>
          </cell>
          <cell r="W29">
            <v>8427000</v>
          </cell>
          <cell r="X29">
            <v>4.4000000000000004</v>
          </cell>
          <cell r="Y29">
            <v>1192900</v>
          </cell>
          <cell r="Z29" t="str">
            <v>ON</v>
          </cell>
        </row>
        <row r="30">
          <cell r="A30" t="str">
            <v>Thorne Property</v>
          </cell>
          <cell r="B30" t="str">
            <v>Lake Shore Gold</v>
          </cell>
          <cell r="C30">
            <v>1</v>
          </cell>
          <cell r="D30" t="str">
            <v>Canada</v>
          </cell>
          <cell r="E30" t="str">
            <v>Ontario</v>
          </cell>
          <cell r="G30" t="str">
            <v>Timmins</v>
          </cell>
          <cell r="H30">
            <v>0</v>
          </cell>
          <cell r="I30">
            <v>0</v>
          </cell>
          <cell r="J30">
            <v>0</v>
          </cell>
          <cell r="K30">
            <v>0</v>
          </cell>
          <cell r="L30">
            <v>0</v>
          </cell>
          <cell r="M30">
            <v>0</v>
          </cell>
          <cell r="N30">
            <v>4000000</v>
          </cell>
          <cell r="O30">
            <v>3</v>
          </cell>
          <cell r="P30">
            <v>400000</v>
          </cell>
          <cell r="Q30">
            <v>0</v>
          </cell>
          <cell r="R30">
            <v>0</v>
          </cell>
          <cell r="S30">
            <v>0</v>
          </cell>
          <cell r="T30">
            <v>0</v>
          </cell>
          <cell r="U30">
            <v>0</v>
          </cell>
          <cell r="V30">
            <v>0</v>
          </cell>
          <cell r="W30">
            <v>4000000</v>
          </cell>
          <cell r="X30">
            <v>3</v>
          </cell>
          <cell r="Y30">
            <v>400000</v>
          </cell>
          <cell r="Z30" t="str">
            <v>ON</v>
          </cell>
        </row>
        <row r="31">
          <cell r="A31" t="str">
            <v>Timmins Mine</v>
          </cell>
          <cell r="B31" t="str">
            <v>Lake Shore Gold</v>
          </cell>
          <cell r="C31">
            <v>1</v>
          </cell>
          <cell r="D31" t="str">
            <v>Canada</v>
          </cell>
          <cell r="E31" t="str">
            <v>Ontario</v>
          </cell>
          <cell r="G31" t="str">
            <v>Timmins</v>
          </cell>
          <cell r="H31">
            <v>3400000</v>
          </cell>
          <cell r="I31">
            <v>7.52</v>
          </cell>
          <cell r="J31">
            <v>812000</v>
          </cell>
          <cell r="K31">
            <v>3200000</v>
          </cell>
          <cell r="L31">
            <v>8.56</v>
          </cell>
          <cell r="M31">
            <v>893000</v>
          </cell>
          <cell r="N31">
            <v>890000</v>
          </cell>
          <cell r="O31">
            <v>5.74</v>
          </cell>
          <cell r="P31">
            <v>165000</v>
          </cell>
          <cell r="Q31">
            <v>3400000</v>
          </cell>
          <cell r="R31">
            <v>7.52</v>
          </cell>
          <cell r="S31">
            <v>812000</v>
          </cell>
          <cell r="T31">
            <v>3200000</v>
          </cell>
          <cell r="U31">
            <v>8.56</v>
          </cell>
          <cell r="V31">
            <v>893000</v>
          </cell>
          <cell r="W31">
            <v>890000</v>
          </cell>
          <cell r="X31">
            <v>5.74</v>
          </cell>
          <cell r="Y31">
            <v>165000</v>
          </cell>
          <cell r="Z31" t="str">
            <v>ON</v>
          </cell>
        </row>
        <row r="32">
          <cell r="A32" t="str">
            <v>Comtois</v>
          </cell>
          <cell r="B32" t="str">
            <v>Maudore Minerals</v>
          </cell>
          <cell r="C32">
            <v>1</v>
          </cell>
          <cell r="D32" t="str">
            <v>Canada</v>
          </cell>
          <cell r="E32" t="str">
            <v>Quebec</v>
          </cell>
          <cell r="H32">
            <v>0</v>
          </cell>
          <cell r="I32">
            <v>0</v>
          </cell>
          <cell r="J32">
            <v>0</v>
          </cell>
          <cell r="K32">
            <v>0</v>
          </cell>
          <cell r="L32">
            <v>0</v>
          </cell>
          <cell r="M32">
            <v>0</v>
          </cell>
          <cell r="N32">
            <v>8126000</v>
          </cell>
          <cell r="O32">
            <v>4.6398227910411025</v>
          </cell>
          <cell r="P32">
            <v>1212793</v>
          </cell>
          <cell r="Q32">
            <v>0</v>
          </cell>
          <cell r="R32">
            <v>0</v>
          </cell>
          <cell r="S32">
            <v>0</v>
          </cell>
          <cell r="T32">
            <v>0</v>
          </cell>
          <cell r="U32">
            <v>0</v>
          </cell>
          <cell r="V32">
            <v>0</v>
          </cell>
          <cell r="W32">
            <v>8126000</v>
          </cell>
          <cell r="X32">
            <v>4.6398227910411025</v>
          </cell>
          <cell r="Y32">
            <v>1212793</v>
          </cell>
          <cell r="Z32" t="str">
            <v>QC</v>
          </cell>
        </row>
        <row r="33">
          <cell r="A33" t="str">
            <v>Sleeping Giant</v>
          </cell>
          <cell r="B33" t="str">
            <v>N.A. Palladium</v>
          </cell>
          <cell r="C33">
            <v>1</v>
          </cell>
          <cell r="D33" t="str">
            <v>Canada</v>
          </cell>
          <cell r="E33" t="str">
            <v>Quebec</v>
          </cell>
          <cell r="F33" t="str">
            <v>Soissons and Chaste</v>
          </cell>
          <cell r="G33" t="str">
            <v>Amos</v>
          </cell>
          <cell r="I33">
            <v>9.3617647058823525</v>
          </cell>
          <cell r="J33">
            <v>56000</v>
          </cell>
          <cell r="L33">
            <v>8.8362727745965639</v>
          </cell>
          <cell r="M33">
            <v>113000</v>
          </cell>
          <cell r="O33">
            <v>12.9</v>
          </cell>
          <cell r="P33">
            <v>101000</v>
          </cell>
          <cell r="Q33">
            <v>0</v>
          </cell>
          <cell r="R33">
            <v>9.3617647058823525</v>
          </cell>
          <cell r="S33">
            <v>56000</v>
          </cell>
          <cell r="T33">
            <v>0</v>
          </cell>
          <cell r="U33">
            <v>8.8362727745965639</v>
          </cell>
          <cell r="V33">
            <v>113000</v>
          </cell>
          <cell r="W33">
            <v>0</v>
          </cell>
          <cell r="X33">
            <v>12.9</v>
          </cell>
          <cell r="Y33">
            <v>101000</v>
          </cell>
          <cell r="Z33" t="str">
            <v>QC</v>
          </cell>
        </row>
        <row r="34">
          <cell r="A34" t="str">
            <v>Garrison</v>
          </cell>
          <cell r="B34" t="str">
            <v>Northern Gold</v>
          </cell>
          <cell r="C34">
            <v>0.8</v>
          </cell>
          <cell r="D34" t="str">
            <v>Canada</v>
          </cell>
          <cell r="E34" t="str">
            <v>Ontario</v>
          </cell>
          <cell r="F34" t="str">
            <v>Garrison</v>
          </cell>
          <cell r="G34" t="str">
            <v>Matheson</v>
          </cell>
          <cell r="H34">
            <v>0</v>
          </cell>
          <cell r="I34" t="str">
            <v>-</v>
          </cell>
          <cell r="J34">
            <v>0</v>
          </cell>
          <cell r="K34">
            <v>4033100</v>
          </cell>
          <cell r="L34">
            <v>1.6123049267312985</v>
          </cell>
          <cell r="M34">
            <v>207200</v>
          </cell>
          <cell r="N34">
            <v>20055800</v>
          </cell>
          <cell r="O34">
            <v>1.2126214860539095</v>
          </cell>
          <cell r="P34">
            <v>776540</v>
          </cell>
          <cell r="Q34">
            <v>0</v>
          </cell>
          <cell r="R34" t="str">
            <v>-</v>
          </cell>
          <cell r="S34">
            <v>0</v>
          </cell>
          <cell r="T34">
            <v>3226480</v>
          </cell>
          <cell r="U34">
            <v>1.6123049267312985</v>
          </cell>
          <cell r="V34">
            <v>165760</v>
          </cell>
          <cell r="W34">
            <v>16044640</v>
          </cell>
          <cell r="X34">
            <v>1.2126214860539095</v>
          </cell>
          <cell r="Y34">
            <v>621232</v>
          </cell>
          <cell r="Z34" t="str">
            <v>ON</v>
          </cell>
        </row>
        <row r="35">
          <cell r="A35" t="str">
            <v>Fosterville</v>
          </cell>
          <cell r="B35" t="str">
            <v>Northgate Minerals Corporation</v>
          </cell>
          <cell r="C35">
            <v>1</v>
          </cell>
          <cell r="D35" t="str">
            <v>Australia</v>
          </cell>
          <cell r="E35" t="str">
            <v>Victoria</v>
          </cell>
          <cell r="F35" t="str">
            <v>Murray Region</v>
          </cell>
          <cell r="G35" t="str">
            <v>Bendigo</v>
          </cell>
          <cell r="H35">
            <v>3287000</v>
          </cell>
          <cell r="I35">
            <v>4.75</v>
          </cell>
          <cell r="J35">
            <v>502000</v>
          </cell>
          <cell r="K35">
            <v>12492000</v>
          </cell>
          <cell r="L35">
            <v>2.7899215497918668</v>
          </cell>
          <cell r="M35">
            <v>1121000</v>
          </cell>
          <cell r="N35">
            <v>6506000</v>
          </cell>
          <cell r="O35">
            <v>3.5372640639409774</v>
          </cell>
          <cell r="P35">
            <v>739000</v>
          </cell>
          <cell r="Q35">
            <v>3287000</v>
          </cell>
          <cell r="R35">
            <v>4.75</v>
          </cell>
          <cell r="S35">
            <v>502000</v>
          </cell>
          <cell r="T35">
            <v>12492000</v>
          </cell>
          <cell r="U35">
            <v>2.7899215497918668</v>
          </cell>
          <cell r="V35">
            <v>1121000</v>
          </cell>
          <cell r="W35">
            <v>6506000</v>
          </cell>
          <cell r="X35">
            <v>3.5372640639409774</v>
          </cell>
          <cell r="Y35">
            <v>739000</v>
          </cell>
          <cell r="Z35" t="str">
            <v>Other</v>
          </cell>
        </row>
        <row r="36">
          <cell r="A36" t="str">
            <v>Kemess North</v>
          </cell>
          <cell r="B36" t="str">
            <v>Northgate Minerals Corporation</v>
          </cell>
          <cell r="C36">
            <v>1</v>
          </cell>
          <cell r="D36" t="str">
            <v>Canada</v>
          </cell>
          <cell r="E36" t="str">
            <v>British Columbia</v>
          </cell>
          <cell r="F36" t="str">
            <v>Toodoggone</v>
          </cell>
          <cell r="G36" t="str">
            <v>McConnell Creek</v>
          </cell>
          <cell r="H36">
            <v>0</v>
          </cell>
          <cell r="I36">
            <v>0</v>
          </cell>
          <cell r="J36">
            <v>0</v>
          </cell>
          <cell r="K36">
            <v>719190000</v>
          </cell>
          <cell r="L36">
            <v>0.3</v>
          </cell>
          <cell r="M36">
            <v>6939000</v>
          </cell>
          <cell r="N36">
            <v>0</v>
          </cell>
          <cell r="O36">
            <v>0</v>
          </cell>
          <cell r="P36">
            <v>0</v>
          </cell>
          <cell r="Q36">
            <v>0</v>
          </cell>
          <cell r="R36">
            <v>0</v>
          </cell>
          <cell r="S36">
            <v>0</v>
          </cell>
          <cell r="T36">
            <v>719190000</v>
          </cell>
          <cell r="U36">
            <v>0.3</v>
          </cell>
          <cell r="V36">
            <v>6939000</v>
          </cell>
          <cell r="W36">
            <v>0</v>
          </cell>
          <cell r="X36">
            <v>0</v>
          </cell>
          <cell r="Y36">
            <v>0</v>
          </cell>
          <cell r="Z36" t="str">
            <v>BC</v>
          </cell>
        </row>
        <row r="37">
          <cell r="A37" t="str">
            <v>Kemess South</v>
          </cell>
          <cell r="B37" t="str">
            <v>Northgate Minerals Corporation</v>
          </cell>
          <cell r="C37">
            <v>1</v>
          </cell>
          <cell r="D37" t="str">
            <v>Canada</v>
          </cell>
          <cell r="E37" t="str">
            <v>British Columbia</v>
          </cell>
          <cell r="F37" t="str">
            <v>Toodoggone</v>
          </cell>
          <cell r="G37" t="str">
            <v>McConnell Creek</v>
          </cell>
          <cell r="H37">
            <v>22662000</v>
          </cell>
          <cell r="I37">
            <v>0.28000000000000003</v>
          </cell>
          <cell r="J37">
            <v>207296</v>
          </cell>
          <cell r="K37">
            <v>24387000</v>
          </cell>
          <cell r="L37">
            <v>0.27221921515561576</v>
          </cell>
          <cell r="M37">
            <v>216503</v>
          </cell>
          <cell r="N37">
            <v>0</v>
          </cell>
          <cell r="O37">
            <v>0</v>
          </cell>
          <cell r="P37">
            <v>0</v>
          </cell>
          <cell r="Q37">
            <v>22662000</v>
          </cell>
          <cell r="R37">
            <v>0.28000000000000003</v>
          </cell>
          <cell r="S37">
            <v>207296</v>
          </cell>
          <cell r="T37">
            <v>24387000</v>
          </cell>
          <cell r="U37">
            <v>0.27221921515561576</v>
          </cell>
          <cell r="V37">
            <v>216503</v>
          </cell>
          <cell r="W37">
            <v>0</v>
          </cell>
          <cell r="X37">
            <v>0</v>
          </cell>
          <cell r="Y37">
            <v>0</v>
          </cell>
          <cell r="Z37" t="str">
            <v>BC</v>
          </cell>
        </row>
        <row r="38">
          <cell r="A38" t="str">
            <v>Stawell</v>
          </cell>
          <cell r="B38" t="str">
            <v>Northgate Minerals Corporation</v>
          </cell>
          <cell r="C38">
            <v>1</v>
          </cell>
          <cell r="D38" t="str">
            <v>Australia</v>
          </cell>
          <cell r="E38" t="str">
            <v>Victoria</v>
          </cell>
          <cell r="F38" t="str">
            <v>Central Victoria</v>
          </cell>
          <cell r="G38" t="str">
            <v>Stawell</v>
          </cell>
          <cell r="H38">
            <v>2290000</v>
          </cell>
          <cell r="I38">
            <v>3.9</v>
          </cell>
          <cell r="J38">
            <v>287000</v>
          </cell>
          <cell r="K38">
            <v>5649000</v>
          </cell>
          <cell r="L38">
            <v>3.0615878916622412</v>
          </cell>
          <cell r="M38">
            <v>555000</v>
          </cell>
          <cell r="N38">
            <v>943000</v>
          </cell>
          <cell r="O38">
            <v>5.3685153764581122</v>
          </cell>
          <cell r="P38">
            <v>163000</v>
          </cell>
          <cell r="Q38">
            <v>2290000</v>
          </cell>
          <cell r="R38">
            <v>3.9</v>
          </cell>
          <cell r="S38">
            <v>287000</v>
          </cell>
          <cell r="T38">
            <v>5649000</v>
          </cell>
          <cell r="U38">
            <v>3.0615878916622412</v>
          </cell>
          <cell r="V38">
            <v>555000</v>
          </cell>
          <cell r="W38">
            <v>943000</v>
          </cell>
          <cell r="X38">
            <v>5.3685153764581122</v>
          </cell>
          <cell r="Y38">
            <v>163000</v>
          </cell>
          <cell r="Z38" t="str">
            <v>Other</v>
          </cell>
        </row>
        <row r="39">
          <cell r="A39" t="str">
            <v>Young-Davidson</v>
          </cell>
          <cell r="B39" t="str">
            <v>Northgate Minerals Corporation</v>
          </cell>
          <cell r="C39">
            <v>1</v>
          </cell>
          <cell r="D39" t="str">
            <v>Canada</v>
          </cell>
          <cell r="E39" t="str">
            <v>Ontario</v>
          </cell>
          <cell r="F39" t="str">
            <v>Powell &amp; Cairo Townships</v>
          </cell>
          <cell r="G39" t="str">
            <v>Matachewan</v>
          </cell>
          <cell r="H39">
            <v>31148000</v>
          </cell>
          <cell r="I39">
            <v>2.75</v>
          </cell>
          <cell r="J39">
            <v>2758000</v>
          </cell>
          <cell r="K39">
            <v>31280000</v>
          </cell>
          <cell r="L39">
            <v>2.7513925831202046</v>
          </cell>
          <cell r="M39">
            <v>2771100</v>
          </cell>
          <cell r="N39">
            <v>5965000</v>
          </cell>
          <cell r="O39">
            <v>3.4</v>
          </cell>
          <cell r="P39">
            <v>650850</v>
          </cell>
          <cell r="Q39">
            <v>31148000</v>
          </cell>
          <cell r="R39">
            <v>2.75</v>
          </cell>
          <cell r="S39">
            <v>2758000</v>
          </cell>
          <cell r="T39">
            <v>31280000</v>
          </cell>
          <cell r="U39">
            <v>2.7513925831202046</v>
          </cell>
          <cell r="V39">
            <v>2771100</v>
          </cell>
          <cell r="W39">
            <v>5965000</v>
          </cell>
          <cell r="X39">
            <v>3.4</v>
          </cell>
          <cell r="Y39">
            <v>650850</v>
          </cell>
          <cell r="Z39" t="str">
            <v>ON</v>
          </cell>
        </row>
        <row r="40">
          <cell r="A40" t="str">
            <v>Hammond</v>
          </cell>
          <cell r="B40" t="str">
            <v>Osisko</v>
          </cell>
          <cell r="C40">
            <v>1</v>
          </cell>
          <cell r="D40" t="str">
            <v>Canada</v>
          </cell>
          <cell r="E40" t="str">
            <v>Quebec</v>
          </cell>
          <cell r="H40">
            <v>0</v>
          </cell>
          <cell r="I40">
            <v>0</v>
          </cell>
          <cell r="J40">
            <v>0</v>
          </cell>
          <cell r="K40">
            <v>0</v>
          </cell>
          <cell r="L40">
            <v>0</v>
          </cell>
          <cell r="M40">
            <v>0</v>
          </cell>
          <cell r="N40">
            <v>259400000</v>
          </cell>
          <cell r="O40">
            <v>0.8</v>
          </cell>
          <cell r="P40">
            <v>6700000</v>
          </cell>
          <cell r="Q40">
            <v>0</v>
          </cell>
          <cell r="R40">
            <v>0</v>
          </cell>
          <cell r="S40">
            <v>0</v>
          </cell>
          <cell r="T40">
            <v>0</v>
          </cell>
          <cell r="U40">
            <v>0</v>
          </cell>
          <cell r="V40">
            <v>0</v>
          </cell>
          <cell r="W40">
            <v>259400000</v>
          </cell>
          <cell r="X40">
            <v>0.8</v>
          </cell>
          <cell r="Y40">
            <v>6700000</v>
          </cell>
          <cell r="Z40" t="str">
            <v>QC</v>
          </cell>
        </row>
        <row r="41">
          <cell r="A41" t="str">
            <v>Malartic</v>
          </cell>
          <cell r="B41" t="str">
            <v>Osisko</v>
          </cell>
          <cell r="C41">
            <v>1</v>
          </cell>
          <cell r="D41" t="str">
            <v>Canada</v>
          </cell>
          <cell r="E41" t="str">
            <v>Quebec</v>
          </cell>
          <cell r="H41">
            <v>245800000</v>
          </cell>
          <cell r="I41">
            <v>1.1299999999999999</v>
          </cell>
          <cell r="J41">
            <v>8970000</v>
          </cell>
          <cell r="K41">
            <v>316200000</v>
          </cell>
          <cell r="L41">
            <v>1.0988298545224542</v>
          </cell>
          <cell r="M41">
            <v>11200000</v>
          </cell>
          <cell r="N41">
            <v>20000000</v>
          </cell>
          <cell r="O41">
            <v>0.73</v>
          </cell>
          <cell r="P41">
            <v>470000</v>
          </cell>
          <cell r="Q41">
            <v>245800000</v>
          </cell>
          <cell r="R41">
            <v>1.1299999999999999</v>
          </cell>
          <cell r="S41">
            <v>8970000</v>
          </cell>
          <cell r="T41">
            <v>316200000</v>
          </cell>
          <cell r="U41">
            <v>1.0988298545224542</v>
          </cell>
          <cell r="V41">
            <v>11200000</v>
          </cell>
          <cell r="W41">
            <v>20000000</v>
          </cell>
          <cell r="X41">
            <v>0.73</v>
          </cell>
          <cell r="Y41">
            <v>470000</v>
          </cell>
          <cell r="Z41" t="str">
            <v>QC</v>
          </cell>
        </row>
        <row r="42">
          <cell r="A42" t="str">
            <v>Hardrock</v>
          </cell>
          <cell r="B42" t="str">
            <v>Premier Gold</v>
          </cell>
          <cell r="C42">
            <v>0.7</v>
          </cell>
          <cell r="D42" t="str">
            <v>Canada</v>
          </cell>
          <cell r="E42" t="str">
            <v>Ontario</v>
          </cell>
          <cell r="F42" t="str">
            <v>East Bay</v>
          </cell>
          <cell r="G42" t="str">
            <v>Rahill-Bonanza</v>
          </cell>
          <cell r="H42">
            <v>0</v>
          </cell>
          <cell r="I42">
            <v>0</v>
          </cell>
          <cell r="J42">
            <v>0</v>
          </cell>
          <cell r="K42">
            <v>22900000</v>
          </cell>
          <cell r="L42">
            <v>1.3</v>
          </cell>
          <cell r="M42">
            <v>955000</v>
          </cell>
          <cell r="N42">
            <v>16100000</v>
          </cell>
          <cell r="O42">
            <v>1.25</v>
          </cell>
          <cell r="P42">
            <v>645000</v>
          </cell>
          <cell r="Q42">
            <v>0</v>
          </cell>
          <cell r="R42">
            <v>0</v>
          </cell>
          <cell r="S42">
            <v>0</v>
          </cell>
          <cell r="T42">
            <v>16029999.999999998</v>
          </cell>
          <cell r="U42">
            <v>1.3</v>
          </cell>
          <cell r="V42">
            <v>668500</v>
          </cell>
          <cell r="W42">
            <v>11270000</v>
          </cell>
          <cell r="X42">
            <v>1.25</v>
          </cell>
          <cell r="Y42">
            <v>451500</v>
          </cell>
          <cell r="Z42" t="str">
            <v>ON</v>
          </cell>
        </row>
        <row r="43">
          <cell r="A43" t="str">
            <v>Magino</v>
          </cell>
          <cell r="B43" t="str">
            <v>Prodigy Gold</v>
          </cell>
          <cell r="C43">
            <v>1</v>
          </cell>
          <cell r="D43" t="str">
            <v>Canada</v>
          </cell>
          <cell r="E43" t="str">
            <v>Quebec</v>
          </cell>
          <cell r="H43">
            <v>0</v>
          </cell>
          <cell r="I43">
            <v>0</v>
          </cell>
          <cell r="J43">
            <v>0</v>
          </cell>
          <cell r="K43">
            <v>2091900</v>
          </cell>
          <cell r="L43">
            <v>6.74</v>
          </cell>
          <cell r="M43">
            <v>454189</v>
          </cell>
          <cell r="N43">
            <v>5828800</v>
          </cell>
          <cell r="O43">
            <v>6.29</v>
          </cell>
          <cell r="P43">
            <v>1178124</v>
          </cell>
          <cell r="Q43">
            <v>0</v>
          </cell>
          <cell r="R43">
            <v>0</v>
          </cell>
          <cell r="S43">
            <v>0</v>
          </cell>
          <cell r="T43">
            <v>2091900</v>
          </cell>
          <cell r="U43">
            <v>6.74</v>
          </cell>
          <cell r="V43">
            <v>454189</v>
          </cell>
          <cell r="W43">
            <v>5828800</v>
          </cell>
          <cell r="X43">
            <v>6.29</v>
          </cell>
          <cell r="Y43">
            <v>1178124</v>
          </cell>
          <cell r="Z43" t="str">
            <v>QC</v>
          </cell>
        </row>
        <row r="44">
          <cell r="A44" t="str">
            <v>Anoki</v>
          </cell>
          <cell r="B44" t="str">
            <v>Queenston Mining</v>
          </cell>
          <cell r="C44">
            <v>1</v>
          </cell>
          <cell r="D44" t="str">
            <v>Canada</v>
          </cell>
          <cell r="E44" t="str">
            <v>Ontario</v>
          </cell>
          <cell r="G44" t="str">
            <v>Kirkland Lake</v>
          </cell>
          <cell r="H44">
            <v>0</v>
          </cell>
          <cell r="I44">
            <v>0</v>
          </cell>
          <cell r="J44">
            <v>0</v>
          </cell>
          <cell r="K44">
            <v>729700</v>
          </cell>
          <cell r="L44">
            <v>4.8</v>
          </cell>
          <cell r="M44">
            <v>111200</v>
          </cell>
          <cell r="N44">
            <v>337200</v>
          </cell>
          <cell r="O44">
            <v>4.8</v>
          </cell>
          <cell r="P44">
            <v>52000</v>
          </cell>
          <cell r="Q44">
            <v>0</v>
          </cell>
          <cell r="R44">
            <v>0</v>
          </cell>
          <cell r="S44">
            <v>0</v>
          </cell>
          <cell r="T44">
            <v>729700</v>
          </cell>
          <cell r="U44">
            <v>4.8</v>
          </cell>
          <cell r="V44">
            <v>111200</v>
          </cell>
          <cell r="W44">
            <v>337200</v>
          </cell>
          <cell r="X44">
            <v>4.8</v>
          </cell>
          <cell r="Y44">
            <v>52000</v>
          </cell>
          <cell r="Z44" t="str">
            <v>ON</v>
          </cell>
        </row>
        <row r="45">
          <cell r="A45" t="str">
            <v>McBean</v>
          </cell>
          <cell r="B45" t="str">
            <v>Queenston Mining</v>
          </cell>
          <cell r="C45">
            <v>1</v>
          </cell>
          <cell r="D45" t="str">
            <v>Canada</v>
          </cell>
          <cell r="E45" t="str">
            <v>Ontario</v>
          </cell>
          <cell r="G45" t="str">
            <v>Kirkland Lake</v>
          </cell>
          <cell r="H45">
            <v>0</v>
          </cell>
          <cell r="I45">
            <v>0</v>
          </cell>
          <cell r="J45">
            <v>0</v>
          </cell>
          <cell r="K45">
            <v>705300</v>
          </cell>
          <cell r="L45">
            <v>4.7</v>
          </cell>
          <cell r="M45">
            <v>105000</v>
          </cell>
          <cell r="N45">
            <v>1220800</v>
          </cell>
          <cell r="O45">
            <v>4.7</v>
          </cell>
          <cell r="P45">
            <v>185000</v>
          </cell>
          <cell r="Q45">
            <v>0</v>
          </cell>
          <cell r="R45">
            <v>0</v>
          </cell>
          <cell r="S45">
            <v>0</v>
          </cell>
          <cell r="T45">
            <v>705300</v>
          </cell>
          <cell r="U45">
            <v>4.7</v>
          </cell>
          <cell r="V45">
            <v>105000</v>
          </cell>
          <cell r="W45">
            <v>1220800</v>
          </cell>
          <cell r="X45">
            <v>4.7</v>
          </cell>
          <cell r="Y45">
            <v>185000</v>
          </cell>
          <cell r="Z45" t="str">
            <v>ON</v>
          </cell>
        </row>
        <row r="46">
          <cell r="A46" t="str">
            <v>South Mine Complex - QMI</v>
          </cell>
          <cell r="B46" t="str">
            <v>Queenston Mining</v>
          </cell>
          <cell r="C46">
            <v>0.5</v>
          </cell>
          <cell r="D46" t="str">
            <v>Canada</v>
          </cell>
          <cell r="E46" t="str">
            <v>Ontario</v>
          </cell>
          <cell r="G46" t="str">
            <v>Teck</v>
          </cell>
          <cell r="H46">
            <v>0</v>
          </cell>
          <cell r="I46">
            <v>0</v>
          </cell>
          <cell r="J46">
            <v>0</v>
          </cell>
          <cell r="K46">
            <v>88000</v>
          </cell>
          <cell r="L46">
            <v>47</v>
          </cell>
          <cell r="M46">
            <v>132000</v>
          </cell>
          <cell r="N46">
            <v>120000</v>
          </cell>
          <cell r="O46">
            <v>42.5</v>
          </cell>
          <cell r="P46">
            <v>165000</v>
          </cell>
          <cell r="Q46">
            <v>0</v>
          </cell>
          <cell r="R46">
            <v>0</v>
          </cell>
          <cell r="S46">
            <v>0</v>
          </cell>
          <cell r="T46">
            <v>44000</v>
          </cell>
          <cell r="U46">
            <v>47</v>
          </cell>
          <cell r="V46">
            <v>66000</v>
          </cell>
          <cell r="W46">
            <v>60000</v>
          </cell>
          <cell r="X46">
            <v>42.5</v>
          </cell>
          <cell r="Y46">
            <v>82500</v>
          </cell>
          <cell r="Z46" t="str">
            <v>ON</v>
          </cell>
        </row>
        <row r="47">
          <cell r="A47" t="str">
            <v>Upper Beaver</v>
          </cell>
          <cell r="B47" t="str">
            <v>Queenston Mining</v>
          </cell>
          <cell r="C47">
            <v>1</v>
          </cell>
          <cell r="D47" t="str">
            <v>Canada</v>
          </cell>
          <cell r="E47" t="str">
            <v>Ontario</v>
          </cell>
          <cell r="G47" t="str">
            <v>Kirkland Lake</v>
          </cell>
          <cell r="H47">
            <v>0</v>
          </cell>
          <cell r="I47">
            <v>0</v>
          </cell>
          <cell r="J47">
            <v>0</v>
          </cell>
          <cell r="K47">
            <v>1373500</v>
          </cell>
          <cell r="L47">
            <v>8.5</v>
          </cell>
          <cell r="M47">
            <v>375000</v>
          </cell>
          <cell r="N47">
            <v>1061300</v>
          </cell>
          <cell r="O47">
            <v>7.7</v>
          </cell>
          <cell r="P47">
            <v>263000</v>
          </cell>
          <cell r="Q47">
            <v>0</v>
          </cell>
          <cell r="R47">
            <v>0</v>
          </cell>
          <cell r="S47">
            <v>0</v>
          </cell>
          <cell r="T47">
            <v>1373500</v>
          </cell>
          <cell r="U47">
            <v>8.5</v>
          </cell>
          <cell r="V47">
            <v>375000</v>
          </cell>
          <cell r="W47">
            <v>1061300</v>
          </cell>
          <cell r="X47">
            <v>7.7</v>
          </cell>
          <cell r="Y47">
            <v>263000</v>
          </cell>
          <cell r="Z47" t="str">
            <v>ON</v>
          </cell>
        </row>
        <row r="48">
          <cell r="A48" t="str">
            <v>Rainy River</v>
          </cell>
          <cell r="B48" t="str">
            <v>Rainy River</v>
          </cell>
          <cell r="C48">
            <v>1</v>
          </cell>
          <cell r="D48" t="str">
            <v>Canada</v>
          </cell>
          <cell r="E48" t="str">
            <v>Ontario</v>
          </cell>
          <cell r="H48">
            <v>0</v>
          </cell>
          <cell r="I48">
            <v>0</v>
          </cell>
          <cell r="J48">
            <v>0</v>
          </cell>
          <cell r="K48">
            <v>56833000</v>
          </cell>
          <cell r="L48">
            <v>1.3</v>
          </cell>
          <cell r="M48">
            <v>2370000</v>
          </cell>
          <cell r="N48">
            <v>68930000</v>
          </cell>
          <cell r="O48">
            <v>1.2</v>
          </cell>
          <cell r="P48">
            <v>2659000</v>
          </cell>
          <cell r="Q48">
            <v>0</v>
          </cell>
          <cell r="R48">
            <v>0</v>
          </cell>
          <cell r="S48">
            <v>0</v>
          </cell>
          <cell r="T48">
            <v>56833000</v>
          </cell>
          <cell r="U48">
            <v>1.3</v>
          </cell>
          <cell r="V48">
            <v>2370000</v>
          </cell>
          <cell r="W48">
            <v>68930000</v>
          </cell>
          <cell r="X48">
            <v>1.2</v>
          </cell>
          <cell r="Y48">
            <v>2659000</v>
          </cell>
          <cell r="Z48" t="str">
            <v>ON</v>
          </cell>
        </row>
        <row r="49">
          <cell r="A49" t="str">
            <v>Beaufor</v>
          </cell>
          <cell r="B49" t="str">
            <v>Richmont Mines</v>
          </cell>
          <cell r="C49">
            <v>1</v>
          </cell>
          <cell r="D49" t="str">
            <v>Canada</v>
          </cell>
          <cell r="E49" t="str">
            <v>Quebec</v>
          </cell>
          <cell r="F49" t="str">
            <v>Pascalis</v>
          </cell>
          <cell r="G49" t="str">
            <v>Perron</v>
          </cell>
          <cell r="H49">
            <v>0</v>
          </cell>
          <cell r="I49">
            <v>8.3776747847804973</v>
          </cell>
          <cell r="J49">
            <v>44637</v>
          </cell>
          <cell r="L49">
            <v>6.8851743648100179</v>
          </cell>
          <cell r="M49">
            <v>216009</v>
          </cell>
          <cell r="O49">
            <v>6.74</v>
          </cell>
          <cell r="P49">
            <v>199256</v>
          </cell>
          <cell r="Q49">
            <v>0</v>
          </cell>
          <cell r="R49">
            <v>8.3776747847804973</v>
          </cell>
          <cell r="S49">
            <v>44637</v>
          </cell>
          <cell r="T49">
            <v>0</v>
          </cell>
          <cell r="U49">
            <v>6.8851743648100179</v>
          </cell>
          <cell r="V49">
            <v>216009</v>
          </cell>
          <cell r="W49">
            <v>0</v>
          </cell>
          <cell r="X49">
            <v>6.74</v>
          </cell>
          <cell r="Y49">
            <v>199256</v>
          </cell>
          <cell r="Z49" t="str">
            <v>QC</v>
          </cell>
        </row>
        <row r="50">
          <cell r="A50" t="str">
            <v>Francoeur</v>
          </cell>
          <cell r="B50" t="str">
            <v>Richmont Mines</v>
          </cell>
          <cell r="C50">
            <v>1</v>
          </cell>
          <cell r="D50" t="str">
            <v>Canada</v>
          </cell>
          <cell r="E50" t="str">
            <v>Quebec</v>
          </cell>
          <cell r="F50" t="str">
            <v>Beauchastel</v>
          </cell>
          <cell r="G50" t="str">
            <v>Rouyn Noranda</v>
          </cell>
          <cell r="H50">
            <v>0</v>
          </cell>
          <cell r="I50">
            <v>6.91</v>
          </cell>
          <cell r="J50">
            <v>136749</v>
          </cell>
          <cell r="L50">
            <v>6.9852194603644788</v>
          </cell>
          <cell r="M50">
            <v>155290</v>
          </cell>
          <cell r="O50">
            <v>5.95</v>
          </cell>
          <cell r="P50">
            <v>38706</v>
          </cell>
          <cell r="Q50">
            <v>0</v>
          </cell>
          <cell r="R50">
            <v>6.91</v>
          </cell>
          <cell r="S50">
            <v>136749</v>
          </cell>
          <cell r="T50">
            <v>0</v>
          </cell>
          <cell r="U50">
            <v>6.9852194603644788</v>
          </cell>
          <cell r="V50">
            <v>155290</v>
          </cell>
          <cell r="W50">
            <v>0</v>
          </cell>
          <cell r="X50">
            <v>5.95</v>
          </cell>
          <cell r="Y50">
            <v>38706</v>
          </cell>
          <cell r="Z50" t="str">
            <v>QC</v>
          </cell>
        </row>
        <row r="51">
          <cell r="A51" t="str">
            <v>Island Gold</v>
          </cell>
          <cell r="B51" t="str">
            <v>Richmont Mines</v>
          </cell>
          <cell r="C51">
            <v>1</v>
          </cell>
          <cell r="D51" t="str">
            <v>Canada</v>
          </cell>
          <cell r="E51" t="str">
            <v>Ontario</v>
          </cell>
          <cell r="F51" t="str">
            <v>Timmins</v>
          </cell>
          <cell r="G51" t="str">
            <v>Dubreuilville</v>
          </cell>
          <cell r="H51">
            <v>0</v>
          </cell>
          <cell r="I51">
            <v>8.8560268049265325</v>
          </cell>
          <cell r="J51">
            <v>264085</v>
          </cell>
          <cell r="L51">
            <v>9.482071981195956</v>
          </cell>
          <cell r="M51">
            <v>418898</v>
          </cell>
          <cell r="O51">
            <v>9.69</v>
          </cell>
          <cell r="P51">
            <v>199569</v>
          </cell>
          <cell r="Q51">
            <v>0</v>
          </cell>
          <cell r="R51">
            <v>8.8560268049265325</v>
          </cell>
          <cell r="S51">
            <v>264085</v>
          </cell>
          <cell r="T51">
            <v>0</v>
          </cell>
          <cell r="U51">
            <v>9.482071981195956</v>
          </cell>
          <cell r="V51">
            <v>418898</v>
          </cell>
          <cell r="W51">
            <v>0</v>
          </cell>
          <cell r="X51">
            <v>9.69</v>
          </cell>
          <cell r="Y51">
            <v>199569</v>
          </cell>
          <cell r="Z51" t="str">
            <v>ON</v>
          </cell>
        </row>
        <row r="52">
          <cell r="A52" t="str">
            <v>Wasamac</v>
          </cell>
          <cell r="B52" t="str">
            <v>Richmont Mines</v>
          </cell>
          <cell r="C52">
            <v>1</v>
          </cell>
          <cell r="D52" t="str">
            <v>Canada</v>
          </cell>
          <cell r="E52" t="str">
            <v>Quebec</v>
          </cell>
          <cell r="F52" t="str">
            <v>Beauchastel</v>
          </cell>
          <cell r="G52" t="str">
            <v>Arntfield</v>
          </cell>
          <cell r="H52">
            <v>0</v>
          </cell>
          <cell r="I52">
            <v>0</v>
          </cell>
          <cell r="J52">
            <v>0</v>
          </cell>
          <cell r="L52">
            <v>0</v>
          </cell>
          <cell r="M52">
            <v>0</v>
          </cell>
          <cell r="O52">
            <v>6.92</v>
          </cell>
          <cell r="P52">
            <v>285200</v>
          </cell>
          <cell r="Q52">
            <v>0</v>
          </cell>
          <cell r="R52">
            <v>0</v>
          </cell>
          <cell r="S52">
            <v>0</v>
          </cell>
          <cell r="T52">
            <v>0</v>
          </cell>
          <cell r="U52">
            <v>0</v>
          </cell>
          <cell r="V52">
            <v>0</v>
          </cell>
          <cell r="W52">
            <v>0</v>
          </cell>
          <cell r="X52">
            <v>6.92</v>
          </cell>
          <cell r="Y52">
            <v>285200</v>
          </cell>
          <cell r="Z52" t="str">
            <v>QC</v>
          </cell>
        </row>
        <row r="53">
          <cell r="A53" t="str">
            <v>Monument Bay</v>
          </cell>
          <cell r="B53" t="str">
            <v>Rolling Rock</v>
          </cell>
          <cell r="C53">
            <v>1</v>
          </cell>
          <cell r="D53" t="str">
            <v>Canada</v>
          </cell>
          <cell r="E53" t="str">
            <v>Manitoba</v>
          </cell>
          <cell r="H53">
            <v>0</v>
          </cell>
          <cell r="I53">
            <v>0</v>
          </cell>
          <cell r="J53">
            <v>0</v>
          </cell>
          <cell r="K53">
            <v>0</v>
          </cell>
          <cell r="L53">
            <v>0</v>
          </cell>
          <cell r="M53">
            <v>0</v>
          </cell>
          <cell r="N53">
            <v>0</v>
          </cell>
          <cell r="O53">
            <v>5.98</v>
          </cell>
          <cell r="P53">
            <v>1212000</v>
          </cell>
          <cell r="Q53">
            <v>0</v>
          </cell>
          <cell r="R53">
            <v>0</v>
          </cell>
          <cell r="S53">
            <v>0</v>
          </cell>
          <cell r="T53">
            <v>0</v>
          </cell>
          <cell r="U53">
            <v>0</v>
          </cell>
          <cell r="V53">
            <v>0</v>
          </cell>
          <cell r="W53">
            <v>0</v>
          </cell>
          <cell r="X53">
            <v>5.98</v>
          </cell>
          <cell r="Y53">
            <v>1212000</v>
          </cell>
          <cell r="Z53" t="str">
            <v>MB</v>
          </cell>
        </row>
        <row r="54">
          <cell r="A54" t="str">
            <v>Pheonix Gold</v>
          </cell>
          <cell r="B54" t="str">
            <v>Rubicon Minerals</v>
          </cell>
          <cell r="C54">
            <v>1</v>
          </cell>
          <cell r="D54" t="str">
            <v>Canada</v>
          </cell>
          <cell r="E54" t="str">
            <v>Ontario</v>
          </cell>
          <cell r="H54">
            <v>0</v>
          </cell>
          <cell r="I54">
            <v>0</v>
          </cell>
          <cell r="J54">
            <v>0</v>
          </cell>
          <cell r="K54">
            <v>0</v>
          </cell>
          <cell r="L54">
            <v>0</v>
          </cell>
          <cell r="M54">
            <v>0</v>
          </cell>
          <cell r="N54">
            <v>6200000</v>
          </cell>
          <cell r="O54">
            <v>20.100000000000001</v>
          </cell>
          <cell r="P54">
            <v>4007000</v>
          </cell>
          <cell r="Q54">
            <v>0</v>
          </cell>
          <cell r="R54">
            <v>0</v>
          </cell>
          <cell r="S54">
            <v>0</v>
          </cell>
          <cell r="T54">
            <v>0</v>
          </cell>
          <cell r="U54">
            <v>0</v>
          </cell>
          <cell r="V54">
            <v>0</v>
          </cell>
          <cell r="W54">
            <v>6200000</v>
          </cell>
          <cell r="X54">
            <v>20.100000000000001</v>
          </cell>
          <cell r="Y54">
            <v>4007000</v>
          </cell>
          <cell r="Z54" t="str">
            <v>ON</v>
          </cell>
        </row>
        <row r="55">
          <cell r="A55" t="str">
            <v>Rice Lake</v>
          </cell>
          <cell r="B55" t="str">
            <v>San Gold</v>
          </cell>
          <cell r="C55">
            <v>1</v>
          </cell>
          <cell r="D55" t="str">
            <v>Canada</v>
          </cell>
          <cell r="E55" t="str">
            <v>Manitoba</v>
          </cell>
          <cell r="F55" t="str">
            <v>Rice Lake Greenstone Belt</v>
          </cell>
          <cell r="G55" t="str">
            <v>Bissett</v>
          </cell>
          <cell r="H55">
            <v>2372337.9902607002</v>
          </cell>
          <cell r="I55">
            <v>9.9</v>
          </cell>
          <cell r="J55">
            <v>767125</v>
          </cell>
          <cell r="K55">
            <v>4579164.6606321</v>
          </cell>
          <cell r="L55">
            <v>10.574698895429867</v>
          </cell>
          <cell r="M55">
            <v>1579395</v>
          </cell>
          <cell r="N55">
            <v>5635123.1620684005</v>
          </cell>
          <cell r="O55">
            <v>9.9</v>
          </cell>
          <cell r="P55">
            <v>1814870</v>
          </cell>
          <cell r="Q55">
            <v>2372337.9902607002</v>
          </cell>
          <cell r="R55">
            <v>9.9</v>
          </cell>
          <cell r="S55">
            <v>767125</v>
          </cell>
          <cell r="T55">
            <v>4579164.6606321</v>
          </cell>
          <cell r="U55">
            <v>10.574698895429867</v>
          </cell>
          <cell r="V55">
            <v>1579395</v>
          </cell>
          <cell r="W55">
            <v>5635123.1620684005</v>
          </cell>
          <cell r="X55">
            <v>9.9</v>
          </cell>
          <cell r="Y55">
            <v>1814870</v>
          </cell>
          <cell r="Z55" t="str">
            <v>MB</v>
          </cell>
        </row>
        <row r="56">
          <cell r="A56" t="str">
            <v>Tully Gold Property</v>
          </cell>
          <cell r="B56" t="str">
            <v>San Gold</v>
          </cell>
          <cell r="C56">
            <v>0.5</v>
          </cell>
          <cell r="D56" t="str">
            <v>Canada</v>
          </cell>
          <cell r="E56" t="str">
            <v>Ontario</v>
          </cell>
          <cell r="F56" t="str">
            <v>Tully Township/Archean Abitibi Greenstone Belt</v>
          </cell>
          <cell r="G56" t="str">
            <v>Timmins</v>
          </cell>
          <cell r="H56">
            <v>0</v>
          </cell>
          <cell r="I56">
            <v>0</v>
          </cell>
          <cell r="J56">
            <v>0</v>
          </cell>
          <cell r="K56">
            <v>362090</v>
          </cell>
          <cell r="L56">
            <v>8</v>
          </cell>
          <cell r="M56">
            <v>93140</v>
          </cell>
          <cell r="N56">
            <v>592070</v>
          </cell>
          <cell r="O56">
            <v>7.3</v>
          </cell>
          <cell r="P56">
            <v>139880</v>
          </cell>
          <cell r="Q56">
            <v>0</v>
          </cell>
          <cell r="R56">
            <v>0</v>
          </cell>
          <cell r="S56">
            <v>0</v>
          </cell>
          <cell r="T56">
            <v>181045</v>
          </cell>
          <cell r="U56">
            <v>8</v>
          </cell>
          <cell r="V56">
            <v>46570</v>
          </cell>
          <cell r="W56">
            <v>296035</v>
          </cell>
          <cell r="X56">
            <v>7.3</v>
          </cell>
          <cell r="Y56">
            <v>69940</v>
          </cell>
          <cell r="Z56" t="str">
            <v>ON</v>
          </cell>
        </row>
        <row r="57">
          <cell r="A57" t="str">
            <v>Aquarius</v>
          </cell>
          <cell r="B57" t="str">
            <v>St. Andrew Goldfields Ltd.</v>
          </cell>
          <cell r="C57">
            <v>1</v>
          </cell>
          <cell r="D57" t="str">
            <v>Canada</v>
          </cell>
          <cell r="E57" t="str">
            <v>Ontario</v>
          </cell>
          <cell r="F57" t="str">
            <v>Maklem/Timmins</v>
          </cell>
          <cell r="G57" t="str">
            <v>Porcupine</v>
          </cell>
          <cell r="H57">
            <v>0</v>
          </cell>
          <cell r="I57">
            <v>0</v>
          </cell>
          <cell r="J57">
            <v>0</v>
          </cell>
          <cell r="K57">
            <v>23112000</v>
          </cell>
          <cell r="L57">
            <v>1.5</v>
          </cell>
          <cell r="M57">
            <v>1106000</v>
          </cell>
          <cell r="N57">
            <v>502000</v>
          </cell>
          <cell r="O57">
            <v>0.83299999999999996</v>
          </cell>
          <cell r="P57">
            <v>14000</v>
          </cell>
          <cell r="Q57">
            <v>0</v>
          </cell>
          <cell r="R57">
            <v>0</v>
          </cell>
          <cell r="S57">
            <v>0</v>
          </cell>
          <cell r="T57">
            <v>23112000</v>
          </cell>
          <cell r="U57">
            <v>1.5</v>
          </cell>
          <cell r="V57">
            <v>1106000</v>
          </cell>
          <cell r="W57">
            <v>502000</v>
          </cell>
          <cell r="X57">
            <v>0.83299999999999996</v>
          </cell>
          <cell r="Y57">
            <v>14000</v>
          </cell>
          <cell r="Z57" t="str">
            <v>ON</v>
          </cell>
        </row>
        <row r="58">
          <cell r="A58" t="str">
            <v>Clavos</v>
          </cell>
          <cell r="B58" t="str">
            <v>St. Andrew Goldfields Ltd.</v>
          </cell>
          <cell r="C58">
            <v>0.4</v>
          </cell>
          <cell r="D58" t="str">
            <v>Canada</v>
          </cell>
          <cell r="E58" t="str">
            <v>Ontario</v>
          </cell>
          <cell r="G58" t="str">
            <v>Timmins</v>
          </cell>
          <cell r="H58">
            <v>0</v>
          </cell>
          <cell r="I58">
            <v>0</v>
          </cell>
          <cell r="J58">
            <v>0</v>
          </cell>
          <cell r="K58">
            <v>143000</v>
          </cell>
          <cell r="L58">
            <v>8</v>
          </cell>
          <cell r="M58">
            <v>37000</v>
          </cell>
          <cell r="N58">
            <v>529000</v>
          </cell>
          <cell r="O58">
            <v>6.5</v>
          </cell>
          <cell r="P58">
            <v>110000</v>
          </cell>
          <cell r="Q58">
            <v>0</v>
          </cell>
          <cell r="R58">
            <v>0</v>
          </cell>
          <cell r="S58">
            <v>0</v>
          </cell>
          <cell r="T58">
            <v>57200</v>
          </cell>
          <cell r="U58">
            <v>8</v>
          </cell>
          <cell r="V58">
            <v>14800</v>
          </cell>
          <cell r="W58">
            <v>211600</v>
          </cell>
          <cell r="X58">
            <v>6.5</v>
          </cell>
          <cell r="Y58">
            <v>44000</v>
          </cell>
          <cell r="Z58" t="str">
            <v>ON</v>
          </cell>
        </row>
        <row r="59">
          <cell r="A59" t="str">
            <v>Hislop</v>
          </cell>
          <cell r="B59" t="str">
            <v>St. Andrew Goldfields Ltd.</v>
          </cell>
          <cell r="C59">
            <v>1</v>
          </cell>
          <cell r="D59" t="str">
            <v>Canada</v>
          </cell>
          <cell r="E59" t="str">
            <v>Ontario</v>
          </cell>
          <cell r="F59" t="str">
            <v>Cochrane</v>
          </cell>
          <cell r="G59" t="str">
            <v>Matheson</v>
          </cell>
          <cell r="H59">
            <v>1912000</v>
          </cell>
          <cell r="I59">
            <v>2.2999999999999998</v>
          </cell>
          <cell r="J59">
            <v>142000</v>
          </cell>
          <cell r="K59">
            <v>8573000</v>
          </cell>
          <cell r="L59">
            <v>2.0669077335821764</v>
          </cell>
          <cell r="M59">
            <v>567000</v>
          </cell>
          <cell r="N59">
            <v>5338000</v>
          </cell>
          <cell r="O59">
            <v>1.8</v>
          </cell>
          <cell r="P59">
            <v>309000</v>
          </cell>
          <cell r="Q59">
            <v>1912000</v>
          </cell>
          <cell r="R59">
            <v>2.2999999999999998</v>
          </cell>
          <cell r="S59">
            <v>142000</v>
          </cell>
          <cell r="T59">
            <v>8573000</v>
          </cell>
          <cell r="U59">
            <v>2.0669077335821764</v>
          </cell>
          <cell r="V59">
            <v>567000</v>
          </cell>
          <cell r="W59">
            <v>5338000</v>
          </cell>
          <cell r="X59">
            <v>1.8</v>
          </cell>
          <cell r="Y59">
            <v>309000</v>
          </cell>
          <cell r="Z59" t="str">
            <v>ON</v>
          </cell>
        </row>
        <row r="60">
          <cell r="A60" t="str">
            <v>Holloway</v>
          </cell>
          <cell r="B60" t="str">
            <v>St. Andrew Goldfields Ltd.</v>
          </cell>
          <cell r="C60">
            <v>1</v>
          </cell>
          <cell r="D60" t="str">
            <v>Canada</v>
          </cell>
          <cell r="E60" t="str">
            <v>Ontario</v>
          </cell>
          <cell r="F60" t="str">
            <v>Harker-Holloway</v>
          </cell>
          <cell r="G60" t="str">
            <v>Timmins</v>
          </cell>
          <cell r="H60">
            <v>639000</v>
          </cell>
          <cell r="I60">
            <v>5.9</v>
          </cell>
          <cell r="J60">
            <v>121000</v>
          </cell>
          <cell r="K60">
            <v>1495000</v>
          </cell>
          <cell r="L60">
            <v>6.4725752508361207</v>
          </cell>
          <cell r="M60">
            <v>311000</v>
          </cell>
          <cell r="N60">
            <v>1194000</v>
          </cell>
          <cell r="O60">
            <v>6</v>
          </cell>
          <cell r="P60">
            <v>231000</v>
          </cell>
          <cell r="Q60">
            <v>639000</v>
          </cell>
          <cell r="R60">
            <v>5.9</v>
          </cell>
          <cell r="S60">
            <v>121000</v>
          </cell>
          <cell r="T60">
            <v>1495000</v>
          </cell>
          <cell r="U60">
            <v>6.4725752508361207</v>
          </cell>
          <cell r="V60">
            <v>311000</v>
          </cell>
          <cell r="W60">
            <v>1194000</v>
          </cell>
          <cell r="X60">
            <v>6</v>
          </cell>
          <cell r="Y60">
            <v>231000</v>
          </cell>
          <cell r="Z60" t="str">
            <v>ON</v>
          </cell>
        </row>
        <row r="61">
          <cell r="A61" t="str">
            <v>Holt</v>
          </cell>
          <cell r="B61" t="str">
            <v>St. Andrew Goldfields Ltd.</v>
          </cell>
          <cell r="C61">
            <v>1</v>
          </cell>
          <cell r="D61" t="str">
            <v>Canada</v>
          </cell>
          <cell r="E61" t="str">
            <v>Ontario</v>
          </cell>
          <cell r="F61" t="str">
            <v>Harker-Holloway</v>
          </cell>
          <cell r="G61" t="str">
            <v>Kirkland Lake</v>
          </cell>
          <cell r="H61">
            <v>2675000</v>
          </cell>
          <cell r="I61">
            <v>5.6</v>
          </cell>
          <cell r="J61">
            <v>486000</v>
          </cell>
          <cell r="K61">
            <v>5912000</v>
          </cell>
          <cell r="L61">
            <v>6.2022834912043301</v>
          </cell>
          <cell r="M61">
            <v>1191000</v>
          </cell>
          <cell r="N61">
            <v>1066000</v>
          </cell>
          <cell r="O61">
            <v>7.7</v>
          </cell>
          <cell r="P61">
            <v>265000</v>
          </cell>
          <cell r="Q61">
            <v>2675000</v>
          </cell>
          <cell r="R61">
            <v>5.6</v>
          </cell>
          <cell r="S61">
            <v>486000</v>
          </cell>
          <cell r="T61">
            <v>5912000</v>
          </cell>
          <cell r="U61">
            <v>6.2022834912043301</v>
          </cell>
          <cell r="V61">
            <v>1191000</v>
          </cell>
          <cell r="W61">
            <v>1066000</v>
          </cell>
          <cell r="X61">
            <v>7.7</v>
          </cell>
          <cell r="Y61">
            <v>265000</v>
          </cell>
          <cell r="Z61" t="str">
            <v>ON</v>
          </cell>
        </row>
        <row r="62">
          <cell r="A62" t="str">
            <v>Taylor</v>
          </cell>
          <cell r="B62" t="str">
            <v>St. Andrew Goldfields Ltd.</v>
          </cell>
          <cell r="C62">
            <v>1</v>
          </cell>
          <cell r="D62" t="str">
            <v>Canada</v>
          </cell>
          <cell r="E62" t="str">
            <v>Ontario</v>
          </cell>
          <cell r="F62" t="str">
            <v>Taylor/Timmins</v>
          </cell>
          <cell r="G62" t="str">
            <v>Matheson</v>
          </cell>
          <cell r="H62">
            <v>0</v>
          </cell>
          <cell r="I62">
            <v>0</v>
          </cell>
          <cell r="J62">
            <v>0</v>
          </cell>
          <cell r="K62">
            <v>1405000</v>
          </cell>
          <cell r="L62">
            <v>7.6</v>
          </cell>
          <cell r="M62">
            <v>343000</v>
          </cell>
          <cell r="N62">
            <v>737000</v>
          </cell>
          <cell r="O62">
            <v>9.1</v>
          </cell>
          <cell r="P62">
            <v>216000</v>
          </cell>
          <cell r="Q62">
            <v>0</v>
          </cell>
          <cell r="R62">
            <v>0</v>
          </cell>
          <cell r="S62">
            <v>0</v>
          </cell>
          <cell r="T62">
            <v>1405000</v>
          </cell>
          <cell r="U62">
            <v>7.6</v>
          </cell>
          <cell r="V62">
            <v>343000</v>
          </cell>
          <cell r="W62">
            <v>737000</v>
          </cell>
          <cell r="X62">
            <v>9.1</v>
          </cell>
          <cell r="Y62">
            <v>216000</v>
          </cell>
          <cell r="Z62" t="str">
            <v>ON</v>
          </cell>
        </row>
        <row r="63">
          <cell r="A63" t="str">
            <v>Juby</v>
          </cell>
          <cell r="B63" t="str">
            <v>Temex Resources</v>
          </cell>
          <cell r="C63">
            <v>1</v>
          </cell>
          <cell r="D63" t="str">
            <v>Canada</v>
          </cell>
          <cell r="E63" t="str">
            <v>Ontario</v>
          </cell>
          <cell r="H63">
            <v>0</v>
          </cell>
          <cell r="I63">
            <v>0</v>
          </cell>
          <cell r="J63">
            <v>0</v>
          </cell>
          <cell r="K63">
            <v>14100000</v>
          </cell>
          <cell r="L63">
            <v>1.36</v>
          </cell>
          <cell r="M63">
            <v>614000</v>
          </cell>
          <cell r="N63">
            <v>18300000</v>
          </cell>
          <cell r="O63">
            <v>1.1399999999999999</v>
          </cell>
          <cell r="P63">
            <v>602000</v>
          </cell>
          <cell r="Q63">
            <v>0</v>
          </cell>
          <cell r="R63">
            <v>0</v>
          </cell>
          <cell r="S63">
            <v>0</v>
          </cell>
          <cell r="T63">
            <v>14100000</v>
          </cell>
          <cell r="U63">
            <v>1.36</v>
          </cell>
          <cell r="V63">
            <v>614000</v>
          </cell>
          <cell r="W63">
            <v>18300000</v>
          </cell>
          <cell r="X63">
            <v>1.1399999999999999</v>
          </cell>
          <cell r="Y63">
            <v>602000</v>
          </cell>
          <cell r="Z63" t="str">
            <v>ON</v>
          </cell>
        </row>
        <row r="64">
          <cell r="A64" t="str">
            <v>Block A</v>
          </cell>
          <cell r="B64" t="str">
            <v>Trade Winds Ventures</v>
          </cell>
          <cell r="C64">
            <v>0.5</v>
          </cell>
          <cell r="D64" t="str">
            <v>Canada</v>
          </cell>
          <cell r="E64" t="str">
            <v>Ontario</v>
          </cell>
          <cell r="H64">
            <v>0</v>
          </cell>
          <cell r="I64">
            <v>0</v>
          </cell>
          <cell r="J64">
            <v>0</v>
          </cell>
          <cell r="K64">
            <v>70800000</v>
          </cell>
          <cell r="L64">
            <v>0.85</v>
          </cell>
          <cell r="M64">
            <v>1924000</v>
          </cell>
          <cell r="N64">
            <v>27300000</v>
          </cell>
          <cell r="O64">
            <v>0.87</v>
          </cell>
          <cell r="P64">
            <v>762000</v>
          </cell>
          <cell r="Q64">
            <v>0</v>
          </cell>
          <cell r="R64">
            <v>0</v>
          </cell>
          <cell r="S64">
            <v>0</v>
          </cell>
          <cell r="T64">
            <v>35400000</v>
          </cell>
          <cell r="U64">
            <v>0.85</v>
          </cell>
          <cell r="V64">
            <v>962000</v>
          </cell>
          <cell r="W64">
            <v>13650000</v>
          </cell>
          <cell r="X64">
            <v>0.87</v>
          </cell>
          <cell r="Y64">
            <v>381000</v>
          </cell>
          <cell r="Z64" t="str">
            <v>ON</v>
          </cell>
        </row>
        <row r="65">
          <cell r="A65" t="str">
            <v>Chester</v>
          </cell>
          <cell r="B65" t="str">
            <v>Trelawney</v>
          </cell>
          <cell r="C65">
            <v>1</v>
          </cell>
          <cell r="D65" t="str">
            <v>Canada</v>
          </cell>
          <cell r="E65" t="str">
            <v>Ontario</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t="str">
            <v>ON</v>
          </cell>
        </row>
        <row r="66">
          <cell r="A66" t="str">
            <v>Cote Lake</v>
          </cell>
          <cell r="B66" t="str">
            <v>Trelawney</v>
          </cell>
          <cell r="C66">
            <v>1</v>
          </cell>
          <cell r="D66" t="str">
            <v>Canada</v>
          </cell>
          <cell r="E66" t="str">
            <v>Ontario</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t="str">
            <v>ON</v>
          </cell>
        </row>
        <row r="67">
          <cell r="A67" t="str">
            <v>Douay</v>
          </cell>
          <cell r="B67" t="str">
            <v>Vior</v>
          </cell>
          <cell r="C67">
            <v>1</v>
          </cell>
          <cell r="D67" t="str">
            <v>Canada</v>
          </cell>
          <cell r="E67" t="str">
            <v>Quebec</v>
          </cell>
          <cell r="H67">
            <v>0</v>
          </cell>
          <cell r="I67">
            <v>0</v>
          </cell>
          <cell r="J67">
            <v>0</v>
          </cell>
          <cell r="K67">
            <v>2900000</v>
          </cell>
          <cell r="L67">
            <v>2.88</v>
          </cell>
          <cell r="M67">
            <v>268000</v>
          </cell>
          <cell r="N67">
            <v>4488000</v>
          </cell>
          <cell r="O67">
            <v>1.31</v>
          </cell>
          <cell r="P67">
            <v>1885000</v>
          </cell>
          <cell r="Q67">
            <v>0</v>
          </cell>
          <cell r="R67">
            <v>0</v>
          </cell>
          <cell r="S67">
            <v>0</v>
          </cell>
          <cell r="T67">
            <v>2900000</v>
          </cell>
          <cell r="U67">
            <v>2.88</v>
          </cell>
          <cell r="V67">
            <v>268000</v>
          </cell>
          <cell r="W67">
            <v>4488000</v>
          </cell>
          <cell r="X67">
            <v>1.31</v>
          </cell>
          <cell r="Y67">
            <v>1885000</v>
          </cell>
          <cell r="Z67" t="str">
            <v>QC</v>
          </cell>
        </row>
        <row r="68">
          <cell r="A68" t="str">
            <v>Eagle River</v>
          </cell>
          <cell r="B68" t="str">
            <v>Wesdome Gold Mines</v>
          </cell>
          <cell r="C68">
            <v>1</v>
          </cell>
          <cell r="D68" t="str">
            <v>Canada</v>
          </cell>
          <cell r="E68" t="str">
            <v>Ontario</v>
          </cell>
          <cell r="F68" t="str">
            <v>Mishibishu Lake</v>
          </cell>
          <cell r="G68" t="str">
            <v>Wawa</v>
          </cell>
          <cell r="H68">
            <v>400000</v>
          </cell>
          <cell r="I68">
            <v>8.6</v>
          </cell>
          <cell r="J68">
            <v>110000</v>
          </cell>
          <cell r="K68">
            <v>400000</v>
          </cell>
          <cell r="L68">
            <v>8.6</v>
          </cell>
          <cell r="M68">
            <v>110000</v>
          </cell>
          <cell r="N68">
            <v>236000</v>
          </cell>
          <cell r="O68">
            <v>7.2</v>
          </cell>
          <cell r="P68">
            <v>55000</v>
          </cell>
          <cell r="Q68">
            <v>400000</v>
          </cell>
          <cell r="R68">
            <v>8.6</v>
          </cell>
          <cell r="S68">
            <v>110000</v>
          </cell>
          <cell r="T68">
            <v>400000</v>
          </cell>
          <cell r="U68">
            <v>8.6</v>
          </cell>
          <cell r="V68">
            <v>110000</v>
          </cell>
          <cell r="W68">
            <v>236000</v>
          </cell>
          <cell r="X68">
            <v>7.2</v>
          </cell>
          <cell r="Y68">
            <v>55000</v>
          </cell>
          <cell r="Z68" t="str">
            <v>ON</v>
          </cell>
        </row>
        <row r="69">
          <cell r="A69" t="str">
            <v>Kiena</v>
          </cell>
          <cell r="B69" t="str">
            <v>Wesdome Gold Mines</v>
          </cell>
          <cell r="C69">
            <v>1</v>
          </cell>
          <cell r="D69" t="str">
            <v>Canada</v>
          </cell>
          <cell r="E69" t="str">
            <v>Quebec</v>
          </cell>
          <cell r="F69" t="str">
            <v>Lac Demontigny</v>
          </cell>
          <cell r="G69" t="str">
            <v>Val d'Or</v>
          </cell>
          <cell r="H69">
            <v>600000</v>
          </cell>
          <cell r="I69">
            <v>4.0999999999999996</v>
          </cell>
          <cell r="J69">
            <v>78000</v>
          </cell>
          <cell r="K69">
            <v>1811000</v>
          </cell>
          <cell r="L69">
            <v>3.6987852015461069</v>
          </cell>
          <cell r="M69">
            <v>213000</v>
          </cell>
          <cell r="N69">
            <v>0</v>
          </cell>
          <cell r="O69">
            <v>0</v>
          </cell>
          <cell r="P69">
            <v>0</v>
          </cell>
          <cell r="Q69">
            <v>600000</v>
          </cell>
          <cell r="R69">
            <v>4.0999999999999996</v>
          </cell>
          <cell r="S69">
            <v>78000</v>
          </cell>
          <cell r="T69">
            <v>1811000</v>
          </cell>
          <cell r="U69">
            <v>3.6987852015461069</v>
          </cell>
          <cell r="V69">
            <v>213000</v>
          </cell>
          <cell r="W69">
            <v>0</v>
          </cell>
          <cell r="X69">
            <v>0</v>
          </cell>
          <cell r="Y69">
            <v>0</v>
          </cell>
          <cell r="Z69" t="str">
            <v>QC</v>
          </cell>
        </row>
        <row r="70">
          <cell r="A70" t="str">
            <v>Mishi</v>
          </cell>
          <cell r="B70" t="str">
            <v>Wesdome Gold Mines</v>
          </cell>
          <cell r="C70">
            <v>1</v>
          </cell>
          <cell r="D70" t="str">
            <v>Canada</v>
          </cell>
          <cell r="E70" t="str">
            <v>Ontario</v>
          </cell>
          <cell r="F70" t="str">
            <v>Mishibishu Lake</v>
          </cell>
          <cell r="G70" t="str">
            <v>Hemlo</v>
          </cell>
          <cell r="H70">
            <v>0</v>
          </cell>
          <cell r="I70">
            <v>0</v>
          </cell>
          <cell r="J70">
            <v>0</v>
          </cell>
          <cell r="K70">
            <v>5736200</v>
          </cell>
          <cell r="L70">
            <v>2.4</v>
          </cell>
          <cell r="M70">
            <v>438000</v>
          </cell>
          <cell r="N70">
            <v>1201700</v>
          </cell>
          <cell r="O70">
            <v>3.6</v>
          </cell>
          <cell r="P70">
            <v>140000</v>
          </cell>
          <cell r="Q70">
            <v>0</v>
          </cell>
          <cell r="R70">
            <v>0</v>
          </cell>
          <cell r="S70">
            <v>0</v>
          </cell>
          <cell r="T70">
            <v>5736200</v>
          </cell>
          <cell r="U70">
            <v>2.4</v>
          </cell>
          <cell r="V70">
            <v>438000</v>
          </cell>
          <cell r="W70">
            <v>1201700</v>
          </cell>
          <cell r="X70">
            <v>3.6</v>
          </cell>
          <cell r="Y70">
            <v>140000</v>
          </cell>
          <cell r="Z70" t="str">
            <v>ON</v>
          </cell>
        </row>
        <row r="71">
          <cell r="A71" t="str">
            <v>Wesdome Project</v>
          </cell>
          <cell r="B71" t="str">
            <v>Wesdome Gold Mines</v>
          </cell>
          <cell r="C71">
            <v>1</v>
          </cell>
          <cell r="D71" t="str">
            <v>Canada</v>
          </cell>
          <cell r="E71" t="str">
            <v>Quebec</v>
          </cell>
          <cell r="G71" t="str">
            <v>Val d'Or</v>
          </cell>
          <cell r="H71">
            <v>0</v>
          </cell>
          <cell r="I71">
            <v>0</v>
          </cell>
          <cell r="J71">
            <v>0</v>
          </cell>
          <cell r="K71">
            <v>276000</v>
          </cell>
          <cell r="L71">
            <v>7.7</v>
          </cell>
          <cell r="M71">
            <v>68000</v>
          </cell>
          <cell r="N71">
            <v>1563000</v>
          </cell>
          <cell r="O71">
            <v>7.9</v>
          </cell>
          <cell r="P71">
            <v>400000</v>
          </cell>
          <cell r="Q71">
            <v>0</v>
          </cell>
          <cell r="R71">
            <v>0</v>
          </cell>
          <cell r="S71">
            <v>0</v>
          </cell>
          <cell r="T71">
            <v>276000</v>
          </cell>
          <cell r="U71">
            <v>7.7</v>
          </cell>
          <cell r="V71">
            <v>68000</v>
          </cell>
          <cell r="W71">
            <v>1563000</v>
          </cell>
          <cell r="X71">
            <v>7.9</v>
          </cell>
          <cell r="Y71">
            <v>400000</v>
          </cell>
          <cell r="Z71" t="str">
            <v>QC</v>
          </cell>
        </row>
        <row r="72">
          <cell r="A72" t="str">
            <v>Phoenix Gold</v>
          </cell>
          <cell r="B72" t="str">
            <v>Rubicon Minerals</v>
          </cell>
          <cell r="C72">
            <v>1</v>
          </cell>
          <cell r="D72" t="str">
            <v>Canada</v>
          </cell>
          <cell r="E72" t="str">
            <v>Ontario</v>
          </cell>
          <cell r="G72" t="str">
            <v>Red Lake</v>
          </cell>
          <cell r="H72">
            <v>0</v>
          </cell>
          <cell r="I72">
            <v>0</v>
          </cell>
          <cell r="J72">
            <v>0</v>
          </cell>
          <cell r="K72">
            <v>0</v>
          </cell>
          <cell r="L72">
            <v>0</v>
          </cell>
          <cell r="M72">
            <v>0</v>
          </cell>
          <cell r="N72">
            <v>6200000</v>
          </cell>
          <cell r="O72">
            <v>20.100000000000001</v>
          </cell>
          <cell r="P72">
            <v>4007000</v>
          </cell>
          <cell r="Q72">
            <v>0</v>
          </cell>
          <cell r="R72">
            <v>0</v>
          </cell>
          <cell r="S72">
            <v>0</v>
          </cell>
          <cell r="T72">
            <v>0</v>
          </cell>
          <cell r="U72">
            <v>0</v>
          </cell>
          <cell r="V72">
            <v>0</v>
          </cell>
          <cell r="W72">
            <v>6200000</v>
          </cell>
          <cell r="X72">
            <v>20.100000000000001</v>
          </cell>
          <cell r="Y72">
            <v>4007000</v>
          </cell>
          <cell r="Z72" t="str">
            <v>ON</v>
          </cell>
        </row>
        <row r="75">
          <cell r="A75" t="str">
            <v>1Inclusive of reserves</v>
          </cell>
        </row>
      </sheetData>
      <sheetData sheetId="14"/>
      <sheetData sheetId="1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QUICK SUMMARY"/>
      <sheetName val="EXHS"/>
      <sheetName val="Guidance"/>
      <sheetName val="SENSITIVITY"/>
      <sheetName val="MA Multiples"/>
      <sheetName val="COMP"/>
      <sheetName val="CF COMP "/>
      <sheetName val="LINKS&amp;INPUTS"/>
      <sheetName val="Upside_Downside"/>
      <sheetName val="RBC LOCK Model"/>
    </sheetNames>
    <sheetDataSet>
      <sheetData sheetId="0"/>
      <sheetData sheetId="1" refreshError="1">
        <row r="1">
          <cell r="A1" t="str">
            <v>LifeLock</v>
          </cell>
        </row>
        <row r="6">
          <cell r="A6" t="str">
            <v>Consumer Revenue</v>
          </cell>
          <cell r="AL6">
            <v>37.938000000000002</v>
          </cell>
          <cell r="AM6">
            <v>39.935000000000002</v>
          </cell>
          <cell r="AN6">
            <v>41.372</v>
          </cell>
          <cell r="AO6">
            <v>43.033999999999999</v>
          </cell>
          <cell r="AP6">
            <v>43.96</v>
          </cell>
          <cell r="AQ6">
            <v>47.036000000000001</v>
          </cell>
          <cell r="AR6">
            <v>49.997999999999998</v>
          </cell>
          <cell r="AS6">
            <v>52.954999999999998</v>
          </cell>
          <cell r="AT6">
            <v>56.707999999999998</v>
          </cell>
          <cell r="AU6">
            <v>61.616</v>
          </cell>
          <cell r="AV6">
            <v>62.500000000000043</v>
          </cell>
          <cell r="AW6">
            <v>63.750000000000064</v>
          </cell>
          <cell r="AX6">
            <v>66.750000000000028</v>
          </cell>
          <cell r="AY6">
            <v>70.749999999999986</v>
          </cell>
          <cell r="AZ6">
            <v>73.499999999999986</v>
          </cell>
          <cell r="BA6">
            <v>76.249999999999986</v>
          </cell>
          <cell r="BB6">
            <v>79.25</v>
          </cell>
          <cell r="BC6">
            <v>84.5</v>
          </cell>
          <cell r="BD6">
            <v>88.750000000000014</v>
          </cell>
          <cell r="BE6">
            <v>91.249144951140025</v>
          </cell>
          <cell r="BF6">
            <v>93.118750000000006</v>
          </cell>
          <cell r="BG6">
            <v>99.287500000000009</v>
          </cell>
          <cell r="BH6">
            <v>104.28125000000001</v>
          </cell>
          <cell r="BI6">
            <v>107.21774531758953</v>
          </cell>
          <cell r="BJ6">
            <v>107.0865625</v>
          </cell>
          <cell r="BK6">
            <v>114.18062500000001</v>
          </cell>
          <cell r="BL6">
            <v>119.92343750000001</v>
          </cell>
          <cell r="BM6">
            <v>123.30040711522796</v>
          </cell>
          <cell r="BN6">
            <v>120.4723828125</v>
          </cell>
          <cell r="BO6">
            <v>128.45320312500002</v>
          </cell>
          <cell r="BP6">
            <v>134.91386718750002</v>
          </cell>
          <cell r="BQ6">
            <v>138.71295800463145</v>
          </cell>
          <cell r="BX6">
            <v>18.873999999999999</v>
          </cell>
          <cell r="BY6">
            <v>91.253</v>
          </cell>
          <cell r="BZ6">
            <v>131.36799999999999</v>
          </cell>
          <cell r="CA6">
            <v>162.279</v>
          </cell>
          <cell r="CB6">
            <v>193.94900000000001</v>
          </cell>
          <cell r="CC6">
            <v>244.5740000000001</v>
          </cell>
          <cell r="CD6">
            <v>287.25</v>
          </cell>
          <cell r="CE6">
            <v>343.74914495114001</v>
          </cell>
          <cell r="CF6">
            <v>403.90524531758956</v>
          </cell>
          <cell r="CG6">
            <v>464.49103211522799</v>
          </cell>
          <cell r="CH6">
            <v>522.55241112963154</v>
          </cell>
        </row>
        <row r="7">
          <cell r="A7" t="str">
            <v>Enterprise Revenue</v>
          </cell>
          <cell r="AL7">
            <v>0</v>
          </cell>
          <cell r="AM7">
            <v>0</v>
          </cell>
          <cell r="AN7">
            <v>0</v>
          </cell>
          <cell r="AO7">
            <v>0</v>
          </cell>
          <cell r="AP7">
            <v>0</v>
          </cell>
          <cell r="AQ7">
            <v>0</v>
          </cell>
          <cell r="AR7">
            <v>0</v>
          </cell>
          <cell r="AS7">
            <v>0</v>
          </cell>
          <cell r="AT7">
            <v>0.90400000000000003</v>
          </cell>
          <cell r="AU7">
            <v>6.2670000000000003</v>
          </cell>
          <cell r="AV7">
            <v>5.75</v>
          </cell>
          <cell r="AW7">
            <v>7</v>
          </cell>
          <cell r="AX7">
            <v>6.25</v>
          </cell>
          <cell r="AY7">
            <v>7.0000000000000018</v>
          </cell>
          <cell r="AZ7">
            <v>6.7499999999999991</v>
          </cell>
          <cell r="BA7">
            <v>8.75</v>
          </cell>
          <cell r="BB7">
            <v>7.5</v>
          </cell>
          <cell r="BC7">
            <v>8.5000000000000018</v>
          </cell>
          <cell r="BD7">
            <v>8.2500000000000018</v>
          </cell>
          <cell r="BE7">
            <v>9.9999999999999876</v>
          </cell>
          <cell r="BF7">
            <v>8.8125</v>
          </cell>
          <cell r="BG7">
            <v>9.9875000000000025</v>
          </cell>
          <cell r="BH7">
            <v>9.6937500000000032</v>
          </cell>
          <cell r="BI7">
            <v>11.499999999999984</v>
          </cell>
          <cell r="BJ7">
            <v>10.134374999999999</v>
          </cell>
          <cell r="BK7">
            <v>11.485625000000002</v>
          </cell>
          <cell r="BL7">
            <v>11.147812500000002</v>
          </cell>
          <cell r="BM7">
            <v>13.22499999999998</v>
          </cell>
          <cell r="BN7">
            <v>11.401171874999999</v>
          </cell>
          <cell r="BO7">
            <v>12.921328125000002</v>
          </cell>
          <cell r="BP7">
            <v>12.541289062500002</v>
          </cell>
          <cell r="BQ7">
            <v>14.878124999999978</v>
          </cell>
          <cell r="BX7">
            <v>0</v>
          </cell>
          <cell r="BY7">
            <v>0</v>
          </cell>
          <cell r="BZ7">
            <v>0</v>
          </cell>
          <cell r="CA7">
            <v>0</v>
          </cell>
          <cell r="CB7">
            <v>0</v>
          </cell>
          <cell r="CC7">
            <v>19.920999999999999</v>
          </cell>
          <cell r="CD7">
            <v>28.75</v>
          </cell>
          <cell r="CE7">
            <v>34.249999999999986</v>
          </cell>
          <cell r="CF7">
            <v>39.993749999999991</v>
          </cell>
          <cell r="CG7">
            <v>45.992812499999985</v>
          </cell>
          <cell r="CH7">
            <v>51.74191406249998</v>
          </cell>
        </row>
        <row r="428">
          <cell r="A428" t="str">
            <v>Long-term debt, net of current portion</v>
          </cell>
          <cell r="AL428">
            <v>0</v>
          </cell>
          <cell r="AM428">
            <v>0</v>
          </cell>
          <cell r="AN428">
            <v>0</v>
          </cell>
          <cell r="AO428">
            <v>0</v>
          </cell>
          <cell r="AP428">
            <v>0</v>
          </cell>
          <cell r="AQ428">
            <v>0</v>
          </cell>
          <cell r="AR428">
            <v>0</v>
          </cell>
          <cell r="AS428">
            <v>0</v>
          </cell>
          <cell r="AT428">
            <v>54.06</v>
          </cell>
          <cell r="AU428">
            <v>49.81</v>
          </cell>
          <cell r="AV428">
            <v>47.09</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Z428">
            <v>0</v>
          </cell>
          <cell r="CA428">
            <v>0</v>
          </cell>
          <cell r="CB428">
            <v>0</v>
          </cell>
          <cell r="CC428">
            <v>0</v>
          </cell>
          <cell r="CD428">
            <v>0</v>
          </cell>
          <cell r="CE428">
            <v>0</v>
          </cell>
          <cell r="CF428">
            <v>0</v>
          </cell>
          <cell r="CG428">
            <v>0</v>
          </cell>
          <cell r="CH428">
            <v>0</v>
          </cell>
        </row>
      </sheetData>
      <sheetData sheetId="2"/>
      <sheetData sheetId="3"/>
      <sheetData sheetId="4"/>
      <sheetData sheetId="5"/>
      <sheetData sheetId="6"/>
      <sheetData sheetId="7"/>
      <sheetData sheetId="8"/>
      <sheetData sheetId="9" refreshError="1"/>
      <sheetData sheetId="10"/>
      <sheetData sheetId="1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EARNINGS SUMMARY"/>
      <sheetName val="Exhibits for note"/>
      <sheetName val="SRF MODEL"/>
      <sheetName val="SRF Payback"/>
      <sheetName val="MERGER MODEL"/>
      <sheetName val="SRF v WBSN"/>
      <sheetName val="SENSITIVITY"/>
      <sheetName val="MULTIPLES"/>
      <sheetName val="CHARTS"/>
      <sheetName val="LINKS"/>
      <sheetName val="exhibit templates"/>
      <sheetName val="Pricing Models"/>
      <sheetName val="Model Build"/>
      <sheetName val="DCF"/>
      <sheetName val="Information"/>
      <sheetName val="RBC WBSN Model"/>
      <sheetName val="Q&amp;A"/>
      <sheetName val="UPCOMING EVENTS"/>
      <sheetName val="SENSITIVITY ANALYSIS"/>
      <sheetName val="Comp 2"/>
      <sheetName val="Comp Sheet"/>
      <sheetName val="Comp 4"/>
      <sheetName val="Comp 5"/>
      <sheetName val="FX summary"/>
      <sheetName val="IS"/>
      <sheetName val="BS"/>
      <sheetName val="METS"/>
      <sheetName val="earnings templates"/>
      <sheetName val="graphs"/>
      <sheetName val="Snapshot"/>
      <sheetName val="Sheet8"/>
      <sheetName val="Ownership"/>
      <sheetName val="DCF (2)"/>
      <sheetName val="First Call Consensus Summary"/>
    </sheetNames>
    <sheetDataSet>
      <sheetData sheetId="0"/>
      <sheetData sheetId="1" refreshError="1">
        <row r="284">
          <cell r="A284" t="str">
            <v>Customer Info.</v>
          </cell>
        </row>
        <row r="327">
          <cell r="A327" t="str">
            <v>Bookings / seat / year</v>
          </cell>
          <cell r="B327">
            <v>5.3337142857142856</v>
          </cell>
          <cell r="C327">
            <v>4.1962666666666673</v>
          </cell>
          <cell r="D327">
            <v>3.8057142857142856</v>
          </cell>
          <cell r="E327">
            <v>4.5976650000000001</v>
          </cell>
          <cell r="F327">
            <v>7.4346679999999994</v>
          </cell>
          <cell r="G327">
            <v>4.7777777777777777</v>
          </cell>
          <cell r="H327">
            <v>5.0946666666666669</v>
          </cell>
          <cell r="I327">
            <v>5.6864000000000008</v>
          </cell>
          <cell r="J327">
            <v>5.0117073170731707</v>
          </cell>
          <cell r="K327">
            <v>5.0723595505617975</v>
          </cell>
          <cell r="L327">
            <v>5.916666666666667</v>
          </cell>
          <cell r="M327">
            <v>6.8328571428571436</v>
          </cell>
          <cell r="N327">
            <v>5.2333333333333334</v>
          </cell>
          <cell r="O327">
            <v>5.8239999999999998</v>
          </cell>
          <cell r="P327">
            <v>6.523076923076923</v>
          </cell>
          <cell r="Q327">
            <v>7.7971014492753614</v>
          </cell>
          <cell r="R327">
            <v>5.420289855072463</v>
          </cell>
          <cell r="S327">
            <v>6.88</v>
          </cell>
          <cell r="T327">
            <v>7.1392405063291138</v>
          </cell>
          <cell r="U327">
            <v>9.3658536585365866</v>
          </cell>
          <cell r="V327">
            <v>6.4116985376827893</v>
          </cell>
          <cell r="W327">
            <v>8.022346368715084</v>
          </cell>
          <cell r="X327">
            <v>7.80345945945946</v>
          </cell>
          <cell r="Y327">
            <v>10.464646464646464</v>
          </cell>
          <cell r="Z327">
            <v>6.9897536945812799</v>
          </cell>
          <cell r="AA327">
            <v>8.5122222222222224</v>
          </cell>
          <cell r="AB327">
            <v>8.4285714285714288</v>
          </cell>
          <cell r="AC327">
            <v>11.313807531380753</v>
          </cell>
          <cell r="AD327">
            <v>6.4786721991701235</v>
          </cell>
          <cell r="AE327">
            <v>8.2655601659751028</v>
          </cell>
          <cell r="AF327">
            <v>8.7020408163265301</v>
          </cell>
          <cell r="AG327">
            <v>10.944000000000001</v>
          </cell>
          <cell r="AH327">
            <v>6.666666666666667</v>
          </cell>
          <cell r="AI327">
            <v>8.4496124031007742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rket_Share"/>
      <sheetName val="Trends"/>
    </sheetNames>
    <sheetDataSet>
      <sheetData sheetId="0" refreshError="1"/>
      <sheetData sheetId="1" refreshError="1">
        <row r="12">
          <cell r="A12" t="str">
            <v>1-7</v>
          </cell>
        </row>
      </sheetData>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tzSingleDPmap"/>
      <sheetName val="bltzPeriodicDPmap"/>
      <sheetName val="bltzModelProperties"/>
      <sheetName val="__FDSCACHE__"/>
      <sheetName val="MODEL"/>
      <sheetName val="Upside_Downside"/>
      <sheetName val="CHARTS 2"/>
      <sheetName val="ADBE-OMTR COMBINED"/>
      <sheetName val="SENSITIVITY"/>
      <sheetName val="MULTIPLES"/>
      <sheetName val="job post"/>
      <sheetName val="MULTIPLES PIVOT"/>
      <sheetName val="CHARTS"/>
      <sheetName val="EARNINGS SUMMARY"/>
      <sheetName val="GUIDANCE AND EST."/>
      <sheetName val="LINKS"/>
      <sheetName val="Combined ADBE-MACR"/>
      <sheetName val="cycle multiples"/>
      <sheetName val="RBCCM_Key_Information"/>
      <sheetName val="RBCCM_Valuation_Measures"/>
      <sheetName val="RBCCM_Quarterly_Estimates_Data"/>
      <sheetName val="RBCCM_Income_Statement"/>
      <sheetName val="RBCCM_Cash_Flow"/>
      <sheetName val="RBCCM_Balance_Sheet"/>
      <sheetName val="RBCCM_Industry_Specif"/>
      <sheetName val="RBC ADBE Model"/>
      <sheetName val="MODELEx (2)"/>
      <sheetName val="MODELEx"/>
    </sheetNames>
    <sheetDataSet>
      <sheetData sheetId="0"/>
      <sheetData sheetId="1"/>
      <sheetData sheetId="2"/>
      <sheetData sheetId="3"/>
      <sheetData sheetId="4" refreshError="1">
        <row r="2">
          <cell r="B2" t="str">
            <v>Feb-99A</v>
          </cell>
        </row>
        <row r="8">
          <cell r="A8" t="str">
            <v>Omniture</v>
          </cell>
          <cell r="AP8">
            <v>7.1</v>
          </cell>
          <cell r="AQ8">
            <v>7.6</v>
          </cell>
          <cell r="AR8">
            <v>7.7</v>
          </cell>
          <cell r="AS8">
            <v>34.1</v>
          </cell>
          <cell r="AT8">
            <v>96</v>
          </cell>
          <cell r="AU8">
            <v>91.9</v>
          </cell>
          <cell r="AV8">
            <v>99.8</v>
          </cell>
          <cell r="AW8">
            <v>109</v>
          </cell>
          <cell r="AX8">
            <v>110.9</v>
          </cell>
          <cell r="AY8">
            <v>115.9</v>
          </cell>
          <cell r="AZ8">
            <v>118.2</v>
          </cell>
          <cell r="BA8">
            <v>131.1</v>
          </cell>
          <cell r="BB8">
            <v>133</v>
          </cell>
          <cell r="BC8">
            <v>136</v>
          </cell>
          <cell r="BD8">
            <v>139</v>
          </cell>
          <cell r="BE8">
            <v>143</v>
          </cell>
          <cell r="BF8">
            <v>0</v>
          </cell>
          <cell r="BG8">
            <v>0</v>
          </cell>
          <cell r="BH8">
            <v>0</v>
          </cell>
          <cell r="BI8">
            <v>0</v>
          </cell>
          <cell r="BJ8">
            <v>0</v>
          </cell>
          <cell r="BK8">
            <v>0</v>
          </cell>
          <cell r="BL8">
            <v>0</v>
          </cell>
          <cell r="BM8">
            <v>0</v>
          </cell>
          <cell r="BY8">
            <v>56.5</v>
          </cell>
          <cell r="BZ8">
            <v>396.7</v>
          </cell>
          <cell r="CA8">
            <v>476.1</v>
          </cell>
          <cell r="CB8">
            <v>551</v>
          </cell>
          <cell r="CC8">
            <v>0</v>
          </cell>
          <cell r="CD8">
            <v>0</v>
          </cell>
          <cell r="CG8">
            <v>56.5</v>
          </cell>
          <cell r="CH8">
            <v>396.7</v>
          </cell>
          <cell r="CI8">
            <v>476.1</v>
          </cell>
          <cell r="CJ8">
            <v>551</v>
          </cell>
          <cell r="CK8">
            <v>0</v>
          </cell>
          <cell r="CL8">
            <v>0</v>
          </cell>
          <cell r="CO8">
            <v>4553.5586400000002</v>
          </cell>
          <cell r="CP8">
            <v>4469.2334799999999</v>
          </cell>
        </row>
        <row r="20">
          <cell r="A20" t="str">
            <v>Other Expenses</v>
          </cell>
          <cell r="C20">
            <v>1.534</v>
          </cell>
          <cell r="D20">
            <v>4.4169999999999998</v>
          </cell>
          <cell r="E20">
            <v>25.486999999999998</v>
          </cell>
          <cell r="F20">
            <v>0.53100000000000003</v>
          </cell>
          <cell r="G20">
            <v>7.516</v>
          </cell>
          <cell r="H20">
            <v>1.2150000000000001</v>
          </cell>
          <cell r="I20">
            <v>121.958</v>
          </cell>
          <cell r="J20">
            <v>3.5819999999999999</v>
          </cell>
          <cell r="K20">
            <v>3.581</v>
          </cell>
          <cell r="L20">
            <v>3.5680000000000001</v>
          </cell>
          <cell r="M20">
            <v>15.613000000000001</v>
          </cell>
          <cell r="N20">
            <v>8.9</v>
          </cell>
          <cell r="O20">
            <v>5.556</v>
          </cell>
          <cell r="P20">
            <v>3.5409999999999999</v>
          </cell>
          <cell r="Q20">
            <v>20.893000000000001</v>
          </cell>
          <cell r="BR20">
            <v>38.89</v>
          </cell>
          <cell r="BS20">
            <v>0</v>
          </cell>
          <cell r="BT20">
            <v>0</v>
          </cell>
          <cell r="BU20">
            <v>0</v>
          </cell>
          <cell r="BV20">
            <v>0</v>
          </cell>
          <cell r="BW20">
            <v>0</v>
          </cell>
          <cell r="BX20">
            <v>0</v>
          </cell>
          <cell r="BY20">
            <v>0</v>
          </cell>
          <cell r="BZ20">
            <v>38.89</v>
          </cell>
          <cell r="CA20">
            <v>0</v>
          </cell>
          <cell r="CB20">
            <v>0</v>
          </cell>
          <cell r="CC20">
            <v>0</v>
          </cell>
          <cell r="CD20">
            <v>0</v>
          </cell>
          <cell r="CE20">
            <v>0</v>
          </cell>
          <cell r="CF20">
            <v>0</v>
          </cell>
          <cell r="CG20">
            <v>0</v>
          </cell>
          <cell r="CH20">
            <v>0</v>
          </cell>
          <cell r="CI20">
            <v>0</v>
          </cell>
          <cell r="CJ20">
            <v>0</v>
          </cell>
          <cell r="CK20">
            <v>0</v>
          </cell>
          <cell r="CL20">
            <v>0</v>
          </cell>
        </row>
        <row r="24">
          <cell r="A24" t="str">
            <v>Investment Gain (loss)</v>
          </cell>
          <cell r="B24">
            <v>-0.02</v>
          </cell>
          <cell r="C24">
            <v>14.015000000000001</v>
          </cell>
          <cell r="D24">
            <v>13.151</v>
          </cell>
          <cell r="E24">
            <v>61.744999999999997</v>
          </cell>
          <cell r="F24">
            <v>4.6760000000000002</v>
          </cell>
          <cell r="G24">
            <v>7.6909999999999998</v>
          </cell>
          <cell r="H24">
            <v>9.3970000000000002</v>
          </cell>
          <cell r="I24">
            <v>-7.4169999999999998</v>
          </cell>
          <cell r="J24">
            <v>-17.038</v>
          </cell>
          <cell r="K24">
            <v>-31.030999999999999</v>
          </cell>
          <cell r="L24">
            <v>-39.447000000000003</v>
          </cell>
          <cell r="M24">
            <v>-5.8979999999999997</v>
          </cell>
          <cell r="N24">
            <v>4.5330000000000004</v>
          </cell>
          <cell r="O24">
            <v>-13.728</v>
          </cell>
          <cell r="P24">
            <v>-4.1980000000000004</v>
          </cell>
          <cell r="Q24">
            <v>-3.7919999999999998</v>
          </cell>
          <cell r="BR24">
            <v>-17.185000000000002</v>
          </cell>
          <cell r="BS24">
            <v>0</v>
          </cell>
          <cell r="BT24">
            <v>0</v>
          </cell>
          <cell r="BU24">
            <v>0</v>
          </cell>
          <cell r="BV24">
            <v>0</v>
          </cell>
          <cell r="BW24">
            <v>0</v>
          </cell>
          <cell r="BX24">
            <v>0</v>
          </cell>
          <cell r="BY24">
            <v>0</v>
          </cell>
          <cell r="BZ24">
            <v>-17.185000000000002</v>
          </cell>
          <cell r="CA24">
            <v>0</v>
          </cell>
          <cell r="CB24">
            <v>0</v>
          </cell>
          <cell r="CC24">
            <v>0</v>
          </cell>
          <cell r="CD24">
            <v>0</v>
          </cell>
          <cell r="CE24">
            <v>0</v>
          </cell>
          <cell r="CF24">
            <v>0</v>
          </cell>
          <cell r="CG24">
            <v>0</v>
          </cell>
          <cell r="CH24">
            <v>0</v>
          </cell>
          <cell r="CI24">
            <v>0</v>
          </cell>
          <cell r="CJ24">
            <v>0</v>
          </cell>
          <cell r="CK24">
            <v>0</v>
          </cell>
          <cell r="CL24">
            <v>0</v>
          </cell>
        </row>
        <row r="55">
          <cell r="A55" t="str">
            <v>Revenue upside (downside)</v>
          </cell>
          <cell r="R55" t="str">
            <v>-</v>
          </cell>
          <cell r="S55" t="str">
            <v>-</v>
          </cell>
          <cell r="T55" t="str">
            <v>-</v>
          </cell>
          <cell r="U55" t="str">
            <v>-</v>
          </cell>
          <cell r="V55" t="str">
            <v>-</v>
          </cell>
          <cell r="W55" t="str">
            <v>-</v>
          </cell>
          <cell r="X55" t="str">
            <v>-</v>
          </cell>
          <cell r="Y55" t="str">
            <v>-</v>
          </cell>
          <cell r="Z55" t="str">
            <v>-</v>
          </cell>
          <cell r="AA55" t="str">
            <v>-</v>
          </cell>
          <cell r="AB55" t="str">
            <v>-</v>
          </cell>
          <cell r="AC55" t="str">
            <v>-</v>
          </cell>
          <cell r="AD55" t="str">
            <v>-</v>
          </cell>
          <cell r="AE55" t="str">
            <v>-</v>
          </cell>
          <cell r="AF55" t="str">
            <v>-</v>
          </cell>
          <cell r="AG55" t="str">
            <v>-</v>
          </cell>
          <cell r="AH55" t="str">
            <v>-</v>
          </cell>
          <cell r="AI55" t="str">
            <v>-</v>
          </cell>
          <cell r="AJ55" t="str">
            <v>-</v>
          </cell>
          <cell r="AK55" t="str">
            <v>-</v>
          </cell>
          <cell r="AL55" t="str">
            <v>-</v>
          </cell>
          <cell r="AM55" t="str">
            <v>-</v>
          </cell>
          <cell r="AN55" t="str">
            <v>-</v>
          </cell>
          <cell r="AO55" t="str">
            <v>-</v>
          </cell>
          <cell r="AP55" t="str">
            <v>-</v>
          </cell>
          <cell r="AQ55" t="str">
            <v>-</v>
          </cell>
          <cell r="AR55" t="str">
            <v>-</v>
          </cell>
          <cell r="AS55" t="str">
            <v>-</v>
          </cell>
          <cell r="AT55" t="str">
            <v>-</v>
          </cell>
          <cell r="AU55">
            <v>37.125</v>
          </cell>
          <cell r="AV55">
            <v>5.3190000000000737</v>
          </cell>
          <cell r="AW55">
            <v>19.875999999999863</v>
          </cell>
          <cell r="AX55">
            <v>1.1960000000001401</v>
          </cell>
          <cell r="AY55">
            <v>28.399000000000001</v>
          </cell>
          <cell r="AZ55">
            <v>-13.748000000000047</v>
          </cell>
          <cell r="BA55">
            <v>65.440999999999804</v>
          </cell>
          <cell r="BB55">
            <v>-8.2799999999999727</v>
          </cell>
          <cell r="BC55">
            <v>15.588999999999942</v>
          </cell>
          <cell r="BD55">
            <v>-23.190000000000055</v>
          </cell>
          <cell r="BE55">
            <v>50.857999999999947</v>
          </cell>
          <cell r="BF55">
            <v>21.872999999999934</v>
          </cell>
          <cell r="BG55">
            <v>2.4889999999999191</v>
          </cell>
          <cell r="BH55">
            <v>-11.110000000000014</v>
          </cell>
          <cell r="BI55">
            <v>-8.5399999999999636</v>
          </cell>
          <cell r="BJ55">
            <v>-69.589999999999918</v>
          </cell>
          <cell r="BK55">
            <v>-48.5</v>
          </cell>
          <cell r="BL55">
            <v>-48.089999999999918</v>
          </cell>
          <cell r="BM55">
            <v>-33.069999999999936</v>
          </cell>
          <cell r="BS55">
            <v>0</v>
          </cell>
          <cell r="BT55">
            <v>0</v>
          </cell>
          <cell r="BU55">
            <v>0</v>
          </cell>
          <cell r="BV55">
            <v>0</v>
          </cell>
          <cell r="BW55">
            <v>0</v>
          </cell>
          <cell r="BX55">
            <v>0</v>
          </cell>
          <cell r="BZ55">
            <v>-34.688000000000102</v>
          </cell>
          <cell r="CA55">
            <v>0</v>
          </cell>
          <cell r="CB55">
            <v>0</v>
          </cell>
          <cell r="CC55">
            <v>0</v>
          </cell>
          <cell r="CD55">
            <v>0</v>
          </cell>
          <cell r="CE55">
            <v>0</v>
          </cell>
          <cell r="CF55">
            <v>0</v>
          </cell>
          <cell r="CH55">
            <v>-34.688000000000102</v>
          </cell>
          <cell r="CI55">
            <v>-15.619999999999891</v>
          </cell>
          <cell r="CJ55">
            <v>293.23699999999917</v>
          </cell>
          <cell r="CK55">
            <v>-395.60799999999972</v>
          </cell>
          <cell r="CL55">
            <v>-189.02999999999975</v>
          </cell>
        </row>
        <row r="59">
          <cell r="A59" t="str">
            <v>EPS upside (downside)</v>
          </cell>
          <cell r="R59" t="str">
            <v>-</v>
          </cell>
          <cell r="S59" t="str">
            <v>-</v>
          </cell>
          <cell r="T59" t="str">
            <v>-</v>
          </cell>
          <cell r="U59" t="str">
            <v>-</v>
          </cell>
          <cell r="V59" t="str">
            <v>-</v>
          </cell>
          <cell r="W59" t="str">
            <v>-</v>
          </cell>
          <cell r="X59" t="str">
            <v>-</v>
          </cell>
          <cell r="Y59" t="str">
            <v>-</v>
          </cell>
          <cell r="Z59" t="str">
            <v>-</v>
          </cell>
          <cell r="AA59" t="str">
            <v>-</v>
          </cell>
          <cell r="AB59" t="str">
            <v>-</v>
          </cell>
          <cell r="AC59" t="str">
            <v>-</v>
          </cell>
          <cell r="AD59" t="str">
            <v>-</v>
          </cell>
          <cell r="AE59" t="str">
            <v>-</v>
          </cell>
          <cell r="AF59" t="str">
            <v>-</v>
          </cell>
          <cell r="AG59" t="str">
            <v>-</v>
          </cell>
          <cell r="AH59" t="str">
            <v>-</v>
          </cell>
          <cell r="AI59" t="str">
            <v>-</v>
          </cell>
          <cell r="AJ59" t="str">
            <v>-</v>
          </cell>
          <cell r="AK59" t="str">
            <v>-</v>
          </cell>
          <cell r="AL59" t="str">
            <v>-</v>
          </cell>
          <cell r="AM59" t="str">
            <v>-</v>
          </cell>
          <cell r="AN59" t="str">
            <v>-</v>
          </cell>
          <cell r="AO59" t="str">
            <v>-</v>
          </cell>
          <cell r="AP59" t="str">
            <v>-</v>
          </cell>
          <cell r="AQ59" t="str">
            <v>-</v>
          </cell>
          <cell r="AR59" t="str">
            <v>-</v>
          </cell>
          <cell r="AS59" t="str">
            <v>-</v>
          </cell>
          <cell r="AT59" t="str">
            <v>-</v>
          </cell>
          <cell r="AU59" t="str">
            <v>-</v>
          </cell>
          <cell r="AV59" t="str">
            <v>-</v>
          </cell>
          <cell r="AW59" t="str">
            <v>-</v>
          </cell>
          <cell r="AX59" t="str">
            <v>-</v>
          </cell>
          <cell r="AY59" t="str">
            <v>-</v>
          </cell>
          <cell r="AZ59" t="str">
            <v>-</v>
          </cell>
          <cell r="BA59" t="str">
            <v>-</v>
          </cell>
          <cell r="BB59" t="str">
            <v>-</v>
          </cell>
          <cell r="BC59" t="str">
            <v>-</v>
          </cell>
          <cell r="BD59" t="str">
            <v>-</v>
          </cell>
          <cell r="BE59" t="str">
            <v>-</v>
          </cell>
          <cell r="BF59" t="str">
            <v>-</v>
          </cell>
          <cell r="BG59">
            <v>2.6829792797679886E-2</v>
          </cell>
          <cell r="BH59">
            <v>-2.3202033608378803E-2</v>
          </cell>
          <cell r="BI59">
            <v>1.5899424209875723E-2</v>
          </cell>
          <cell r="BJ59">
            <v>-8.1923849905556956E-2</v>
          </cell>
          <cell r="BK59">
            <v>-3.0207351576142516E-2</v>
          </cell>
          <cell r="BL59">
            <v>-3.2330383154099973E-3</v>
          </cell>
          <cell r="BM59">
            <v>3.9823325578329349E-2</v>
          </cell>
          <cell r="BS59">
            <v>0</v>
          </cell>
          <cell r="BT59">
            <v>0</v>
          </cell>
          <cell r="BU59">
            <v>0</v>
          </cell>
          <cell r="BV59">
            <v>0</v>
          </cell>
          <cell r="BW59">
            <v>0</v>
          </cell>
          <cell r="BX59">
            <v>0</v>
          </cell>
          <cell r="BZ59" t="str">
            <v>-</v>
          </cell>
          <cell r="CA59">
            <v>0</v>
          </cell>
          <cell r="CB59">
            <v>0</v>
          </cell>
          <cell r="CC59">
            <v>0</v>
          </cell>
          <cell r="CD59">
            <v>0</v>
          </cell>
          <cell r="CE59">
            <v>0</v>
          </cell>
          <cell r="CF59">
            <v>0</v>
          </cell>
          <cell r="CH59" t="str">
            <v>-</v>
          </cell>
          <cell r="CI59" t="str">
            <v>-</v>
          </cell>
          <cell r="CJ59">
            <v>0.92164714879069587</v>
          </cell>
          <cell r="CK59">
            <v>-0.30021683046345737</v>
          </cell>
          <cell r="CL59">
            <v>-9.5540914218780193E-2</v>
          </cell>
        </row>
        <row r="167">
          <cell r="A167" t="str">
            <v xml:space="preserve">    % of rev - Service &amp; Support</v>
          </cell>
          <cell r="Q167">
            <v>17</v>
          </cell>
          <cell r="R167">
            <v>2.068071203624177E-2</v>
          </cell>
          <cell r="S167">
            <v>1.8728954914320344E-2</v>
          </cell>
          <cell r="T167">
            <v>2.0333916182525807E-2</v>
          </cell>
          <cell r="U167">
            <v>1.9855766817444071E-2</v>
          </cell>
          <cell r="V167">
            <v>1.7787238264887862E-2</v>
          </cell>
          <cell r="W167">
            <v>1.8366923930404674E-2</v>
          </cell>
          <cell r="X167">
            <v>2.0467510335312463E-2</v>
          </cell>
          <cell r="Y167">
            <v>2.1648327598008856E-2</v>
          </cell>
          <cell r="Z167">
            <v>2.0586531100782013E-2</v>
          </cell>
          <cell r="AA167">
            <v>2.0984660171078709E-2</v>
          </cell>
          <cell r="AB167">
            <v>2.2554661946989872E-2</v>
          </cell>
          <cell r="AC167">
            <v>2.3343802841462386E-2</v>
          </cell>
          <cell r="AD167">
            <v>3.621745704889287E-2</v>
          </cell>
          <cell r="AE167">
            <v>3.8944797031588339E-2</v>
          </cell>
          <cell r="AF167">
            <v>4.1643507662735758E-2</v>
          </cell>
          <cell r="AG167">
            <v>4.9338207162698294E-2</v>
          </cell>
          <cell r="AH167">
            <v>4.9148346834555975E-2</v>
          </cell>
          <cell r="AI167">
            <v>5.2797494109716264E-2</v>
          </cell>
          <cell r="AJ167">
            <v>6.1120619918783654E-2</v>
          </cell>
          <cell r="AK167">
            <v>6.2131632657886918E-2</v>
          </cell>
          <cell r="AL167">
            <v>123</v>
          </cell>
          <cell r="AM167">
            <v>131</v>
          </cell>
          <cell r="BS167">
            <v>1.9884162876356734E-2</v>
          </cell>
          <cell r="BT167">
            <v>1.9574206114194272E-2</v>
          </cell>
          <cell r="BU167">
            <v>2.1890118653058174E-2</v>
          </cell>
          <cell r="BV167">
            <v>3.5176095988816831E-2</v>
          </cell>
          <cell r="BW167">
            <v>4.3813240587596551E-2</v>
          </cell>
          <cell r="BX167">
            <v>5.1215833787025239E-2</v>
          </cell>
          <cell r="CA167">
            <v>1.9884162876356734E-2</v>
          </cell>
          <cell r="CB167">
            <v>1.9574206114194272E-2</v>
          </cell>
          <cell r="CC167">
            <v>2.1890118653058174E-2</v>
          </cell>
          <cell r="CD167">
            <v>3.5176095988816831E-2</v>
          </cell>
          <cell r="CE167">
            <v>4.3813240587596551E-2</v>
          </cell>
          <cell r="CF167">
            <v>5.1215833787025239E-2</v>
          </cell>
        </row>
        <row r="276">
          <cell r="A276" t="str">
            <v># of server transactions over $50K</v>
          </cell>
          <cell r="Z276">
            <v>254.69</v>
          </cell>
          <cell r="AA276">
            <v>288.79199999999997</v>
          </cell>
          <cell r="AB276">
            <v>290.87599999999998</v>
          </cell>
          <cell r="AC276">
            <v>293.94200000000001</v>
          </cell>
          <cell r="AD276">
            <v>113</v>
          </cell>
          <cell r="AE276">
            <v>97</v>
          </cell>
          <cell r="AF276">
            <v>82</v>
          </cell>
          <cell r="AG276">
            <v>104</v>
          </cell>
          <cell r="AH276">
            <v>110</v>
          </cell>
          <cell r="AI276">
            <v>101</v>
          </cell>
          <cell r="AJ276">
            <v>104</v>
          </cell>
          <cell r="AK276">
            <v>154</v>
          </cell>
          <cell r="AL276">
            <v>123</v>
          </cell>
          <cell r="AM276">
            <v>131</v>
          </cell>
          <cell r="AN276">
            <v>163</v>
          </cell>
          <cell r="AO276">
            <v>189</v>
          </cell>
          <cell r="AP276">
            <v>104</v>
          </cell>
          <cell r="AQ276">
            <v>124</v>
          </cell>
          <cell r="AR276">
            <v>139</v>
          </cell>
          <cell r="AS276">
            <v>159</v>
          </cell>
          <cell r="AT276">
            <v>149</v>
          </cell>
          <cell r="AU276">
            <v>124</v>
          </cell>
          <cell r="AV276">
            <v>173</v>
          </cell>
          <cell r="AW276">
            <v>163</v>
          </cell>
          <cell r="AX276">
            <v>761.1</v>
          </cell>
          <cell r="AY276">
            <v>754.1</v>
          </cell>
          <cell r="AZ276">
            <v>745.9</v>
          </cell>
          <cell r="BA276">
            <v>751.90835030549897</v>
          </cell>
          <cell r="BB276">
            <v>730.3</v>
          </cell>
          <cell r="BC276">
            <v>818.4</v>
          </cell>
          <cell r="BD276">
            <v>769.1</v>
          </cell>
          <cell r="BE276">
            <v>810.7</v>
          </cell>
          <cell r="BF276">
            <v>642</v>
          </cell>
          <cell r="BG276">
            <v>696.99999999999989</v>
          </cell>
          <cell r="BH276">
            <v>667</v>
          </cell>
          <cell r="BI276">
            <v>712</v>
          </cell>
          <cell r="BJ276">
            <v>646.99999999999909</v>
          </cell>
          <cell r="BK276">
            <v>707.00000000000011</v>
          </cell>
          <cell r="BL276">
            <v>722</v>
          </cell>
          <cell r="BM276">
            <v>792</v>
          </cell>
          <cell r="BS276">
            <v>0</v>
          </cell>
          <cell r="BT276">
            <v>0</v>
          </cell>
          <cell r="BU276">
            <v>1128.3</v>
          </cell>
          <cell r="BV276">
            <v>1437.9169999999999</v>
          </cell>
          <cell r="BX276">
            <v>0</v>
          </cell>
          <cell r="BY276">
            <v>0</v>
          </cell>
          <cell r="BZ276">
            <v>2834.5999999999995</v>
          </cell>
          <cell r="CA276">
            <v>3013.0083503054989</v>
          </cell>
          <cell r="CB276">
            <v>3128.5</v>
          </cell>
          <cell r="CC276">
            <v>2718</v>
          </cell>
          <cell r="CD276">
            <v>2867.9999999999991</v>
          </cell>
        </row>
        <row r="277">
          <cell r="A277" t="str">
            <v>Digital Marketing</v>
          </cell>
          <cell r="AT277">
            <v>173.1</v>
          </cell>
          <cell r="AU277">
            <v>165.1</v>
          </cell>
          <cell r="AV277">
            <v>190.9</v>
          </cell>
          <cell r="AW277">
            <v>210.2</v>
          </cell>
          <cell r="AX277">
            <v>212.9</v>
          </cell>
          <cell r="AY277">
            <v>215.1</v>
          </cell>
          <cell r="AZ277">
            <v>211.7</v>
          </cell>
          <cell r="BA277">
            <v>269.8</v>
          </cell>
          <cell r="BB277">
            <v>259.89999999999998</v>
          </cell>
          <cell r="BC277">
            <v>250.9</v>
          </cell>
          <cell r="BD277">
            <v>257.10000000000002</v>
          </cell>
          <cell r="BE277">
            <v>290.39999999999998</v>
          </cell>
          <cell r="BF277">
            <v>280</v>
          </cell>
          <cell r="BG277">
            <v>270</v>
          </cell>
          <cell r="BH277">
            <v>280</v>
          </cell>
          <cell r="BI277">
            <v>309.99999999999972</v>
          </cell>
          <cell r="BJ277">
            <v>300</v>
          </cell>
          <cell r="BK277">
            <v>289.99999999999994</v>
          </cell>
          <cell r="BL277">
            <v>299.99999999999994</v>
          </cell>
          <cell r="BM277">
            <v>329.9999999999996</v>
          </cell>
          <cell r="BU277">
            <v>0</v>
          </cell>
          <cell r="BV277">
            <v>0</v>
          </cell>
          <cell r="BX277">
            <v>0</v>
          </cell>
          <cell r="BY277">
            <v>0</v>
          </cell>
          <cell r="BZ277">
            <v>739.3</v>
          </cell>
          <cell r="CA277">
            <v>909.5</v>
          </cell>
          <cell r="CB277">
            <v>1058.3</v>
          </cell>
          <cell r="CC277">
            <v>1139.9999999999998</v>
          </cell>
          <cell r="CD277">
            <v>1219.9999999999995</v>
          </cell>
        </row>
        <row r="278">
          <cell r="A278" t="str">
            <v>New Revenue Breakout and Metrics (As of Q1'12) New Business Segments:  Digital Media - Creative and Interactive, Digital Media and Knowledge Worker.  Digital Marketing - Omniture and Enterprise.  Print and Publishing remains the same.</v>
          </cell>
          <cell r="Z278">
            <v>160.95699999999999</v>
          </cell>
          <cell r="AA278">
            <v>150.11799999999999</v>
          </cell>
          <cell r="AB278">
            <v>135.78100000000001</v>
          </cell>
          <cell r="AC278">
            <v>146.64400000000001</v>
          </cell>
          <cell r="AD278">
            <v>156.19999999999999</v>
          </cell>
          <cell r="AE278">
            <v>151.4</v>
          </cell>
          <cell r="AF278">
            <v>142.30000000000001</v>
          </cell>
          <cell r="AG278">
            <v>169</v>
          </cell>
          <cell r="AH278">
            <v>161.30000000000001</v>
          </cell>
          <cell r="AI278">
            <v>173.1</v>
          </cell>
          <cell r="AJ278">
            <v>165.8</v>
          </cell>
          <cell r="AK278">
            <v>180.1</v>
          </cell>
          <cell r="AT278">
            <v>54.7</v>
          </cell>
          <cell r="AU278">
            <v>56.6</v>
          </cell>
          <cell r="AV278">
            <v>59.8</v>
          </cell>
          <cell r="AW278">
            <v>55</v>
          </cell>
          <cell r="AX278">
            <v>53.7</v>
          </cell>
          <cell r="AY278">
            <v>54</v>
          </cell>
          <cell r="AZ278">
            <v>55.6</v>
          </cell>
          <cell r="BA278">
            <v>55.1</v>
          </cell>
          <cell r="BB278">
            <v>55</v>
          </cell>
          <cell r="BC278">
            <v>55.1</v>
          </cell>
          <cell r="BD278">
            <v>54.4</v>
          </cell>
          <cell r="BE278">
            <v>52.3</v>
          </cell>
          <cell r="BF278">
            <v>53.000000000000007</v>
          </cell>
          <cell r="BG278">
            <v>53</v>
          </cell>
          <cell r="BH278">
            <v>52.999999999999993</v>
          </cell>
          <cell r="BI278">
            <v>53</v>
          </cell>
          <cell r="BJ278">
            <v>52.999999999999993</v>
          </cell>
          <cell r="BK278">
            <v>52.999999999999993</v>
          </cell>
          <cell r="BL278">
            <v>52.999999999999993</v>
          </cell>
          <cell r="BM278">
            <v>53.000000000000014</v>
          </cell>
          <cell r="BS278">
            <v>0</v>
          </cell>
          <cell r="BT278">
            <v>0</v>
          </cell>
          <cell r="BU278">
            <v>593.5</v>
          </cell>
          <cell r="BV278">
            <v>618.90000000000009</v>
          </cell>
          <cell r="BX278">
            <v>0</v>
          </cell>
          <cell r="BY278">
            <v>0</v>
          </cell>
          <cell r="BZ278">
            <v>226.10000000000002</v>
          </cell>
          <cell r="CA278">
            <v>218.4</v>
          </cell>
          <cell r="CB278">
            <v>216.8</v>
          </cell>
          <cell r="CC278">
            <v>212</v>
          </cell>
          <cell r="CD278">
            <v>212</v>
          </cell>
        </row>
        <row r="424">
          <cell r="A424" t="str">
            <v>Introductary Pricing</v>
          </cell>
          <cell r="Z424">
            <v>254.69</v>
          </cell>
          <cell r="AA424">
            <v>288.79199999999997</v>
          </cell>
          <cell r="AB424">
            <v>290.87599999999998</v>
          </cell>
          <cell r="AC424">
            <v>293.94200000000001</v>
          </cell>
          <cell r="AD424">
            <v>382.1</v>
          </cell>
          <cell r="AE424">
            <v>360.12700000000001</v>
          </cell>
          <cell r="AF424">
            <v>331.59</v>
          </cell>
          <cell r="AG424">
            <v>364.1</v>
          </cell>
          <cell r="AH424">
            <v>346.39100000000002</v>
          </cell>
          <cell r="AI424">
            <v>436.61900000000003</v>
          </cell>
          <cell r="AJ424">
            <v>545.45299999999997</v>
          </cell>
          <cell r="AK424">
            <v>570.5</v>
          </cell>
          <cell r="AL424">
            <v>543.5</v>
          </cell>
          <cell r="AM424">
            <v>527.181632653061</v>
          </cell>
          <cell r="AN424">
            <v>493.6</v>
          </cell>
          <cell r="AO424">
            <v>508.7</v>
          </cell>
          <cell r="AP424">
            <v>460.7</v>
          </cell>
          <cell r="AQ424">
            <v>411.7</v>
          </cell>
          <cell r="AR424">
            <v>400.4</v>
          </cell>
          <cell r="AS424">
            <v>429.3</v>
          </cell>
          <cell r="AT424">
            <v>432</v>
          </cell>
          <cell r="AU424">
            <v>532.70000000000005</v>
          </cell>
          <cell r="AV424">
            <v>549.70000000000005</v>
          </cell>
          <cell r="AW424">
            <v>542.1</v>
          </cell>
          <cell r="AX424">
            <v>554.29999999999984</v>
          </cell>
          <cell r="AY424">
            <v>556.49999999999989</v>
          </cell>
          <cell r="AZ424">
            <v>545</v>
          </cell>
          <cell r="BA424">
            <v>563.30000000000018</v>
          </cell>
          <cell r="BB424">
            <v>35</v>
          </cell>
          <cell r="BC424">
            <v>36</v>
          </cell>
          <cell r="BD424">
            <v>37</v>
          </cell>
          <cell r="BE424">
            <v>37</v>
          </cell>
          <cell r="BF424">
            <v>37</v>
          </cell>
          <cell r="BG424">
            <v>37</v>
          </cell>
          <cell r="BH424">
            <v>37</v>
          </cell>
          <cell r="BI424">
            <v>37</v>
          </cell>
          <cell r="BJ424">
            <v>37</v>
          </cell>
          <cell r="BK424">
            <v>37</v>
          </cell>
          <cell r="BL424">
            <v>37</v>
          </cell>
          <cell r="BM424">
            <v>37</v>
          </cell>
          <cell r="BN424">
            <v>37</v>
          </cell>
          <cell r="BO424">
            <v>37</v>
          </cell>
          <cell r="BP424">
            <v>37</v>
          </cell>
          <cell r="BQ424">
            <v>37</v>
          </cell>
          <cell r="BR424">
            <v>37</v>
          </cell>
          <cell r="BS424">
            <v>37</v>
          </cell>
          <cell r="BT424">
            <v>37</v>
          </cell>
          <cell r="BU424">
            <v>37</v>
          </cell>
          <cell r="BV424">
            <v>37</v>
          </cell>
          <cell r="BW424">
            <v>37</v>
          </cell>
          <cell r="BX424">
            <v>37</v>
          </cell>
          <cell r="BY424">
            <v>37</v>
          </cell>
          <cell r="BZ424">
            <v>2056.5</v>
          </cell>
          <cell r="CA424">
            <v>2219.1</v>
          </cell>
          <cell r="CB424">
            <v>2430.3999999999992</v>
          </cell>
          <cell r="CC424">
            <v>2663.3514817088958</v>
          </cell>
          <cell r="CD424">
            <v>2920.3008598869978</v>
          </cell>
        </row>
        <row r="425">
          <cell r="A425" t="str">
            <v>Pricing After One Year</v>
          </cell>
          <cell r="AL425">
            <v>369.58000000000004</v>
          </cell>
          <cell r="AM425">
            <v>358.48351020408148</v>
          </cell>
          <cell r="AN425">
            <v>335.64800000000002</v>
          </cell>
          <cell r="AO425">
            <v>345.916</v>
          </cell>
          <cell r="AP425">
            <v>313.27600000000001</v>
          </cell>
          <cell r="AQ425">
            <v>279.95600000000002</v>
          </cell>
          <cell r="AR425">
            <v>272.27199999999999</v>
          </cell>
          <cell r="AS425">
            <v>291.92400000000004</v>
          </cell>
          <cell r="AT425">
            <v>293.76000000000005</v>
          </cell>
          <cell r="AU425">
            <v>362.23600000000005</v>
          </cell>
          <cell r="AV425">
            <v>373.79600000000005</v>
          </cell>
          <cell r="AW425">
            <v>368.62800000000004</v>
          </cell>
          <cell r="AX425">
            <v>376.92399999999992</v>
          </cell>
          <cell r="AY425">
            <v>378.41999999999996</v>
          </cell>
          <cell r="AZ425">
            <v>370.6</v>
          </cell>
          <cell r="BA425">
            <v>383.04400000000015</v>
          </cell>
          <cell r="BB425">
            <v>0</v>
          </cell>
          <cell r="BC425">
            <v>0</v>
          </cell>
          <cell r="BD425">
            <v>0</v>
          </cell>
          <cell r="BE425">
            <v>0</v>
          </cell>
          <cell r="BF425">
            <v>55</v>
          </cell>
          <cell r="BG425">
            <v>55</v>
          </cell>
          <cell r="BH425">
            <v>55</v>
          </cell>
          <cell r="BI425">
            <v>55</v>
          </cell>
          <cell r="BJ425">
            <v>55</v>
          </cell>
          <cell r="BK425">
            <v>55</v>
          </cell>
          <cell r="BL425">
            <v>55</v>
          </cell>
          <cell r="BM425">
            <v>55</v>
          </cell>
          <cell r="BN425">
            <v>55</v>
          </cell>
          <cell r="BO425">
            <v>55</v>
          </cell>
          <cell r="BP425">
            <v>55</v>
          </cell>
          <cell r="BQ425">
            <v>55</v>
          </cell>
          <cell r="BR425">
            <v>55</v>
          </cell>
          <cell r="BS425">
            <v>55</v>
          </cell>
          <cell r="BT425">
            <v>55</v>
          </cell>
          <cell r="BU425">
            <v>55</v>
          </cell>
          <cell r="BV425">
            <v>55</v>
          </cell>
          <cell r="BW425">
            <v>55</v>
          </cell>
          <cell r="BX425">
            <v>55</v>
          </cell>
          <cell r="BY425">
            <v>55</v>
          </cell>
          <cell r="BZ425">
            <v>1398.42</v>
          </cell>
          <cell r="CA425">
            <v>1508.9880000000001</v>
          </cell>
          <cell r="CB425">
            <v>1652.6719999999996</v>
          </cell>
          <cell r="CC425">
            <v>1811.0790075620496</v>
          </cell>
          <cell r="CD425">
            <v>1985.8045847231583</v>
          </cell>
        </row>
        <row r="426">
          <cell r="A426" t="str">
            <v>Churn</v>
          </cell>
          <cell r="Z426">
            <v>254.69</v>
          </cell>
          <cell r="AA426">
            <v>288.79199999999997</v>
          </cell>
          <cell r="AB426">
            <v>290.87599999999998</v>
          </cell>
          <cell r="AC426">
            <v>293.94200000000001</v>
          </cell>
          <cell r="AD426">
            <v>382.1</v>
          </cell>
          <cell r="AE426">
            <v>360.12700000000001</v>
          </cell>
          <cell r="AF426">
            <v>331.59</v>
          </cell>
          <cell r="AG426">
            <v>364.1</v>
          </cell>
          <cell r="AH426">
            <v>346.39100000000002</v>
          </cell>
          <cell r="AI426">
            <v>436.61900000000003</v>
          </cell>
          <cell r="AJ426">
            <v>545.45299999999997</v>
          </cell>
          <cell r="AK426">
            <v>570.5</v>
          </cell>
          <cell r="AL426">
            <v>173.91999999999996</v>
          </cell>
          <cell r="AM426">
            <v>168.69812244897952</v>
          </cell>
          <cell r="AN426">
            <v>157.952</v>
          </cell>
          <cell r="AO426">
            <v>162.78399999999999</v>
          </cell>
          <cell r="AP426">
            <v>147.42399999999998</v>
          </cell>
          <cell r="AQ426">
            <v>131.74399999999997</v>
          </cell>
          <cell r="AR426">
            <v>128.12799999999999</v>
          </cell>
          <cell r="AS426">
            <v>137.37599999999998</v>
          </cell>
          <cell r="AT426">
            <v>138.23999999999995</v>
          </cell>
          <cell r="AU426">
            <v>170.464</v>
          </cell>
          <cell r="AV426">
            <v>175.904</v>
          </cell>
          <cell r="AW426">
            <v>173.47199999999998</v>
          </cell>
          <cell r="AX426">
            <v>177.37599999999992</v>
          </cell>
          <cell r="AY426">
            <v>178.07999999999993</v>
          </cell>
          <cell r="AZ426">
            <v>174.39999999999998</v>
          </cell>
          <cell r="BA426">
            <v>180.25600000000003</v>
          </cell>
          <cell r="BB426">
            <v>3.15</v>
          </cell>
          <cell r="BC426">
            <v>9.7200000000000006</v>
          </cell>
          <cell r="BD426">
            <v>22.2</v>
          </cell>
          <cell r="BE426">
            <v>38.85</v>
          </cell>
          <cell r="BF426">
            <v>0.1</v>
          </cell>
          <cell r="BG426">
            <v>0.1</v>
          </cell>
          <cell r="BH426">
            <v>0.1</v>
          </cell>
          <cell r="BI426">
            <v>0.1</v>
          </cell>
          <cell r="BJ426">
            <v>0.1</v>
          </cell>
          <cell r="BK426">
            <v>0.1</v>
          </cell>
          <cell r="BL426">
            <v>0.1</v>
          </cell>
          <cell r="BM426">
            <v>0.1</v>
          </cell>
          <cell r="BN426">
            <v>0.1</v>
          </cell>
          <cell r="BO426">
            <v>0.1</v>
          </cell>
          <cell r="BP426">
            <v>0.1</v>
          </cell>
          <cell r="BQ426">
            <v>0.1</v>
          </cell>
          <cell r="BR426">
            <v>0.1</v>
          </cell>
          <cell r="BS426">
            <v>0.1</v>
          </cell>
          <cell r="BT426">
            <v>0.1</v>
          </cell>
          <cell r="BU426">
            <v>0.1</v>
          </cell>
          <cell r="BV426">
            <v>0.1</v>
          </cell>
          <cell r="BW426">
            <v>0.1</v>
          </cell>
          <cell r="BX426">
            <v>0.1</v>
          </cell>
          <cell r="BY426">
            <v>0.1</v>
          </cell>
          <cell r="BZ426">
            <v>658.07999999999993</v>
          </cell>
          <cell r="CA426">
            <v>710.11199999999985</v>
          </cell>
          <cell r="CB426">
            <v>777.72799999999961</v>
          </cell>
          <cell r="CC426">
            <v>852.27247414684666</v>
          </cell>
          <cell r="CD426">
            <v>934.49627516383907</v>
          </cell>
        </row>
        <row r="427">
          <cell r="A427" t="str">
            <v>Digital Enterprise Solutions</v>
          </cell>
          <cell r="AD427">
            <v>204.1</v>
          </cell>
          <cell r="AE427">
            <v>196.2</v>
          </cell>
          <cell r="AF427">
            <v>191.2</v>
          </cell>
          <cell r="AG427">
            <v>224.7</v>
          </cell>
          <cell r="AH427">
            <v>217.3</v>
          </cell>
          <cell r="AI427">
            <v>228.8</v>
          </cell>
          <cell r="AJ427">
            <v>227.4</v>
          </cell>
          <cell r="AK427">
            <v>246.4</v>
          </cell>
          <cell r="AL427">
            <v>369.58000000000004</v>
          </cell>
          <cell r="AM427">
            <v>358.48351020408148</v>
          </cell>
          <cell r="AN427">
            <v>335.64800000000002</v>
          </cell>
          <cell r="AO427">
            <v>345.916</v>
          </cell>
          <cell r="AP427">
            <v>313.27600000000001</v>
          </cell>
          <cell r="AQ427">
            <v>279.95600000000002</v>
          </cell>
          <cell r="AR427">
            <v>272.27199999999999</v>
          </cell>
          <cell r="AS427">
            <v>291.92400000000004</v>
          </cell>
          <cell r="AT427">
            <v>293.76000000000005</v>
          </cell>
          <cell r="AU427">
            <v>362.23600000000005</v>
          </cell>
          <cell r="AV427">
            <v>373.79600000000005</v>
          </cell>
          <cell r="AW427">
            <v>368.62800000000004</v>
          </cell>
          <cell r="AX427">
            <v>376.92399999999992</v>
          </cell>
          <cell r="AY427">
            <v>378.41999999999996</v>
          </cell>
          <cell r="AZ427">
            <v>370.6</v>
          </cell>
          <cell r="BA427">
            <v>383.04400000000015</v>
          </cell>
          <cell r="BB427">
            <v>398.88800000000003</v>
          </cell>
          <cell r="BC427">
            <v>410.584</v>
          </cell>
          <cell r="BD427">
            <v>418.19999999999959</v>
          </cell>
          <cell r="BE427">
            <v>424.99999999999994</v>
          </cell>
          <cell r="BF427">
            <v>422.13187948764227</v>
          </cell>
          <cell r="BG427">
            <v>445.48179550763706</v>
          </cell>
          <cell r="BH427">
            <v>471.91376146788889</v>
          </cell>
          <cell r="BI427">
            <v>471.55157109888131</v>
          </cell>
          <cell r="BJ427">
            <v>446.73021920882383</v>
          </cell>
          <cell r="BK427">
            <v>483.34574685985859</v>
          </cell>
          <cell r="BL427">
            <v>532.52653817018597</v>
          </cell>
          <cell r="BM427">
            <v>523.20208048429015</v>
          </cell>
          <cell r="BU427">
            <v>0</v>
          </cell>
          <cell r="BV427">
            <v>816.2</v>
          </cell>
          <cell r="BW427">
            <v>919.9</v>
          </cell>
          <cell r="BX427">
            <v>1064</v>
          </cell>
          <cell r="BY427">
            <v>858.5</v>
          </cell>
          <cell r="BZ427">
            <v>1009.4</v>
          </cell>
          <cell r="CA427">
            <v>1118.0999999999999</v>
          </cell>
          <cell r="CB427">
            <v>1281.6000000000004</v>
          </cell>
          <cell r="CC427">
            <v>1476.213716029898</v>
          </cell>
          <cell r="CD427">
            <v>1709.0625076594292</v>
          </cell>
        </row>
        <row r="428">
          <cell r="A428" t="str">
            <v>Creative Cloud Quarterly Revenue (M)</v>
          </cell>
          <cell r="Z428">
            <v>160.95699999999999</v>
          </cell>
          <cell r="AA428">
            <v>150.11799999999999</v>
          </cell>
          <cell r="AB428">
            <v>135.78100000000001</v>
          </cell>
          <cell r="AC428">
            <v>146.64400000000001</v>
          </cell>
          <cell r="AD428">
            <v>156.19999999999999</v>
          </cell>
          <cell r="AE428">
            <v>151.4</v>
          </cell>
          <cell r="AF428">
            <v>142.30000000000001</v>
          </cell>
          <cell r="AG428">
            <v>169</v>
          </cell>
          <cell r="AH428">
            <v>161.30000000000001</v>
          </cell>
          <cell r="AI428">
            <v>173.1</v>
          </cell>
          <cell r="AJ428">
            <v>165.8</v>
          </cell>
          <cell r="AK428">
            <v>180.1</v>
          </cell>
          <cell r="AL428">
            <v>173.91999999999996</v>
          </cell>
          <cell r="AM428">
            <v>168.69812244897952</v>
          </cell>
          <cell r="AN428">
            <v>157.952</v>
          </cell>
          <cell r="AO428">
            <v>162.78399999999999</v>
          </cell>
          <cell r="AP428">
            <v>147.42399999999998</v>
          </cell>
          <cell r="AQ428">
            <v>131.74399999999997</v>
          </cell>
          <cell r="AR428">
            <v>128.12799999999999</v>
          </cell>
          <cell r="AS428">
            <v>137.37599999999998</v>
          </cell>
          <cell r="AT428">
            <v>138.23999999999995</v>
          </cell>
          <cell r="AU428">
            <v>170.464</v>
          </cell>
          <cell r="AV428">
            <v>175.904</v>
          </cell>
          <cell r="AW428">
            <v>173.47199999999998</v>
          </cell>
          <cell r="AX428">
            <v>177.37599999999992</v>
          </cell>
          <cell r="AY428">
            <v>178.07999999999993</v>
          </cell>
          <cell r="AZ428">
            <v>174.39999999999998</v>
          </cell>
          <cell r="BA428">
            <v>180.25600000000003</v>
          </cell>
          <cell r="BB428">
            <v>187.71199999999999</v>
          </cell>
          <cell r="BC428">
            <v>193.21599999999995</v>
          </cell>
          <cell r="BD428">
            <v>196.79999999999973</v>
          </cell>
          <cell r="BE428">
            <v>199.99999999999994</v>
          </cell>
          <cell r="BF428">
            <v>198.65029622947867</v>
          </cell>
          <cell r="BG428">
            <v>209.63849200359385</v>
          </cell>
          <cell r="BH428">
            <v>222.07706422018293</v>
          </cell>
          <cell r="BI428">
            <v>221.90662169359115</v>
          </cell>
          <cell r="BJ428">
            <v>210.22598551003472</v>
          </cell>
          <cell r="BK428">
            <v>227.45682205169811</v>
          </cell>
          <cell r="BL428">
            <v>250.60072384479327</v>
          </cell>
          <cell r="BM428">
            <v>246.21274375731298</v>
          </cell>
          <cell r="BS428">
            <v>0</v>
          </cell>
          <cell r="BT428">
            <v>0</v>
          </cell>
          <cell r="BU428">
            <v>0</v>
          </cell>
          <cell r="BV428">
            <v>0</v>
          </cell>
          <cell r="BW428">
            <v>0</v>
          </cell>
          <cell r="BX428">
            <v>663.35412244897952</v>
          </cell>
          <cell r="BY428">
            <v>544.67199999999991</v>
          </cell>
          <cell r="BZ428">
            <v>658.07999999999993</v>
          </cell>
          <cell r="CA428">
            <v>710.11199999999985</v>
          </cell>
          <cell r="CB428">
            <v>777.72799999999961</v>
          </cell>
          <cell r="CC428">
            <v>852.27247414684666</v>
          </cell>
          <cell r="CD428">
            <v>934.49627516383907</v>
          </cell>
        </row>
        <row r="429">
          <cell r="A429" t="str">
            <v>FY'12 Revenue</v>
          </cell>
          <cell r="Z429">
            <v>254.69</v>
          </cell>
          <cell r="AA429">
            <v>288.79199999999997</v>
          </cell>
          <cell r="AB429">
            <v>290.87599999999998</v>
          </cell>
          <cell r="AC429">
            <v>293.94200000000001</v>
          </cell>
          <cell r="AD429">
            <v>47.900000000000006</v>
          </cell>
          <cell r="AE429">
            <v>44.799999999999983</v>
          </cell>
          <cell r="AF429">
            <v>48.899999999999977</v>
          </cell>
          <cell r="AG429">
            <v>55.699999999999989</v>
          </cell>
          <cell r="AH429">
            <v>56</v>
          </cell>
          <cell r="AI429">
            <v>55.7</v>
          </cell>
          <cell r="AJ429">
            <v>61.6</v>
          </cell>
          <cell r="AK429">
            <v>66.3</v>
          </cell>
          <cell r="AL429">
            <v>67.599999999999994</v>
          </cell>
          <cell r="AM429">
            <v>67.400000000000006</v>
          </cell>
          <cell r="AN429">
            <v>79.599999999999994</v>
          </cell>
          <cell r="AO429">
            <v>91.7</v>
          </cell>
          <cell r="AP429">
            <v>77.099999999999994</v>
          </cell>
          <cell r="AQ429">
            <v>71.900000000000006</v>
          </cell>
          <cell r="AR429">
            <v>71.900000000000006</v>
          </cell>
          <cell r="AS429">
            <v>80</v>
          </cell>
          <cell r="AT429">
            <v>79.900000000000006</v>
          </cell>
          <cell r="AU429">
            <v>76.7</v>
          </cell>
          <cell r="AV429">
            <v>94.2</v>
          </cell>
          <cell r="AW429">
            <v>104.2</v>
          </cell>
          <cell r="AX429">
            <v>110</v>
          </cell>
          <cell r="AY429">
            <v>112.00000000000001</v>
          </cell>
          <cell r="AZ429">
            <v>96.999999999999986</v>
          </cell>
          <cell r="BA429">
            <v>110.00000000000003</v>
          </cell>
          <cell r="BB429">
            <v>3.15</v>
          </cell>
          <cell r="BC429">
            <v>9.7200000000000006</v>
          </cell>
          <cell r="BD429">
            <v>22.2</v>
          </cell>
          <cell r="BE429">
            <v>38.85</v>
          </cell>
          <cell r="BF429">
            <v>39.975000000000001</v>
          </cell>
          <cell r="BG429">
            <v>42.225000000000001</v>
          </cell>
          <cell r="BH429">
            <v>46.35</v>
          </cell>
          <cell r="BI429">
            <v>51.975000000000001</v>
          </cell>
          <cell r="BJ429">
            <v>51.529499999999999</v>
          </cell>
          <cell r="BK429">
            <v>50.638500000000001</v>
          </cell>
          <cell r="BL429">
            <v>49.005000000000003</v>
          </cell>
          <cell r="BM429">
            <v>46.777500000000003</v>
          </cell>
          <cell r="BN429">
            <v>46.376550000000002</v>
          </cell>
          <cell r="BO429">
            <v>45.574649999999998</v>
          </cell>
          <cell r="BP429">
            <v>44.104500000000002</v>
          </cell>
          <cell r="BQ429">
            <v>42.09975</v>
          </cell>
          <cell r="BR429">
            <v>112.56003</v>
          </cell>
          <cell r="BS429">
            <v>109.13858999999999</v>
          </cell>
          <cell r="BT429">
            <v>106.318575</v>
          </cell>
          <cell r="BU429">
            <v>103.4451</v>
          </cell>
          <cell r="BV429">
            <v>111.28367249999999</v>
          </cell>
          <cell r="BW429">
            <v>108.1161675</v>
          </cell>
          <cell r="BX429">
            <v>105.2159625</v>
          </cell>
          <cell r="BY429">
            <v>102.5429625</v>
          </cell>
          <cell r="BZ429">
            <v>355</v>
          </cell>
          <cell r="CA429">
            <v>429</v>
          </cell>
          <cell r="CB429">
            <v>504.9000000000002</v>
          </cell>
          <cell r="CC429">
            <v>599.51988472352423</v>
          </cell>
          <cell r="CD429">
            <v>718.08216175493192</v>
          </cell>
        </row>
        <row r="430">
          <cell r="A430" t="str">
            <v>FY'13 Revenue</v>
          </cell>
          <cell r="Z430">
            <v>0</v>
          </cell>
          <cell r="AA430">
            <v>150.11799999999999</v>
          </cell>
          <cell r="AB430">
            <v>135.78100000000001</v>
          </cell>
          <cell r="AC430">
            <v>146.64400000000001</v>
          </cell>
          <cell r="AD430">
            <v>8.6</v>
          </cell>
          <cell r="AE430">
            <v>7.641</v>
          </cell>
          <cell r="AF430">
            <v>9.1440000000000001</v>
          </cell>
          <cell r="AG430">
            <v>12.1</v>
          </cell>
          <cell r="AH430">
            <v>13.733000000000001</v>
          </cell>
          <cell r="AI430">
            <v>12.282999999999999</v>
          </cell>
          <cell r="AJ430">
            <v>12.983000000000001</v>
          </cell>
          <cell r="AK430">
            <v>13.5</v>
          </cell>
          <cell r="AL430">
            <v>15.2</v>
          </cell>
          <cell r="AM430">
            <v>22.2</v>
          </cell>
          <cell r="AN430">
            <v>27.5</v>
          </cell>
          <cell r="AO430">
            <v>48.2</v>
          </cell>
          <cell r="AP430">
            <v>26.1</v>
          </cell>
          <cell r="AQ430">
            <v>8.4</v>
          </cell>
          <cell r="AR430">
            <v>8.4</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19.757999999999999</v>
          </cell>
          <cell r="BG430">
            <v>48.173999999999999</v>
          </cell>
          <cell r="BH430">
            <v>71.594999999999999</v>
          </cell>
          <cell r="BI430">
            <v>95.46</v>
          </cell>
          <cell r="BJ430">
            <v>102.13500000000001</v>
          </cell>
          <cell r="BK430">
            <v>111.735</v>
          </cell>
          <cell r="BL430">
            <v>119.64749999999999</v>
          </cell>
          <cell r="BM430">
            <v>127.71</v>
          </cell>
          <cell r="BN430">
            <v>125.0667</v>
          </cell>
          <cell r="BO430">
            <v>121.2651</v>
          </cell>
          <cell r="BP430">
            <v>118.13175</v>
          </cell>
          <cell r="BQ430">
            <v>114.93899999999999</v>
          </cell>
          <cell r="BR430">
            <v>123.64852500000001</v>
          </cell>
          <cell r="BS430">
            <v>120.129075</v>
          </cell>
          <cell r="BT430">
            <v>116.90662500000001</v>
          </cell>
          <cell r="BU430">
            <v>113.93662500000001</v>
          </cell>
          <cell r="BV430">
            <v>90.584999999999994</v>
          </cell>
          <cell r="BW430">
            <v>87.986249999999998</v>
          </cell>
          <cell r="BX430">
            <v>85.758750000000006</v>
          </cell>
          <cell r="BY430">
            <v>83.53125</v>
          </cell>
          <cell r="BZ430">
            <v>0</v>
          </cell>
          <cell r="CA430">
            <v>0</v>
          </cell>
          <cell r="CB430">
            <v>0</v>
          </cell>
          <cell r="CC430">
            <v>0</v>
          </cell>
          <cell r="CD430">
            <v>0</v>
          </cell>
        </row>
        <row r="431">
          <cell r="A431" t="str">
            <v>FY'14 Revenue</v>
          </cell>
          <cell r="Z431">
            <v>254.69</v>
          </cell>
          <cell r="AA431">
            <v>288.79199999999997</v>
          </cell>
          <cell r="AB431">
            <v>290.87599999999998</v>
          </cell>
          <cell r="AC431">
            <v>293.94200000000001</v>
          </cell>
          <cell r="AD431">
            <v>382.1</v>
          </cell>
          <cell r="AE431">
            <v>360.12700000000001</v>
          </cell>
          <cell r="AF431">
            <v>331.59</v>
          </cell>
          <cell r="AG431">
            <v>364.1</v>
          </cell>
          <cell r="AH431">
            <v>346.39100000000002</v>
          </cell>
          <cell r="AI431">
            <v>436.61900000000003</v>
          </cell>
          <cell r="AJ431">
            <v>545.45299999999997</v>
          </cell>
          <cell r="AK431">
            <v>570.5</v>
          </cell>
          <cell r="AL431">
            <v>543.5</v>
          </cell>
          <cell r="AM431">
            <v>527.181632653061</v>
          </cell>
          <cell r="AN431">
            <v>493.6</v>
          </cell>
          <cell r="AO431">
            <v>508.7</v>
          </cell>
          <cell r="AP431">
            <v>460.7</v>
          </cell>
          <cell r="AQ431">
            <v>411.7</v>
          </cell>
          <cell r="AR431">
            <v>400.4</v>
          </cell>
          <cell r="AS431">
            <v>429.3</v>
          </cell>
          <cell r="AT431">
            <v>432</v>
          </cell>
          <cell r="AU431">
            <v>532.70000000000005</v>
          </cell>
          <cell r="AV431">
            <v>549.70000000000005</v>
          </cell>
          <cell r="AW431">
            <v>542.1</v>
          </cell>
          <cell r="AX431">
            <v>554.29999999999984</v>
          </cell>
          <cell r="AY431">
            <v>556.49999999999989</v>
          </cell>
          <cell r="AZ431">
            <v>545</v>
          </cell>
          <cell r="BA431">
            <v>563.30000000000018</v>
          </cell>
          <cell r="BB431">
            <v>0</v>
          </cell>
          <cell r="BC431">
            <v>0</v>
          </cell>
          <cell r="BD431">
            <v>0</v>
          </cell>
          <cell r="BE431">
            <v>0</v>
          </cell>
          <cell r="BF431">
            <v>0</v>
          </cell>
          <cell r="BG431">
            <v>0</v>
          </cell>
          <cell r="BH431">
            <v>0</v>
          </cell>
          <cell r="BI431">
            <v>0</v>
          </cell>
          <cell r="BJ431">
            <v>22.0335</v>
          </cell>
          <cell r="BK431">
            <v>48.340499999999999</v>
          </cell>
          <cell r="BL431">
            <v>72.427499999999995</v>
          </cell>
          <cell r="BM431">
            <v>94.627499999999998</v>
          </cell>
          <cell r="BN431">
            <v>102.07125000000001</v>
          </cell>
          <cell r="BO431">
            <v>110.95874999999999</v>
          </cell>
          <cell r="BP431">
            <v>119.09625</v>
          </cell>
          <cell r="BQ431">
            <v>126.59625</v>
          </cell>
          <cell r="BR431">
            <v>75</v>
          </cell>
          <cell r="BS431">
            <v>81.5625</v>
          </cell>
          <cell r="BT431">
            <v>87.1875</v>
          </cell>
          <cell r="BU431">
            <v>92.8125</v>
          </cell>
          <cell r="BV431">
            <v>75</v>
          </cell>
          <cell r="BW431">
            <v>81.5625</v>
          </cell>
          <cell r="BX431">
            <v>87.1875</v>
          </cell>
          <cell r="BY431">
            <v>92.8125</v>
          </cell>
          <cell r="BZ431">
            <v>2056.5</v>
          </cell>
          <cell r="CA431">
            <v>2219.1</v>
          </cell>
          <cell r="CB431">
            <v>2430.3999999999992</v>
          </cell>
          <cell r="CC431">
            <v>2663.3514817088958</v>
          </cell>
          <cell r="CD431">
            <v>2920.3008598869978</v>
          </cell>
        </row>
        <row r="432">
          <cell r="A432" t="str">
            <v>FY'15 Revenue</v>
          </cell>
          <cell r="Z432">
            <v>0</v>
          </cell>
          <cell r="AD432">
            <v>13.7</v>
          </cell>
          <cell r="AE432">
            <v>18.100000000000001</v>
          </cell>
          <cell r="AF432">
            <v>17.8</v>
          </cell>
          <cell r="AG432">
            <v>18.5</v>
          </cell>
          <cell r="AH432">
            <v>15.8</v>
          </cell>
          <cell r="AI432">
            <v>18.899999999999999</v>
          </cell>
          <cell r="AJ432">
            <v>18.7</v>
          </cell>
          <cell r="AK432">
            <v>27.5</v>
          </cell>
          <cell r="AL432">
            <v>369.58000000000004</v>
          </cell>
          <cell r="AM432">
            <v>358.48351020408148</v>
          </cell>
          <cell r="AN432">
            <v>335.64800000000002</v>
          </cell>
          <cell r="AO432">
            <v>345.916</v>
          </cell>
          <cell r="AP432">
            <v>313.27600000000001</v>
          </cell>
          <cell r="AQ432">
            <v>279.95600000000002</v>
          </cell>
          <cell r="AR432">
            <v>272.27199999999999</v>
          </cell>
          <cell r="AS432">
            <v>291.92400000000004</v>
          </cell>
          <cell r="AT432">
            <v>293.76000000000005</v>
          </cell>
          <cell r="AU432">
            <v>362.23600000000005</v>
          </cell>
          <cell r="AV432">
            <v>373.79600000000005</v>
          </cell>
          <cell r="AW432">
            <v>368.62800000000004</v>
          </cell>
          <cell r="AX432">
            <v>376.92399999999992</v>
          </cell>
          <cell r="AY432">
            <v>378.41999999999996</v>
          </cell>
          <cell r="AZ432">
            <v>370.6</v>
          </cell>
          <cell r="BA432">
            <v>383.04400000000015</v>
          </cell>
          <cell r="BB432">
            <v>0</v>
          </cell>
          <cell r="BC432">
            <v>0</v>
          </cell>
          <cell r="BD432">
            <v>0</v>
          </cell>
          <cell r="BE432">
            <v>0</v>
          </cell>
          <cell r="BF432">
            <v>0</v>
          </cell>
          <cell r="BG432">
            <v>0</v>
          </cell>
          <cell r="BH432">
            <v>0</v>
          </cell>
          <cell r="BI432">
            <v>0</v>
          </cell>
          <cell r="BJ432">
            <v>0</v>
          </cell>
          <cell r="BK432">
            <v>0</v>
          </cell>
          <cell r="BL432">
            <v>0</v>
          </cell>
          <cell r="BM432">
            <v>0</v>
          </cell>
          <cell r="BN432">
            <v>16.649999999999999</v>
          </cell>
          <cell r="BO432">
            <v>36.075000000000003</v>
          </cell>
          <cell r="BP432">
            <v>52.725000000000001</v>
          </cell>
          <cell r="BQ432">
            <v>69.375</v>
          </cell>
          <cell r="BR432">
            <v>16.649999999999999</v>
          </cell>
          <cell r="BS432">
            <v>36.075000000000003</v>
          </cell>
          <cell r="BT432">
            <v>52.725000000000001</v>
          </cell>
          <cell r="BU432">
            <v>69.375</v>
          </cell>
          <cell r="BV432">
            <v>16.649999999999999</v>
          </cell>
          <cell r="BW432">
            <v>36.075000000000003</v>
          </cell>
          <cell r="BX432">
            <v>52.725000000000001</v>
          </cell>
          <cell r="BY432">
            <v>69.375</v>
          </cell>
          <cell r="BZ432">
            <v>1398.42</v>
          </cell>
          <cell r="CA432">
            <v>1508.9880000000001</v>
          </cell>
          <cell r="CB432">
            <v>1652.6719999999996</v>
          </cell>
          <cell r="CC432">
            <v>1811.0790075620496</v>
          </cell>
          <cell r="CD432">
            <v>1985.8045847231583</v>
          </cell>
        </row>
        <row r="436">
          <cell r="A436" t="str">
            <v>OLD Segments Below As Reported Before Q1'11</v>
          </cell>
          <cell r="AD436">
            <v>47.900000000000006</v>
          </cell>
          <cell r="AE436">
            <v>44.799999999999983</v>
          </cell>
          <cell r="AF436">
            <v>48.899999999999977</v>
          </cell>
          <cell r="AG436">
            <v>55.699999999999989</v>
          </cell>
          <cell r="AH436">
            <v>56</v>
          </cell>
          <cell r="AI436">
            <v>55.7</v>
          </cell>
          <cell r="AJ436">
            <v>61.6</v>
          </cell>
          <cell r="AK436">
            <v>66.3</v>
          </cell>
          <cell r="AL436">
            <v>67.599999999999994</v>
          </cell>
          <cell r="AM436">
            <v>67.400000000000006</v>
          </cell>
          <cell r="AN436">
            <v>79.599999999999994</v>
          </cell>
          <cell r="AO436">
            <v>91.7</v>
          </cell>
          <cell r="AP436">
            <v>77.099999999999994</v>
          </cell>
          <cell r="AQ436">
            <v>71.900000000000006</v>
          </cell>
          <cell r="AR436">
            <v>71.900000000000006</v>
          </cell>
          <cell r="AS436">
            <v>80</v>
          </cell>
          <cell r="AT436">
            <v>79.900000000000006</v>
          </cell>
          <cell r="AU436">
            <v>76.7</v>
          </cell>
          <cell r="AV436">
            <v>94.2</v>
          </cell>
          <cell r="AW436">
            <v>104.2</v>
          </cell>
          <cell r="AX436">
            <v>110</v>
          </cell>
          <cell r="AY436">
            <v>112.00000000000001</v>
          </cell>
          <cell r="AZ436">
            <v>96.999999999999986</v>
          </cell>
          <cell r="BA436">
            <v>110.00000000000003</v>
          </cell>
          <cell r="BB436">
            <v>115</v>
          </cell>
          <cell r="BC436">
            <v>123.20000000000003</v>
          </cell>
          <cell r="BD436">
            <v>127.80000000000011</v>
          </cell>
          <cell r="BE436">
            <v>138.9</v>
          </cell>
          <cell r="BF436">
            <v>120.22727272727272</v>
          </cell>
          <cell r="BG436">
            <v>135.52000000000004</v>
          </cell>
          <cell r="BH436">
            <v>168.3797938144333</v>
          </cell>
          <cell r="BI436">
            <v>175.39281818181814</v>
          </cell>
          <cell r="BJ436">
            <v>125.69214876033057</v>
          </cell>
          <cell r="BK436">
            <v>149.07200000000006</v>
          </cell>
          <cell r="BL436">
            <v>221.84471803592368</v>
          </cell>
          <cell r="BM436">
            <v>221.4732949586776</v>
          </cell>
          <cell r="BU436">
            <v>0</v>
          </cell>
          <cell r="BV436">
            <v>197.29999999999995</v>
          </cell>
          <cell r="BW436">
            <v>239.60000000000002</v>
          </cell>
          <cell r="BX436">
            <v>306.3</v>
          </cell>
          <cell r="BY436">
            <v>300.89999999999998</v>
          </cell>
          <cell r="BZ436">
            <v>355</v>
          </cell>
          <cell r="CA436">
            <v>429</v>
          </cell>
          <cell r="CB436">
            <v>504.9000000000002</v>
          </cell>
          <cell r="CC436">
            <v>599.51988472352423</v>
          </cell>
          <cell r="CD436">
            <v>718.08216175493192</v>
          </cell>
        </row>
        <row r="437">
          <cell r="A437" t="str">
            <v>Revenue by Segment</v>
          </cell>
          <cell r="Z437">
            <v>0</v>
          </cell>
          <cell r="AD437">
            <v>8.6</v>
          </cell>
          <cell r="AE437">
            <v>7.641</v>
          </cell>
          <cell r="AF437">
            <v>9.1440000000000001</v>
          </cell>
          <cell r="AG437">
            <v>12.1</v>
          </cell>
          <cell r="AH437">
            <v>13.733000000000001</v>
          </cell>
          <cell r="AI437">
            <v>12.282999999999999</v>
          </cell>
          <cell r="AJ437">
            <v>12.983000000000001</v>
          </cell>
          <cell r="AK437">
            <v>13.5</v>
          </cell>
          <cell r="AL437">
            <v>15.2</v>
          </cell>
          <cell r="AM437">
            <v>22.2</v>
          </cell>
          <cell r="AN437">
            <v>27.5</v>
          </cell>
          <cell r="AO437">
            <v>48.2</v>
          </cell>
          <cell r="AP437">
            <v>26.1</v>
          </cell>
          <cell r="AQ437">
            <v>8.4</v>
          </cell>
          <cell r="AR437">
            <v>8.4</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S437">
            <v>0</v>
          </cell>
          <cell r="BT437">
            <v>0</v>
          </cell>
          <cell r="BU437">
            <v>0</v>
          </cell>
          <cell r="BV437">
            <v>37.484999999999999</v>
          </cell>
          <cell r="BW437">
            <v>52.498999999999995</v>
          </cell>
          <cell r="BX437">
            <v>113.10000000000001</v>
          </cell>
          <cell r="BY437">
            <v>42.9</v>
          </cell>
          <cell r="BZ437">
            <v>0</v>
          </cell>
          <cell r="CA437">
            <v>0</v>
          </cell>
          <cell r="CB437">
            <v>0</v>
          </cell>
          <cell r="CC437">
            <v>0</v>
          </cell>
          <cell r="CD437">
            <v>0</v>
          </cell>
        </row>
      </sheetData>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pg"/>
      <sheetName val="Model"/>
      <sheetName val="H1 production contrib graph"/>
      <sheetName val="H1 cashflow contrib graph"/>
      <sheetName val="2004 Contributions"/>
      <sheetName val="Quarter "/>
      <sheetName val="Production Chart"/>
      <sheetName val="PubTables"/>
      <sheetName val="Resources"/>
      <sheetName val="Reserves"/>
      <sheetName val="Pubfin"/>
      <sheetName val="NAV Summary"/>
      <sheetName val="Prod'nSumm"/>
      <sheetName val="SumPage"/>
      <sheetName val="Betze-Post"/>
      <sheetName val="Meikle-Rodeo"/>
      <sheetName val="Veladero"/>
      <sheetName val="Pascua"/>
      <sheetName val="Cowal"/>
      <sheetName val="Bulyanhulu"/>
      <sheetName val="Chicama"/>
      <sheetName val="Pierina"/>
      <sheetName val="Holt"/>
      <sheetName val="Round Mountain"/>
      <sheetName val="Marigold"/>
      <sheetName val="Eskay Creek"/>
      <sheetName val="Williams"/>
      <sheetName val="David Bell"/>
      <sheetName val="Kalgoorlie"/>
      <sheetName val="Plutonic"/>
      <sheetName val="Darlot"/>
      <sheetName val="Lawlers"/>
      <sheetName val="Homestake"/>
      <sheetName val="Bousquet"/>
      <sheetName val="Ruby Hill"/>
      <sheetName val="El Indio-Tambo"/>
      <sheetName val="Agua de la Falda"/>
      <sheetName val="McLaughlin"/>
      <sheetName val="Doyon"/>
      <sheetName val="Bullfrog"/>
      <sheetName val="Pinson"/>
      <sheetName val="Mercur"/>
      <sheetName val="DS_Key_Information"/>
      <sheetName val="DS_Valuation_Measures"/>
      <sheetName val="DS_Quarterly_Estimates_Data"/>
      <sheetName val="DS_Income_Statement"/>
      <sheetName val="DS_Cash_Flow"/>
      <sheetName val="DS_Balance_Sheet"/>
      <sheetName val="DS_Industry_Specif"/>
      <sheetName val="RBCGold"/>
      <sheetName val="2003 Contributions (2)"/>
    </sheetNames>
    <sheetDataSet>
      <sheetData sheetId="0"/>
      <sheetData sheetId="1" refreshError="1">
        <row r="51">
          <cell r="I51">
            <v>0.72675000000000001</v>
          </cell>
        </row>
        <row r="139">
          <cell r="Q139">
            <v>6124771</v>
          </cell>
          <cell r="R139">
            <v>5694877</v>
          </cell>
        </row>
        <row r="336">
          <cell r="K336">
            <v>2.1736073669788909</v>
          </cell>
          <cell r="L336">
            <v>1.4228108318850041</v>
          </cell>
          <cell r="Q336">
            <v>1.348314606741573</v>
          </cell>
          <cell r="R336">
            <v>1.3450346420323325</v>
          </cell>
          <cell r="W336">
            <v>1.2738261273826128</v>
          </cell>
        </row>
      </sheetData>
      <sheetData sheetId="2" refreshError="1"/>
      <sheetData sheetId="3" refreshError="1"/>
      <sheetData sheetId="4"/>
      <sheetData sheetId="5"/>
      <sheetData sheetId="6" refreshError="1"/>
      <sheetData sheetId="7"/>
      <sheetData sheetId="8"/>
      <sheetData sheetId="9"/>
      <sheetData sheetId="10"/>
      <sheetData sheetId="11"/>
      <sheetData sheetId="12"/>
      <sheetData sheetId="13"/>
      <sheetData sheetId="14"/>
      <sheetData sheetId="15" refreshError="1">
        <row r="1">
          <cell r="A1" t="str">
            <v>MEIKLE MINE</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QPL"/>
      <sheetName val="Balance"/>
      <sheetName val="Misc"/>
      <sheetName val="Charts"/>
      <sheetName val="Geographic Analysis"/>
      <sheetName val="Capitalized sw"/>
      <sheetName val="Headcount"/>
      <sheetName val="market share"/>
      <sheetName val="customers"/>
      <sheetName val="Acquisitions"/>
      <sheetName val="mt shr tbl"/>
      <sheetName val="market share analysis"/>
      <sheetName val="Products"/>
      <sheetName val="Module1"/>
      <sheetName val="Module2"/>
      <sheetName val="BAANF"/>
      <sheetName val="BAANFQP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BM"/>
      <sheetName val="MODELEx (2)"/>
      <sheetName val="MODELEx"/>
      <sheetName val="MODEL"/>
      <sheetName val="QUICK SUMMARY"/>
      <sheetName val="Upside_Downside"/>
      <sheetName val="guidance"/>
      <sheetName val="Job postings"/>
      <sheetName val="geographic split"/>
      <sheetName val="SENSITIVITY"/>
      <sheetName val="MULTIPLES PIVOT"/>
      <sheetName val="exhibits"/>
      <sheetName val="DCF"/>
      <sheetName val="LINKS"/>
      <sheetName val="QUICK SUMMARY-1"/>
    </sheetNames>
    <sheetDataSet>
      <sheetData sheetId="0"/>
      <sheetData sheetId="1"/>
      <sheetData sheetId="2"/>
      <sheetData sheetId="3"/>
      <sheetData sheetId="4">
        <row r="9">
          <cell r="A9" t="str">
            <v>Total Revenue</v>
          </cell>
          <cell r="AD9">
            <v>34.600999999999999</v>
          </cell>
          <cell r="AE9">
            <v>38.811</v>
          </cell>
          <cell r="AF9">
            <v>38.333999999999996</v>
          </cell>
          <cell r="AG9">
            <v>43.620000000000005</v>
          </cell>
          <cell r="AH9">
            <v>45.764000000000003</v>
          </cell>
          <cell r="AI9">
            <v>52.546999999999997</v>
          </cell>
          <cell r="AJ9">
            <v>54.413999999999994</v>
          </cell>
          <cell r="AK9">
            <v>59.066000000000003</v>
          </cell>
          <cell r="AL9">
            <v>54.194000000000003</v>
          </cell>
          <cell r="AM9">
            <v>61.344999999999999</v>
          </cell>
          <cell r="AN9">
            <v>65.864000000000004</v>
          </cell>
          <cell r="AO9">
            <v>70.710999999999984</v>
          </cell>
          <cell r="AP9">
            <v>69.795000000000002</v>
          </cell>
          <cell r="AQ9">
            <v>76.331000000000003</v>
          </cell>
          <cell r="AR9">
            <v>84.971000000000004</v>
          </cell>
          <cell r="AS9">
            <v>93.59899999999999</v>
          </cell>
          <cell r="AT9">
            <v>93.266000000000005</v>
          </cell>
          <cell r="AU9">
            <v>103.02300000000001</v>
          </cell>
          <cell r="AV9">
            <v>116.426</v>
          </cell>
          <cell r="AW9">
            <v>120.861</v>
          </cell>
          <cell r="AX9">
            <v>117.247</v>
          </cell>
          <cell r="AY9">
            <v>128.96200000000002</v>
          </cell>
          <cell r="AZ9">
            <v>136.268</v>
          </cell>
          <cell r="BA9">
            <v>151.16199999999998</v>
          </cell>
          <cell r="BB9">
            <v>135.82</v>
          </cell>
          <cell r="BC9">
            <v>147.42800000000003</v>
          </cell>
          <cell r="BD9">
            <v>154.69899999999998</v>
          </cell>
          <cell r="BE9">
            <v>177.35</v>
          </cell>
          <cell r="BF9">
            <v>168.94899999999998</v>
          </cell>
          <cell r="BG9">
            <v>184.09440000000001</v>
          </cell>
          <cell r="BH9">
            <v>193.34800000000001</v>
          </cell>
          <cell r="BI9">
            <v>210.10615384615389</v>
          </cell>
          <cell r="BJ9">
            <v>190.66799999999998</v>
          </cell>
          <cell r="BK9">
            <v>203.71503960396041</v>
          </cell>
          <cell r="BL9">
            <v>223.33236771637596</v>
          </cell>
          <cell r="BM9">
            <v>234.12405866145482</v>
          </cell>
          <cell r="BR9">
            <v>38.732999999999997</v>
          </cell>
          <cell r="BS9">
            <v>79.814999999999998</v>
          </cell>
          <cell r="BT9">
            <v>123.46599999999999</v>
          </cell>
          <cell r="BU9">
            <v>155.36600000000001</v>
          </cell>
          <cell r="BV9">
            <v>211.791</v>
          </cell>
          <cell r="BW9">
            <v>252.114</v>
          </cell>
          <cell r="BX9">
            <v>324.69600000000003</v>
          </cell>
          <cell r="BY9">
            <v>433.57600000000002</v>
          </cell>
          <cell r="BZ9">
            <v>533.6389999999999</v>
          </cell>
          <cell r="CA9">
            <v>615.29700000000003</v>
          </cell>
          <cell r="CB9">
            <v>756.49755384615389</v>
          </cell>
          <cell r="CC9">
            <v>851.83946598179114</v>
          </cell>
          <cell r="CD9">
            <v>1.2294835727236666</v>
          </cell>
          <cell r="DM9" t="str">
            <v>Gross Margin</v>
          </cell>
          <cell r="DN9">
            <v>0.69</v>
          </cell>
          <cell r="DO9">
            <v>0.73</v>
          </cell>
          <cell r="DP9">
            <v>0.72</v>
          </cell>
          <cell r="DQ9">
            <v>0.72</v>
          </cell>
          <cell r="DR9" t="str">
            <v>71% - 74%</v>
          </cell>
        </row>
        <row r="15">
          <cell r="A15" t="str">
            <v>S&amp;M</v>
          </cell>
          <cell r="AD15">
            <v>14.705</v>
          </cell>
          <cell r="AE15">
            <v>16.721</v>
          </cell>
          <cell r="AF15">
            <v>16.762999999999998</v>
          </cell>
          <cell r="AG15">
            <v>20.042000000000002</v>
          </cell>
          <cell r="AH15">
            <v>20.997</v>
          </cell>
          <cell r="AI15">
            <v>22.248999999999999</v>
          </cell>
          <cell r="AJ15">
            <v>20.787000000000003</v>
          </cell>
          <cell r="AK15">
            <v>21.172000000000001</v>
          </cell>
          <cell r="AL15">
            <v>21.119000000000003</v>
          </cell>
          <cell r="AM15">
            <v>23.649000000000001</v>
          </cell>
          <cell r="AN15">
            <v>22.701000000000001</v>
          </cell>
          <cell r="AO15">
            <v>25.800999999999998</v>
          </cell>
          <cell r="AP15">
            <v>25.856999999999999</v>
          </cell>
          <cell r="AQ15">
            <v>26.880000000000003</v>
          </cell>
          <cell r="AR15">
            <v>25.97</v>
          </cell>
          <cell r="AS15">
            <v>29.451000000000001</v>
          </cell>
          <cell r="AT15">
            <v>30.818000000000005</v>
          </cell>
          <cell r="AU15">
            <v>34.215000000000003</v>
          </cell>
          <cell r="AV15">
            <v>34.225999999999999</v>
          </cell>
          <cell r="AW15">
            <v>36.948</v>
          </cell>
          <cell r="AX15">
            <v>38.593000000000004</v>
          </cell>
          <cell r="AY15">
            <v>40.783999999999999</v>
          </cell>
          <cell r="AZ15">
            <v>40.864000000000004</v>
          </cell>
          <cell r="BA15">
            <v>46.121000000000002</v>
          </cell>
          <cell r="BB15">
            <v>45.857999999999997</v>
          </cell>
          <cell r="BC15">
            <v>51.402999999999999</v>
          </cell>
          <cell r="BD15">
            <v>51.471999999999994</v>
          </cell>
          <cell r="BE15">
            <v>56.731999999999999</v>
          </cell>
          <cell r="BF15">
            <v>61.579999999999991</v>
          </cell>
          <cell r="BG15">
            <v>69.069999999999993</v>
          </cell>
          <cell r="BH15">
            <v>73.036000000000001</v>
          </cell>
          <cell r="BI15">
            <v>77.739276923076943</v>
          </cell>
          <cell r="BJ15">
            <v>67.305803999999995</v>
          </cell>
          <cell r="BK15">
            <v>71.707693940594055</v>
          </cell>
          <cell r="BL15">
            <v>78.38966106844795</v>
          </cell>
          <cell r="BM15">
            <v>81.818053756678623</v>
          </cell>
          <cell r="BR15">
            <v>0</v>
          </cell>
          <cell r="BS15">
            <v>0</v>
          </cell>
          <cell r="BT15">
            <v>0</v>
          </cell>
          <cell r="BU15">
            <v>68.230999999999995</v>
          </cell>
          <cell r="BV15">
            <v>85.204999999999998</v>
          </cell>
          <cell r="BW15">
            <v>93.27</v>
          </cell>
          <cell r="BX15">
            <v>108.15799999999999</v>
          </cell>
          <cell r="BY15">
            <v>136.20700000000002</v>
          </cell>
          <cell r="BZ15">
            <v>166.36200000000002</v>
          </cell>
          <cell r="CA15">
            <v>205.465</v>
          </cell>
          <cell r="CB15">
            <v>281.42527692307692</v>
          </cell>
          <cell r="CC15">
            <v>299.22121276572062</v>
          </cell>
        </row>
        <row r="16">
          <cell r="A16" t="str">
            <v>R&amp;D</v>
          </cell>
          <cell r="AD16">
            <v>5.73</v>
          </cell>
          <cell r="AE16">
            <v>6.0550000000000006</v>
          </cell>
          <cell r="AF16">
            <v>6.6379999999999999</v>
          </cell>
          <cell r="AG16">
            <v>7.7139999999999995</v>
          </cell>
          <cell r="AH16">
            <v>8.6179999999999986</v>
          </cell>
          <cell r="AI16">
            <v>9.1829999999999998</v>
          </cell>
          <cell r="AJ16">
            <v>9.6580000000000013</v>
          </cell>
          <cell r="AK16">
            <v>8.527000000000001</v>
          </cell>
          <cell r="AL16">
            <v>9.4979999999999993</v>
          </cell>
          <cell r="AM16">
            <v>10.036000000000001</v>
          </cell>
          <cell r="AN16">
            <v>10.281000000000001</v>
          </cell>
          <cell r="AO16">
            <v>10.417</v>
          </cell>
          <cell r="AP16">
            <v>11.379999999999999</v>
          </cell>
          <cell r="AQ16">
            <v>12.089</v>
          </cell>
          <cell r="AR16">
            <v>11.789</v>
          </cell>
          <cell r="AS16">
            <v>12.204000000000001</v>
          </cell>
          <cell r="AT16">
            <v>13.968</v>
          </cell>
          <cell r="AU16">
            <v>14.957000000000001</v>
          </cell>
          <cell r="AV16">
            <v>15.318</v>
          </cell>
          <cell r="AW16">
            <v>14.642000000000001</v>
          </cell>
          <cell r="AX16">
            <v>17.71</v>
          </cell>
          <cell r="AY16">
            <v>18.096000000000004</v>
          </cell>
          <cell r="AZ16">
            <v>17.973000000000003</v>
          </cell>
          <cell r="BA16">
            <v>18.073</v>
          </cell>
          <cell r="BB16">
            <v>20.568000000000001</v>
          </cell>
          <cell r="BC16">
            <v>21.867000000000001</v>
          </cell>
          <cell r="BD16">
            <v>22.872999999999998</v>
          </cell>
          <cell r="BE16">
            <v>24.081</v>
          </cell>
          <cell r="BF16">
            <v>25.172999999999998</v>
          </cell>
          <cell r="BG16">
            <v>25.766999999999999</v>
          </cell>
          <cell r="BH16">
            <v>26.285</v>
          </cell>
          <cell r="BI16">
            <v>29.414861538461547</v>
          </cell>
          <cell r="BJ16">
            <v>28.523</v>
          </cell>
          <cell r="BK16">
            <v>28.832000000000004</v>
          </cell>
          <cell r="BL16">
            <v>30.979509937086593</v>
          </cell>
          <cell r="BM16">
            <v>31.538408189997831</v>
          </cell>
          <cell r="BR16">
            <v>0</v>
          </cell>
          <cell r="BS16">
            <v>0</v>
          </cell>
          <cell r="BT16">
            <v>0</v>
          </cell>
          <cell r="BU16">
            <v>26.137</v>
          </cell>
          <cell r="BV16">
            <v>35.986000000000004</v>
          </cell>
          <cell r="BW16">
            <v>40.231999999999999</v>
          </cell>
          <cell r="BX16">
            <v>47.462000000000003</v>
          </cell>
          <cell r="BY16">
            <v>58.885000000000005</v>
          </cell>
          <cell r="BZ16">
            <v>71.852000000000004</v>
          </cell>
          <cell r="CA16">
            <v>89.388999999999996</v>
          </cell>
          <cell r="CB16">
            <v>106.63986153846155</v>
          </cell>
          <cell r="CC16">
            <v>119.87291812708443</v>
          </cell>
        </row>
        <row r="17">
          <cell r="A17" t="str">
            <v>G&amp;A</v>
          </cell>
          <cell r="AD17">
            <v>4.0890000000000004</v>
          </cell>
          <cell r="AE17">
            <v>4.3100000000000005</v>
          </cell>
          <cell r="AF17">
            <v>3.9569999999999999</v>
          </cell>
          <cell r="AG17">
            <v>5.2059999999999995</v>
          </cell>
          <cell r="AH17">
            <v>3.6999999999999997</v>
          </cell>
          <cell r="AI17">
            <v>4.1289999999999996</v>
          </cell>
          <cell r="AJ17">
            <v>3.6059999999999999</v>
          </cell>
          <cell r="AK17">
            <v>3.9339999999999997</v>
          </cell>
          <cell r="AL17">
            <v>4.2919999999999998</v>
          </cell>
          <cell r="AM17">
            <v>4.1120000000000001</v>
          </cell>
          <cell r="AN17">
            <v>4.0310000000000006</v>
          </cell>
          <cell r="AO17">
            <v>4.1680000000000001</v>
          </cell>
          <cell r="AP17">
            <v>4.5630000000000006</v>
          </cell>
          <cell r="AQ17">
            <v>5.4130000000000003</v>
          </cell>
          <cell r="AR17">
            <v>5.444</v>
          </cell>
          <cell r="AS17">
            <v>4.8239999999999998</v>
          </cell>
          <cell r="AT17">
            <v>5.2460000000000004</v>
          </cell>
          <cell r="AU17">
            <v>5.5270000000000001</v>
          </cell>
          <cell r="AV17">
            <v>5.0199999999999996</v>
          </cell>
          <cell r="AW17">
            <v>5.1219999999999999</v>
          </cell>
          <cell r="AX17">
            <v>4.7489999999999997</v>
          </cell>
          <cell r="AY17">
            <v>5.1820000000000004</v>
          </cell>
          <cell r="AZ17">
            <v>6.1259999999999994</v>
          </cell>
          <cell r="BA17">
            <v>5.33</v>
          </cell>
          <cell r="BB17">
            <v>7.1639999999999997</v>
          </cell>
          <cell r="BC17">
            <v>7.766</v>
          </cell>
          <cell r="BD17">
            <v>7.7549999999999999</v>
          </cell>
          <cell r="BE17">
            <v>6.7340000000000009</v>
          </cell>
          <cell r="BF17">
            <v>6.6389999999999985</v>
          </cell>
          <cell r="BG17">
            <v>4.3750000000000009</v>
          </cell>
          <cell r="BH17">
            <v>8.6059999999999999</v>
          </cell>
          <cell r="BI17">
            <v>8.6143523076923092</v>
          </cell>
          <cell r="BJ17">
            <v>8.4190000000000005</v>
          </cell>
          <cell r="BK17">
            <v>8.7139999999999986</v>
          </cell>
          <cell r="BL17">
            <v>9.5489729775437358</v>
          </cell>
          <cell r="BM17">
            <v>9.8332104637811035</v>
          </cell>
          <cell r="BR17">
            <v>0</v>
          </cell>
          <cell r="BS17">
            <v>0</v>
          </cell>
          <cell r="BT17">
            <v>0</v>
          </cell>
          <cell r="BU17">
            <v>17.562000000000001</v>
          </cell>
          <cell r="BV17">
            <v>15.368999999999998</v>
          </cell>
          <cell r="BW17">
            <v>16.603000000000002</v>
          </cell>
          <cell r="BX17">
            <v>20.244</v>
          </cell>
          <cell r="BY17">
            <v>20.914999999999999</v>
          </cell>
          <cell r="BZ17">
            <v>21.387</v>
          </cell>
          <cell r="CA17">
            <v>29.419</v>
          </cell>
          <cell r="CB17">
            <v>28.234352307692305</v>
          </cell>
          <cell r="CC17">
            <v>36.515183441324837</v>
          </cell>
        </row>
        <row r="19">
          <cell r="A19" t="str">
            <v>Operating Income</v>
          </cell>
          <cell r="V19">
            <v>0</v>
          </cell>
          <cell r="W19">
            <v>0</v>
          </cell>
          <cell r="X19">
            <v>0</v>
          </cell>
          <cell r="Y19">
            <v>0</v>
          </cell>
          <cell r="Z19">
            <v>0</v>
          </cell>
          <cell r="AA19">
            <v>0</v>
          </cell>
          <cell r="AB19">
            <v>0</v>
          </cell>
          <cell r="AC19">
            <v>0</v>
          </cell>
          <cell r="AD19">
            <v>-0.78000000000000114</v>
          </cell>
          <cell r="AE19">
            <v>-1.222999999999999</v>
          </cell>
          <cell r="AF19">
            <v>-2.9579999999999984</v>
          </cell>
          <cell r="AG19">
            <v>-7.2839999999999989</v>
          </cell>
          <cell r="AH19">
            <v>-2.6009999999999955</v>
          </cell>
          <cell r="AI19">
            <v>0.45700000000000074</v>
          </cell>
          <cell r="AJ19">
            <v>4.6529999999999916</v>
          </cell>
          <cell r="AK19">
            <v>7.7169999999999987</v>
          </cell>
          <cell r="AL19">
            <v>4.7789999999999964</v>
          </cell>
          <cell r="AM19">
            <v>6.7679999999999936</v>
          </cell>
          <cell r="AN19">
            <v>11.612000000000002</v>
          </cell>
          <cell r="AO19">
            <v>11.297999999999988</v>
          </cell>
          <cell r="AP19">
            <v>8.8520000000000039</v>
          </cell>
          <cell r="AQ19">
            <v>12.043999999999997</v>
          </cell>
          <cell r="AR19">
            <v>20.593000000000004</v>
          </cell>
          <cell r="AS19">
            <v>23.166999999999987</v>
          </cell>
          <cell r="AT19">
            <v>20.038000000000004</v>
          </cell>
          <cell r="AU19">
            <v>22.170999999999999</v>
          </cell>
          <cell r="AV19">
            <v>31.350999999999999</v>
          </cell>
          <cell r="AW19">
            <v>32.382999999999996</v>
          </cell>
          <cell r="AX19">
            <v>25.960999999999999</v>
          </cell>
          <cell r="AY19">
            <v>28.802000000000021</v>
          </cell>
          <cell r="AZ19">
            <v>34.599999999999994</v>
          </cell>
          <cell r="BA19">
            <v>41.323999999999984</v>
          </cell>
          <cell r="BB19">
            <v>24.211999999999989</v>
          </cell>
          <cell r="BC19">
            <v>24.360000000000028</v>
          </cell>
          <cell r="BD19">
            <v>30.056999999999988</v>
          </cell>
          <cell r="BE19">
            <v>37.33</v>
          </cell>
          <cell r="BF19">
            <v>26.256000000000014</v>
          </cell>
          <cell r="BG19">
            <v>28.16540000000002</v>
          </cell>
          <cell r="BH19">
            <v>30.118000000000023</v>
          </cell>
          <cell r="BI19">
            <v>34.03075153846153</v>
          </cell>
          <cell r="BJ19">
            <v>31.984325999999996</v>
          </cell>
          <cell r="BK19">
            <v>35.900424821782181</v>
          </cell>
          <cell r="BL19">
            <v>41.913487550547998</v>
          </cell>
          <cell r="BM19">
            <v>45.918852529080752</v>
          </cell>
          <cell r="BR19">
            <v>38.732999999999997</v>
          </cell>
          <cell r="BS19">
            <v>79.814999999999998</v>
          </cell>
          <cell r="BT19">
            <v>123.46599999999999</v>
          </cell>
          <cell r="BU19">
            <v>-12.244999999999976</v>
          </cell>
          <cell r="BV19">
            <v>10.225999999999996</v>
          </cell>
          <cell r="BW19">
            <v>34.456999999999979</v>
          </cell>
          <cell r="BX19">
            <v>64.655999999999992</v>
          </cell>
          <cell r="BY19">
            <v>105.943</v>
          </cell>
          <cell r="BZ19">
            <v>130.68700000000001</v>
          </cell>
          <cell r="CA19">
            <v>115.959</v>
          </cell>
          <cell r="CB19">
            <v>118.57015153846159</v>
          </cell>
          <cell r="CC19">
            <v>155.71709090141093</v>
          </cell>
          <cell r="DN19">
            <v>0.2298058188372607</v>
          </cell>
        </row>
        <row r="20">
          <cell r="A20" t="str">
            <v>Interest Income</v>
          </cell>
          <cell r="AD20">
            <v>0.52300000000000002</v>
          </cell>
          <cell r="AE20">
            <v>0.27800000000000002</v>
          </cell>
          <cell r="AF20">
            <v>0.35299999999999998</v>
          </cell>
          <cell r="AG20">
            <v>0.36199999999999999</v>
          </cell>
          <cell r="AH20">
            <v>-0.16800000000000004</v>
          </cell>
          <cell r="AI20">
            <v>0.7410000000000001</v>
          </cell>
          <cell r="AJ20">
            <v>1.47</v>
          </cell>
          <cell r="AK20">
            <v>2.2809999999999997</v>
          </cell>
          <cell r="AL20">
            <v>1.208</v>
          </cell>
          <cell r="AM20">
            <v>0.25300000000000006</v>
          </cell>
          <cell r="AN20">
            <v>0.36399999999999999</v>
          </cell>
          <cell r="AO20">
            <v>0.35399999999999998</v>
          </cell>
          <cell r="AP20">
            <v>1.8000000000000016E-2</v>
          </cell>
          <cell r="AQ20">
            <v>0.48599999999999999</v>
          </cell>
          <cell r="AR20">
            <v>0.11199999999999999</v>
          </cell>
          <cell r="AS20">
            <v>0.38400000000000001</v>
          </cell>
          <cell r="AT20">
            <v>0.69800000000000006</v>
          </cell>
          <cell r="AU20">
            <v>0.65600000000000003</v>
          </cell>
          <cell r="AV20">
            <v>0.96399999999999997</v>
          </cell>
          <cell r="AW20">
            <v>0.85099999999999998</v>
          </cell>
          <cell r="AX20">
            <v>1.014</v>
          </cell>
          <cell r="AY20">
            <v>1.276</v>
          </cell>
          <cell r="AZ20">
            <v>0.52300000000000013</v>
          </cell>
          <cell r="BA20">
            <v>1.23</v>
          </cell>
          <cell r="BB20">
            <v>1.5840000000000001</v>
          </cell>
          <cell r="BC20">
            <v>1.2369999999999999</v>
          </cell>
          <cell r="BD20">
            <v>7.6000000000000012E-2</v>
          </cell>
          <cell r="BE20">
            <v>0.89900000000000002</v>
          </cell>
          <cell r="BF20">
            <v>0.94399999999999995</v>
          </cell>
          <cell r="BG20">
            <v>1.319</v>
          </cell>
          <cell r="BH20">
            <v>0.57800000000000007</v>
          </cell>
          <cell r="BI20">
            <v>0.59800000000000009</v>
          </cell>
          <cell r="BJ20">
            <v>0.6180000000000001</v>
          </cell>
          <cell r="BK20">
            <v>0.63800000000000012</v>
          </cell>
          <cell r="BL20">
            <v>0.65800000000000014</v>
          </cell>
          <cell r="BM20">
            <v>0.67800000000000016</v>
          </cell>
          <cell r="BR20">
            <v>0</v>
          </cell>
          <cell r="BS20">
            <v>0</v>
          </cell>
          <cell r="BT20">
            <v>0</v>
          </cell>
          <cell r="BU20">
            <v>1.516</v>
          </cell>
          <cell r="BV20">
            <v>4.3239999999999998</v>
          </cell>
          <cell r="BW20">
            <v>2.1790000000000003</v>
          </cell>
          <cell r="BX20">
            <v>1</v>
          </cell>
          <cell r="BY20">
            <v>3.169</v>
          </cell>
          <cell r="BZ20">
            <v>4.0430000000000001</v>
          </cell>
          <cell r="CA20">
            <v>3.7959999999999998</v>
          </cell>
          <cell r="CB20">
            <v>3.4390000000000001</v>
          </cell>
          <cell r="CC20">
            <v>2.5920000000000005</v>
          </cell>
        </row>
        <row r="22">
          <cell r="A22" t="str">
            <v>Taxes, Net</v>
          </cell>
          <cell r="AD22">
            <v>0.16400000000000001</v>
          </cell>
          <cell r="AE22">
            <v>0.80400000000000005</v>
          </cell>
          <cell r="AF22">
            <v>0.376</v>
          </cell>
          <cell r="AG22">
            <v>0.437</v>
          </cell>
          <cell r="AH22">
            <v>0.33800000000000002</v>
          </cell>
          <cell r="AI22">
            <v>0.75600000000000001</v>
          </cell>
          <cell r="AJ22">
            <v>0.183</v>
          </cell>
          <cell r="AK22">
            <v>0.61099999999999999</v>
          </cell>
          <cell r="AL22">
            <v>0.66300000000000003</v>
          </cell>
          <cell r="AM22">
            <v>0.65200000000000002</v>
          </cell>
          <cell r="AN22">
            <v>2.1509999999999998</v>
          </cell>
          <cell r="AO22">
            <v>2.4350000000000001</v>
          </cell>
          <cell r="AP22">
            <v>3.105</v>
          </cell>
          <cell r="AQ22">
            <v>4.3860000000000001</v>
          </cell>
          <cell r="AR22">
            <v>7.2469999999999999</v>
          </cell>
          <cell r="AS22">
            <v>6.2729999999999997</v>
          </cell>
          <cell r="AT22">
            <v>6.843</v>
          </cell>
          <cell r="AU22">
            <v>7.5329999999999995</v>
          </cell>
          <cell r="AV22">
            <v>10.664000000000001</v>
          </cell>
          <cell r="AW22">
            <v>10.967000000000001</v>
          </cell>
          <cell r="AX22">
            <v>9.0090000000000003</v>
          </cell>
          <cell r="AY22">
            <v>10.064</v>
          </cell>
          <cell r="AZ22">
            <v>11.942</v>
          </cell>
          <cell r="BA22">
            <v>14.468</v>
          </cell>
          <cell r="BB22">
            <v>8.5129999999999999</v>
          </cell>
          <cell r="BC22">
            <v>8.4469999999999992</v>
          </cell>
          <cell r="BD22">
            <v>9.9440000000000008</v>
          </cell>
          <cell r="BE22">
            <v>13.526</v>
          </cell>
          <cell r="BF22">
            <v>8.9759999999999991</v>
          </cell>
          <cell r="BG22">
            <v>10.839</v>
          </cell>
          <cell r="BH22">
            <v>10.744</v>
          </cell>
          <cell r="BI22">
            <v>11.427488007692306</v>
          </cell>
          <cell r="BJ22">
            <v>10.758767580000001</v>
          </cell>
          <cell r="BK22">
            <v>12.057680191188119</v>
          </cell>
          <cell r="BL22">
            <v>14.04859089168084</v>
          </cell>
          <cell r="BM22">
            <v>15.376961334596649</v>
          </cell>
          <cell r="BR22">
            <v>0</v>
          </cell>
          <cell r="BS22">
            <v>0</v>
          </cell>
          <cell r="BT22">
            <v>0</v>
          </cell>
          <cell r="BU22">
            <v>1.7810000000000001</v>
          </cell>
          <cell r="BV22">
            <v>1.8880000000000001</v>
          </cell>
          <cell r="BW22">
            <v>5.9009999999999998</v>
          </cell>
          <cell r="BX22">
            <v>21.010999999999999</v>
          </cell>
          <cell r="BY22">
            <v>36.006999999999998</v>
          </cell>
          <cell r="BZ22">
            <v>45.483000000000004</v>
          </cell>
          <cell r="CA22">
            <v>40.430000000000007</v>
          </cell>
          <cell r="CB22">
            <v>41.986488007692301</v>
          </cell>
          <cell r="CC22">
            <v>52.241999997465612</v>
          </cell>
        </row>
        <row r="24">
          <cell r="A24" t="str">
            <v>Earnings per Share (U.S.$)</v>
          </cell>
          <cell r="V24" t="e">
            <v>#DIV/0!</v>
          </cell>
          <cell r="W24" t="e">
            <v>#DIV/0!</v>
          </cell>
          <cell r="X24" t="e">
            <v>#DIV/0!</v>
          </cell>
          <cell r="Y24" t="e">
            <v>#DIV/0!</v>
          </cell>
          <cell r="Z24" t="e">
            <v>#DIV/0!</v>
          </cell>
          <cell r="AA24" t="e">
            <v>#DIV/0!</v>
          </cell>
          <cell r="AB24" t="e">
            <v>#DIV/0!</v>
          </cell>
          <cell r="AC24" t="e">
            <v>#DIV/0!</v>
          </cell>
          <cell r="AD24" t="e">
            <v>#DIV/0!</v>
          </cell>
          <cell r="AE24" t="e">
            <v>#DIV/0!</v>
          </cell>
          <cell r="AF24">
            <v>-2.1841708064067045E-2</v>
          </cell>
          <cell r="AG24">
            <v>-5.3919198136017928E-2</v>
          </cell>
          <cell r="AH24">
            <v>-2.2764906727627054E-2</v>
          </cell>
          <cell r="AI24">
            <v>3.2459425717852749E-3</v>
          </cell>
          <cell r="AJ24">
            <v>4.3621943159286129E-2</v>
          </cell>
          <cell r="AK24">
            <v>6.8935888962326483E-2</v>
          </cell>
          <cell r="AL24">
            <v>3.909818609091574E-2</v>
          </cell>
          <cell r="AM24">
            <v>4.7905227529146249E-2</v>
          </cell>
          <cell r="AN24">
            <v>7.529081796864226E-2</v>
          </cell>
          <cell r="AO24">
            <v>6.5128603730921317E-2</v>
          </cell>
          <cell r="AP24">
            <v>3.8495953417559257E-2</v>
          </cell>
          <cell r="AQ24">
            <v>5.3836085513703599E-2</v>
          </cell>
          <cell r="AR24">
            <v>8.6356694600941988E-2</v>
          </cell>
          <cell r="AS24">
            <v>0.10753852665123104</v>
          </cell>
          <cell r="AT24">
            <v>8.5304302976716789E-2</v>
          </cell>
          <cell r="AU24">
            <v>9.3320397591023077E-2</v>
          </cell>
          <cell r="AV24">
            <v>0.13212383062080074</v>
          </cell>
          <cell r="AW24">
            <v>0.13535758791526092</v>
          </cell>
          <cell r="AX24">
            <v>0.10839150291702612</v>
          </cell>
          <cell r="AY24">
            <v>0.12052197686392362</v>
          </cell>
          <cell r="AZ24">
            <v>0.13898231918988432</v>
          </cell>
          <cell r="BA24">
            <v>0.16822497080051499</v>
          </cell>
          <cell r="BB24">
            <v>0.1029835004737133</v>
          </cell>
          <cell r="BC24">
            <v>0.10205781887861384</v>
          </cell>
          <cell r="BD24">
            <v>0.11969810157352392</v>
          </cell>
          <cell r="BE24">
            <v>0.14628152516980217</v>
          </cell>
          <cell r="BF24">
            <v>0.10840263154764038</v>
          </cell>
          <cell r="BG24">
            <v>0.11075707624224074</v>
          </cell>
          <cell r="BH24">
            <v>0.11755348294614305</v>
          </cell>
          <cell r="BI24">
            <v>0.13567990368870891</v>
          </cell>
          <cell r="BJ24">
            <v>0.12774010771929822</v>
          </cell>
          <cell r="BK24">
            <v>0.14316224930171964</v>
          </cell>
          <cell r="BL24">
            <v>0.16680056525653311</v>
          </cell>
          <cell r="BM24">
            <v>0.18257246312563799</v>
          </cell>
          <cell r="BR24" t="e">
            <v>#DIV/0!</v>
          </cell>
          <cell r="BS24" t="e">
            <v>#DIV/0!</v>
          </cell>
          <cell r="BT24" t="e">
            <v>#DIV/0!</v>
          </cell>
          <cell r="BU24">
            <v>-0.11387582245277748</v>
          </cell>
          <cell r="BV24">
            <v>9.2933474252833034E-2</v>
          </cell>
          <cell r="BW24">
            <v>0.2271895685726639</v>
          </cell>
          <cell r="BX24">
            <v>0.28917964828189269</v>
          </cell>
          <cell r="BY24">
            <v>0.44635756535012394</v>
          </cell>
          <cell r="BZ24">
            <v>0.53637398994527896</v>
          </cell>
          <cell r="CA24">
            <v>0.4711881723304287</v>
          </cell>
          <cell r="CB24">
            <v>0.47267760131349007</v>
          </cell>
          <cell r="CC24">
            <v>0.62027538540318894</v>
          </cell>
          <cell r="CP24" t="str">
            <v>Revenue ($M)</v>
          </cell>
          <cell r="CS24">
            <v>79.814999999999998</v>
          </cell>
          <cell r="CT24">
            <v>123.46599999999999</v>
          </cell>
          <cell r="CU24">
            <v>155.36600000000001</v>
          </cell>
          <cell r="CV24">
            <v>211.791</v>
          </cell>
          <cell r="CW24">
            <v>252.114</v>
          </cell>
          <cell r="CX24">
            <v>324.69600000000003</v>
          </cell>
          <cell r="CZ24">
            <v>0.32397103534853411</v>
          </cell>
        </row>
        <row r="25">
          <cell r="A25" t="str">
            <v>Shares O/S</v>
          </cell>
          <cell r="AF25">
            <v>136.482</v>
          </cell>
          <cell r="AG25">
            <v>136.482</v>
          </cell>
          <cell r="AH25">
            <v>136.482</v>
          </cell>
          <cell r="AI25">
            <v>136.16999999999999</v>
          </cell>
          <cell r="AJ25">
            <v>136.16999999999999</v>
          </cell>
          <cell r="AK25">
            <v>136.16999999999999</v>
          </cell>
          <cell r="AL25">
            <v>136.16999999999999</v>
          </cell>
          <cell r="AM25">
            <v>132.94999999999999</v>
          </cell>
          <cell r="AN25">
            <v>130.494</v>
          </cell>
          <cell r="AO25">
            <v>141.52000000000001</v>
          </cell>
          <cell r="AP25">
            <v>149.756</v>
          </cell>
          <cell r="AQ25">
            <v>151.274</v>
          </cell>
          <cell r="AR25">
            <v>155.84200000000001</v>
          </cell>
          <cell r="AS25">
            <v>160.66800000000001</v>
          </cell>
          <cell r="AT25">
            <v>162.864</v>
          </cell>
          <cell r="AU25">
            <v>163.887</v>
          </cell>
          <cell r="AV25">
            <v>163.869</v>
          </cell>
          <cell r="AW25">
            <v>164.505</v>
          </cell>
          <cell r="AX25">
            <v>165.751</v>
          </cell>
          <cell r="AY25">
            <v>166.06100000000001</v>
          </cell>
          <cell r="AZ25">
            <v>166.791</v>
          </cell>
          <cell r="BA25">
            <v>166.95500000000001</v>
          </cell>
          <cell r="BB25">
            <v>167.82300000000001</v>
          </cell>
          <cell r="BC25">
            <v>168.042</v>
          </cell>
          <cell r="BD25">
            <v>168.666</v>
          </cell>
          <cell r="BE25">
            <v>168.87299999999999</v>
          </cell>
          <cell r="BF25">
            <v>168.114</v>
          </cell>
          <cell r="BG25">
            <v>168.345</v>
          </cell>
          <cell r="BH25">
            <v>169.727</v>
          </cell>
          <cell r="BI25">
            <v>171</v>
          </cell>
          <cell r="BJ25">
            <v>171</v>
          </cell>
          <cell r="BK25">
            <v>171</v>
          </cell>
          <cell r="BL25">
            <v>171</v>
          </cell>
          <cell r="BM25">
            <v>171</v>
          </cell>
          <cell r="BR25" t="e">
            <v>#DIV/0!</v>
          </cell>
          <cell r="BS25" t="e">
            <v>#DIV/0!</v>
          </cell>
          <cell r="BT25" t="e">
            <v>#DIV/0!</v>
          </cell>
          <cell r="BU25">
            <v>136.482</v>
          </cell>
          <cell r="BV25">
            <v>136.24799999999999</v>
          </cell>
          <cell r="BW25">
            <v>135.2835</v>
          </cell>
          <cell r="BX25">
            <v>154.38499999999999</v>
          </cell>
          <cell r="BY25">
            <v>163.78125</v>
          </cell>
          <cell r="BZ25">
            <v>166.3895</v>
          </cell>
          <cell r="CA25">
            <v>168.351</v>
          </cell>
          <cell r="CB25">
            <v>169.29650000000001</v>
          </cell>
          <cell r="CC25">
            <v>171</v>
          </cell>
          <cell r="CP25" t="str">
            <v>Y/Y Growth in Revenue</v>
          </cell>
          <cell r="CS25" t="str">
            <v>na</v>
          </cell>
          <cell r="CT25">
            <v>0.5469022113637787</v>
          </cell>
          <cell r="CU25">
            <v>0.25837072554387452</v>
          </cell>
          <cell r="CV25">
            <v>0.36317469716669004</v>
          </cell>
          <cell r="CW25">
            <v>0.19039052650962507</v>
          </cell>
          <cell r="CX25">
            <v>0.28789357195554399</v>
          </cell>
        </row>
        <row r="51">
          <cell r="A51" t="str">
            <v>DSO (based on recognized rev.)</v>
          </cell>
          <cell r="V51" t="e">
            <v>#DIV/0!</v>
          </cell>
          <cell r="W51" t="e">
            <v>#DIV/0!</v>
          </cell>
          <cell r="X51" t="e">
            <v>#DIV/0!</v>
          </cell>
          <cell r="Y51" t="e">
            <v>#DIV/0!</v>
          </cell>
          <cell r="Z51" t="e">
            <v>#DIV/0!</v>
          </cell>
          <cell r="AA51" t="e">
            <v>#DIV/0!</v>
          </cell>
          <cell r="AB51" t="e">
            <v>#DIV/0!</v>
          </cell>
          <cell r="AC51" t="e">
            <v>#DIV/0!</v>
          </cell>
          <cell r="AD51">
            <v>69.659547411924507</v>
          </cell>
          <cell r="AE51">
            <v>58.666615134884438</v>
          </cell>
          <cell r="AF51">
            <v>57.922210048520903</v>
          </cell>
          <cell r="AG51">
            <v>56.694635488308116</v>
          </cell>
          <cell r="AH51">
            <v>58.064198933659647</v>
          </cell>
          <cell r="AI51">
            <v>56.49513768626182</v>
          </cell>
          <cell r="AJ51">
            <v>63.792590142242815</v>
          </cell>
          <cell r="AK51">
            <v>70.156604476348491</v>
          </cell>
          <cell r="AL51">
            <v>67.366313614053212</v>
          </cell>
          <cell r="AM51">
            <v>63.882468008802675</v>
          </cell>
          <cell r="AN51">
            <v>60.274201384671443</v>
          </cell>
          <cell r="AO51">
            <v>69.431771577265224</v>
          </cell>
          <cell r="AP51">
            <v>66.170212765957444</v>
          </cell>
          <cell r="AQ51">
            <v>70.515779958339337</v>
          </cell>
          <cell r="AR51">
            <v>63.087170917136426</v>
          </cell>
          <cell r="AS51">
            <v>69.554589258432244</v>
          </cell>
          <cell r="AT51">
            <v>68.828297557523626</v>
          </cell>
          <cell r="AU51">
            <v>63.083777408928107</v>
          </cell>
          <cell r="AV51">
            <v>58.622214969164958</v>
          </cell>
          <cell r="AW51">
            <v>71.131134112741094</v>
          </cell>
          <cell r="AX51">
            <v>65.061877915852861</v>
          </cell>
          <cell r="AY51">
            <v>66.543555465951201</v>
          </cell>
          <cell r="AZ51">
            <v>59.337995714327654</v>
          </cell>
          <cell r="BA51">
            <v>64.088726002566787</v>
          </cell>
          <cell r="BB51">
            <v>67.827345015461646</v>
          </cell>
          <cell r="BC51">
            <v>66.484182109232975</v>
          </cell>
          <cell r="BD51">
            <v>62.716501076283635</v>
          </cell>
          <cell r="BE51">
            <v>66.210262193402883</v>
          </cell>
          <cell r="BF51">
            <v>59.390762892944032</v>
          </cell>
          <cell r="BG51">
            <v>62.491037206998151</v>
          </cell>
          <cell r="BH51">
            <v>54.1737178558868</v>
          </cell>
          <cell r="BI51">
            <v>70</v>
          </cell>
          <cell r="BJ51">
            <v>65</v>
          </cell>
          <cell r="BK51">
            <v>63</v>
          </cell>
          <cell r="BL51">
            <v>65</v>
          </cell>
          <cell r="BM51">
            <v>68</v>
          </cell>
        </row>
        <row r="54">
          <cell r="A54" t="str">
            <v>Deferred Revenues</v>
          </cell>
          <cell r="U54">
            <v>47.52</v>
          </cell>
          <cell r="V54">
            <v>0</v>
          </cell>
          <cell r="W54">
            <v>0</v>
          </cell>
          <cell r="X54">
            <v>0</v>
          </cell>
          <cell r="Y54">
            <v>74.504000000000005</v>
          </cell>
          <cell r="Z54">
            <v>0</v>
          </cell>
          <cell r="AA54">
            <v>0</v>
          </cell>
          <cell r="AB54">
            <v>0</v>
          </cell>
          <cell r="AC54">
            <v>93.376000000000005</v>
          </cell>
          <cell r="AD54">
            <v>101.41900000000001</v>
          </cell>
          <cell r="AE54">
            <v>111.04300000000001</v>
          </cell>
          <cell r="AF54">
            <v>119.429</v>
          </cell>
          <cell r="AG54">
            <v>131.255</v>
          </cell>
          <cell r="AH54">
            <v>141.98400000000001</v>
          </cell>
          <cell r="AI54">
            <v>153.178</v>
          </cell>
          <cell r="AJ54">
            <v>158.107</v>
          </cell>
          <cell r="AK54">
            <v>171.61699999999999</v>
          </cell>
          <cell r="AL54">
            <v>177.61099999999999</v>
          </cell>
          <cell r="AM54">
            <v>185.06899999999999</v>
          </cell>
          <cell r="AN54">
            <v>190.375</v>
          </cell>
          <cell r="AO54">
            <v>201.93</v>
          </cell>
          <cell r="AP54">
            <v>211.53699999999998</v>
          </cell>
          <cell r="AQ54">
            <v>225.52099999999999</v>
          </cell>
          <cell r="AR54">
            <v>235.25</v>
          </cell>
          <cell r="AS54">
            <v>252.631</v>
          </cell>
          <cell r="AT54">
            <v>266.029</v>
          </cell>
          <cell r="AU54">
            <v>273.19899999999996</v>
          </cell>
          <cell r="AV54">
            <v>275.12599999999998</v>
          </cell>
          <cell r="AW54">
            <v>294.83299999999997</v>
          </cell>
          <cell r="AX54">
            <v>314.572</v>
          </cell>
          <cell r="AY54">
            <v>331.36799999999999</v>
          </cell>
          <cell r="AZ54">
            <v>340.07800000000003</v>
          </cell>
          <cell r="BA54">
            <v>363.185</v>
          </cell>
          <cell r="BB54">
            <v>376.41399999999999</v>
          </cell>
          <cell r="BC54">
            <v>389.68200000000002</v>
          </cell>
          <cell r="BD54">
            <v>400.173</v>
          </cell>
          <cell r="BE54">
            <v>432.62799999999999</v>
          </cell>
          <cell r="BF54">
            <v>451.303</v>
          </cell>
          <cell r="BG54">
            <v>480.202</v>
          </cell>
          <cell r="BH54">
            <v>500.012</v>
          </cell>
          <cell r="BI54">
            <v>537.76290599999993</v>
          </cell>
          <cell r="BJ54">
            <v>557.35089967670456</v>
          </cell>
          <cell r="BK54">
            <v>576.99664010323102</v>
          </cell>
          <cell r="BL54">
            <v>592.53051580527267</v>
          </cell>
          <cell r="BM54">
            <v>635.7852434590576</v>
          </cell>
          <cell r="BR54">
            <v>47.52</v>
          </cell>
          <cell r="BS54">
            <v>74.504000000000005</v>
          </cell>
          <cell r="BT54">
            <v>93.376000000000005</v>
          </cell>
          <cell r="BU54">
            <v>131.255</v>
          </cell>
          <cell r="BV54">
            <v>171.61699999999999</v>
          </cell>
          <cell r="BW54">
            <v>201.93</v>
          </cell>
          <cell r="BX54">
            <v>252.631</v>
          </cell>
          <cell r="BY54">
            <v>294.83299999999997</v>
          </cell>
          <cell r="BZ54">
            <v>363.185</v>
          </cell>
          <cell r="CA54">
            <v>432.62799999999999</v>
          </cell>
          <cell r="CB54">
            <v>537.76290599999993</v>
          </cell>
          <cell r="CC54">
            <v>635.7852434590576</v>
          </cell>
        </row>
        <row r="55">
          <cell r="A55" t="str">
            <v>Billings/Bookings</v>
          </cell>
          <cell r="V55">
            <v>-47.52</v>
          </cell>
          <cell r="W55">
            <v>0</v>
          </cell>
          <cell r="X55">
            <v>0</v>
          </cell>
          <cell r="Y55">
            <v>74.504000000000005</v>
          </cell>
          <cell r="Z55">
            <v>-74.504000000000005</v>
          </cell>
          <cell r="AA55">
            <v>0</v>
          </cell>
          <cell r="AB55">
            <v>0</v>
          </cell>
          <cell r="AC55">
            <v>93.376000000000005</v>
          </cell>
          <cell r="AD55">
            <v>42.644000000000005</v>
          </cell>
          <cell r="AE55">
            <v>48.434999999999995</v>
          </cell>
          <cell r="AF55">
            <v>46.719999999999992</v>
          </cell>
          <cell r="AG55">
            <v>55.445999999999998</v>
          </cell>
          <cell r="AH55">
            <v>56.493000000000016</v>
          </cell>
          <cell r="AI55">
            <v>63.740999999999985</v>
          </cell>
          <cell r="AJ55">
            <v>59.342999999999996</v>
          </cell>
          <cell r="AK55">
            <v>72.575999999999993</v>
          </cell>
          <cell r="AL55">
            <v>60.188000000000002</v>
          </cell>
          <cell r="AM55">
            <v>68.802999999999997</v>
          </cell>
          <cell r="AN55">
            <v>71.170000000000016</v>
          </cell>
          <cell r="AO55">
            <v>82.265999999999991</v>
          </cell>
          <cell r="AP55">
            <v>79.401999999999973</v>
          </cell>
          <cell r="AQ55">
            <v>90.315000000000012</v>
          </cell>
          <cell r="AR55">
            <v>94.700000000000017</v>
          </cell>
          <cell r="AS55">
            <v>110.97999999999999</v>
          </cell>
          <cell r="AT55">
            <v>106.664</v>
          </cell>
          <cell r="AU55">
            <v>110.19299999999997</v>
          </cell>
          <cell r="AV55">
            <v>118.35300000000002</v>
          </cell>
          <cell r="AW55">
            <v>140.56799999999998</v>
          </cell>
          <cell r="AX55">
            <v>136.98600000000005</v>
          </cell>
          <cell r="AY55">
            <v>145.75800000000001</v>
          </cell>
          <cell r="AZ55">
            <v>144.97800000000004</v>
          </cell>
          <cell r="BA55">
            <v>174.26899999999995</v>
          </cell>
          <cell r="BB55">
            <v>149.04899999999998</v>
          </cell>
          <cell r="BC55">
            <v>160.69600000000005</v>
          </cell>
          <cell r="BD55">
            <v>165.18999999999997</v>
          </cell>
          <cell r="BE55">
            <v>209.80499999999998</v>
          </cell>
          <cell r="BF55">
            <v>187.624</v>
          </cell>
          <cell r="BG55">
            <v>212.99340000000001</v>
          </cell>
          <cell r="BH55">
            <v>213.15800000000002</v>
          </cell>
          <cell r="BI55">
            <v>247.85705984615382</v>
          </cell>
          <cell r="BJ55">
            <v>210.25599367670461</v>
          </cell>
          <cell r="BK55">
            <v>223.36078003048686</v>
          </cell>
          <cell r="BL55">
            <v>238.86624341841761</v>
          </cell>
          <cell r="BM55">
            <v>277.37878631523972</v>
          </cell>
          <cell r="BR55">
            <v>86.253</v>
          </cell>
          <cell r="BS55">
            <v>106.79900000000001</v>
          </cell>
          <cell r="BT55">
            <v>142.33799999999999</v>
          </cell>
          <cell r="BU55">
            <v>193.245</v>
          </cell>
          <cell r="BV55">
            <v>252.15299999999999</v>
          </cell>
          <cell r="BW55">
            <v>282.42700000000002</v>
          </cell>
          <cell r="BX55">
            <v>375.39700000000005</v>
          </cell>
          <cell r="BY55">
            <v>475.77800000000002</v>
          </cell>
          <cell r="BZ55">
            <v>601.99099999999999</v>
          </cell>
          <cell r="CA55">
            <v>684.74</v>
          </cell>
          <cell r="CB55">
            <v>861.63245984615378</v>
          </cell>
          <cell r="CC55">
            <v>949.8618034408488</v>
          </cell>
        </row>
        <row r="56">
          <cell r="A56" t="str">
            <v>Cash Flow From Operations</v>
          </cell>
          <cell r="V56">
            <v>0</v>
          </cell>
          <cell r="W56">
            <v>0</v>
          </cell>
          <cell r="X56">
            <v>0</v>
          </cell>
          <cell r="Y56">
            <v>0</v>
          </cell>
          <cell r="Z56">
            <v>0</v>
          </cell>
          <cell r="AA56">
            <v>0</v>
          </cell>
          <cell r="AB56">
            <v>0</v>
          </cell>
          <cell r="AC56">
            <v>3.4089999999999989</v>
          </cell>
          <cell r="AD56">
            <v>8.1649999999999991</v>
          </cell>
          <cell r="AE56">
            <v>9.98</v>
          </cell>
          <cell r="AF56">
            <v>6.3739999999999997</v>
          </cell>
          <cell r="AG56">
            <v>3.15</v>
          </cell>
          <cell r="AH56">
            <v>9.7700000000000049</v>
          </cell>
          <cell r="AI56">
            <v>6.0729999999999951</v>
          </cell>
          <cell r="AJ56">
            <v>3.2630000000000003</v>
          </cell>
          <cell r="AK56">
            <v>18.579999999999995</v>
          </cell>
          <cell r="AL56">
            <v>18.137</v>
          </cell>
          <cell r="AM56">
            <v>11.756000000000006</v>
          </cell>
          <cell r="AN56">
            <v>15.863</v>
          </cell>
          <cell r="AO56">
            <v>16.214000000000002</v>
          </cell>
          <cell r="AP56">
            <v>21.815999999999999</v>
          </cell>
          <cell r="AQ56">
            <v>17.95</v>
          </cell>
          <cell r="AR56">
            <v>32.193000000000005</v>
          </cell>
          <cell r="AS56">
            <v>31.423999999999999</v>
          </cell>
          <cell r="AT56">
            <v>40.176000000000002</v>
          </cell>
          <cell r="AU56">
            <v>34.067999999999998</v>
          </cell>
          <cell r="AV56">
            <v>36.038999999999994</v>
          </cell>
          <cell r="AW56">
            <v>22.559000000000008</v>
          </cell>
          <cell r="AX56">
            <v>48.518000000000001</v>
          </cell>
          <cell r="AY56">
            <v>44.284999999999997</v>
          </cell>
          <cell r="AZ56">
            <v>40.770000000000003</v>
          </cell>
          <cell r="BA56">
            <v>50.293000000000006</v>
          </cell>
          <cell r="BB56">
            <v>38.110999999999997</v>
          </cell>
          <cell r="BC56">
            <v>37.221000000000004</v>
          </cell>
          <cell r="BD56">
            <v>25.383999999999993</v>
          </cell>
          <cell r="BE56">
            <v>46.667999999999999</v>
          </cell>
          <cell r="BF56">
            <v>60.902000000000001</v>
          </cell>
          <cell r="BG56">
            <v>43.798000000000002</v>
          </cell>
          <cell r="BH56">
            <v>56.517999999999994</v>
          </cell>
          <cell r="BI56">
            <v>46.245096541918457</v>
          </cell>
          <cell r="BJ56">
            <v>75.813965569560906</v>
          </cell>
          <cell r="BK56">
            <v>48.518055169161507</v>
          </cell>
          <cell r="BL56">
            <v>28.730479249015588</v>
          </cell>
          <cell r="BM56">
            <v>93.42189901430325</v>
          </cell>
          <cell r="BR56">
            <v>0</v>
          </cell>
          <cell r="BS56">
            <v>0</v>
          </cell>
          <cell r="BT56">
            <v>3.4089999999999989</v>
          </cell>
          <cell r="BU56">
            <v>27.668999999999997</v>
          </cell>
          <cell r="BV56">
            <v>37.685999999999993</v>
          </cell>
          <cell r="BW56">
            <v>61.970000000000013</v>
          </cell>
          <cell r="BX56">
            <v>103.38300000000001</v>
          </cell>
          <cell r="BY56">
            <v>132.84199999999998</v>
          </cell>
          <cell r="BZ56">
            <v>183.86600000000001</v>
          </cell>
          <cell r="CA56">
            <v>147.38399999999999</v>
          </cell>
          <cell r="CB56">
            <v>207.46309654191845</v>
          </cell>
          <cell r="CC56">
            <v>246.48439900204124</v>
          </cell>
        </row>
        <row r="57">
          <cell r="A57" t="str">
            <v>Cash Flow From Ops/Share</v>
          </cell>
          <cell r="V57" t="e">
            <v>#DIV/0!</v>
          </cell>
          <cell r="W57" t="e">
            <v>#DIV/0!</v>
          </cell>
          <cell r="X57" t="e">
            <v>#DIV/0!</v>
          </cell>
          <cell r="Y57" t="e">
            <v>#DIV/0!</v>
          </cell>
          <cell r="Z57" t="e">
            <v>#DIV/0!</v>
          </cell>
          <cell r="AA57" t="e">
            <v>#DIV/0!</v>
          </cell>
          <cell r="AB57" t="e">
            <v>#DIV/0!</v>
          </cell>
          <cell r="AC57" t="e">
            <v>#DIV/0!</v>
          </cell>
          <cell r="AD57" t="e">
            <v>#DIV/0!</v>
          </cell>
          <cell r="AE57" t="e">
            <v>#DIV/0!</v>
          </cell>
          <cell r="AF57">
            <v>4.6702129218505001E-2</v>
          </cell>
          <cell r="AG57">
            <v>2.3079966589000748E-2</v>
          </cell>
          <cell r="AH57">
            <v>7.1584531293503936E-2</v>
          </cell>
          <cell r="AI57">
            <v>4.4598663435411585E-2</v>
          </cell>
          <cell r="AJ57">
            <v>2.3962693691708899E-2</v>
          </cell>
          <cell r="AK57">
            <v>0.13644708819857529</v>
          </cell>
          <cell r="AL57">
            <v>0.13319380186531543</v>
          </cell>
          <cell r="AM57">
            <v>8.842421963144044E-2</v>
          </cell>
          <cell r="AN57">
            <v>0.12156114457369688</v>
          </cell>
          <cell r="AO57">
            <v>0.11457037874505371</v>
          </cell>
          <cell r="AP57">
            <v>0.14567696786773152</v>
          </cell>
          <cell r="AQ57">
            <v>0.11865885743749752</v>
          </cell>
          <cell r="AR57">
            <v>0.20657460761540536</v>
          </cell>
          <cell r="AS57">
            <v>0.19558343914158388</v>
          </cell>
          <cell r="AT57">
            <v>0.24668435013262599</v>
          </cell>
          <cell r="AU57">
            <v>0.20787493821962694</v>
          </cell>
          <cell r="AV57">
            <v>0.21992567233582919</v>
          </cell>
          <cell r="AW57">
            <v>0.13713260995106538</v>
          </cell>
          <cell r="AX57">
            <v>0.29271618270779665</v>
          </cell>
          <cell r="AY57">
            <v>0.26667911189261773</v>
          </cell>
          <cell r="AZ57">
            <v>0.24443764951346297</v>
          </cell>
          <cell r="BA57">
            <v>0.30123686023179902</v>
          </cell>
          <cell r="BB57">
            <v>0.22709044648230572</v>
          </cell>
          <cell r="BC57">
            <v>0.2214981968793516</v>
          </cell>
          <cell r="BD57">
            <v>0.15049861857161487</v>
          </cell>
          <cell r="BE57">
            <v>0.27634968289779893</v>
          </cell>
          <cell r="BF57">
            <v>0.3622660813495604</v>
          </cell>
          <cell r="BG57">
            <v>0.26016810716088984</v>
          </cell>
          <cell r="BH57">
            <v>0.33299357203037816</v>
          </cell>
          <cell r="BI57">
            <v>0.27043916106385063</v>
          </cell>
          <cell r="BJ57">
            <v>0.4433565237986018</v>
          </cell>
          <cell r="BK57">
            <v>0.28373131677872226</v>
          </cell>
          <cell r="BL57">
            <v>0.16801449853225489</v>
          </cell>
          <cell r="BM57">
            <v>0.5463268948204868</v>
          </cell>
          <cell r="BR57">
            <v>0</v>
          </cell>
          <cell r="BS57" t="e">
            <v>#DIV/0!</v>
          </cell>
          <cell r="BT57" t="e">
            <v>#DIV/0!</v>
          </cell>
          <cell r="BU57">
            <v>0.20273003033367035</v>
          </cell>
          <cell r="BV57">
            <v>0.27659297661919968</v>
          </cell>
          <cell r="BW57">
            <v>0.45774954481550645</v>
          </cell>
          <cell r="BX57">
            <v>0.66649387206221822</v>
          </cell>
          <cell r="BY57">
            <v>0.81161757063914741</v>
          </cell>
          <cell r="BZ57">
            <v>1.1050698043456764</v>
          </cell>
          <cell r="CA57">
            <v>0.87543694483107115</v>
          </cell>
          <cell r="CB57">
            <v>1.2258669216046791</v>
          </cell>
          <cell r="CC57">
            <v>1.4414292339300658</v>
          </cell>
        </row>
        <row r="59">
          <cell r="A59" t="str">
            <v>Free Cash Flow</v>
          </cell>
          <cell r="V59">
            <v>0</v>
          </cell>
          <cell r="W59">
            <v>0</v>
          </cell>
          <cell r="X59">
            <v>0</v>
          </cell>
          <cell r="Y59">
            <v>0</v>
          </cell>
          <cell r="Z59">
            <v>0</v>
          </cell>
          <cell r="AA59">
            <v>0</v>
          </cell>
          <cell r="AB59">
            <v>0</v>
          </cell>
          <cell r="AC59">
            <v>2.2219999999999986</v>
          </cell>
          <cell r="AD59">
            <v>8.1649999999999991</v>
          </cell>
          <cell r="AE59">
            <v>9.98</v>
          </cell>
          <cell r="AF59">
            <v>6.3739999999999997</v>
          </cell>
          <cell r="AG59">
            <v>1.1219999999999999</v>
          </cell>
          <cell r="AH59">
            <v>8.6290000000000049</v>
          </cell>
          <cell r="AI59">
            <v>6.0199999999999951</v>
          </cell>
          <cell r="AJ59">
            <v>3.5090000000000003</v>
          </cell>
          <cell r="AK59">
            <v>16.729999999999993</v>
          </cell>
          <cell r="AL59">
            <v>14.809000000000001</v>
          </cell>
          <cell r="AM59">
            <v>12.073000000000006</v>
          </cell>
          <cell r="AN59">
            <v>14.620999999999999</v>
          </cell>
          <cell r="AO59">
            <v>15.878000000000002</v>
          </cell>
          <cell r="AP59">
            <v>20.802</v>
          </cell>
          <cell r="AQ59">
            <v>16.734999999999999</v>
          </cell>
          <cell r="AR59">
            <v>31.522000000000006</v>
          </cell>
          <cell r="AS59">
            <v>30.547999999999998</v>
          </cell>
          <cell r="AT59">
            <v>39.481999999999999</v>
          </cell>
          <cell r="AU59">
            <v>33.311999999999998</v>
          </cell>
          <cell r="AV59">
            <v>34.703999999999994</v>
          </cell>
          <cell r="AW59">
            <v>21.72000000000001</v>
          </cell>
          <cell r="AX59">
            <v>46.893999999999998</v>
          </cell>
          <cell r="AY59">
            <v>42.053999999999995</v>
          </cell>
          <cell r="AZ59">
            <v>24.342000000000002</v>
          </cell>
          <cell r="BA59">
            <v>48.493000000000009</v>
          </cell>
          <cell r="BB59">
            <v>36.576999999999998</v>
          </cell>
          <cell r="BC59">
            <v>35.186000000000007</v>
          </cell>
          <cell r="BD59">
            <v>22.223999999999993</v>
          </cell>
          <cell r="BE59">
            <v>39.519999999999996</v>
          </cell>
          <cell r="BF59">
            <v>49.584000000000003</v>
          </cell>
          <cell r="BG59">
            <v>34.094000000000001</v>
          </cell>
          <cell r="BH59">
            <v>50.737999999999992</v>
          </cell>
          <cell r="BI59">
            <v>39.245096541918457</v>
          </cell>
          <cell r="BJ59">
            <v>68.887965569560905</v>
          </cell>
          <cell r="BK59">
            <v>42.148555169161504</v>
          </cell>
          <cell r="BL59">
            <v>17.126479249015588</v>
          </cell>
          <cell r="BM59">
            <v>85.847899014303252</v>
          </cell>
          <cell r="BR59">
            <v>0</v>
          </cell>
          <cell r="BS59">
            <v>0</v>
          </cell>
          <cell r="BT59">
            <v>2.2219999999999986</v>
          </cell>
          <cell r="BU59">
            <v>25.640999999999998</v>
          </cell>
          <cell r="BV59">
            <v>34.887999999999991</v>
          </cell>
          <cell r="BW59">
            <v>57.381000000000014</v>
          </cell>
          <cell r="BX59">
            <v>99.607000000000014</v>
          </cell>
          <cell r="BY59">
            <v>129.21799999999999</v>
          </cell>
          <cell r="BZ59">
            <v>161.78300000000002</v>
          </cell>
          <cell r="CA59">
            <v>133.50699999999998</v>
          </cell>
          <cell r="CB59">
            <v>173.66109654191845</v>
          </cell>
          <cell r="CC59">
            <v>214.01089900204124</v>
          </cell>
        </row>
        <row r="60">
          <cell r="A60" t="str">
            <v>Free Cash Flow/Share</v>
          </cell>
          <cell r="V60" t="e">
            <v>#DIV/0!</v>
          </cell>
          <cell r="W60" t="e">
            <v>#DIV/0!</v>
          </cell>
          <cell r="X60" t="e">
            <v>#DIV/0!</v>
          </cell>
          <cell r="Y60" t="e">
            <v>#DIV/0!</v>
          </cell>
          <cell r="Z60" t="e">
            <v>#DIV/0!</v>
          </cell>
          <cell r="AA60" t="e">
            <v>#DIV/0!</v>
          </cell>
          <cell r="AB60" t="e">
            <v>#DIV/0!</v>
          </cell>
          <cell r="AC60" t="e">
            <v>#DIV/0!</v>
          </cell>
          <cell r="AD60" t="e">
            <v>#DIV/0!</v>
          </cell>
          <cell r="AE60" t="e">
            <v>#DIV/0!</v>
          </cell>
          <cell r="AF60">
            <v>4.6702129218505001E-2</v>
          </cell>
          <cell r="AG60">
            <v>8.2208642897964555E-3</v>
          </cell>
          <cell r="AH60">
            <v>6.3224454506821445E-2</v>
          </cell>
          <cell r="AI60">
            <v>4.4209444077256341E-2</v>
          </cell>
          <cell r="AJ60">
            <v>2.5769259014467215E-2</v>
          </cell>
          <cell r="AK60">
            <v>0.12286112947051477</v>
          </cell>
          <cell r="AL60">
            <v>0.10875376367775576</v>
          </cell>
          <cell r="AM60">
            <v>9.0808574652124913E-2</v>
          </cell>
          <cell r="AN60">
            <v>0.11204346559995094</v>
          </cell>
          <cell r="AO60">
            <v>0.11219615602035049</v>
          </cell>
          <cell r="AP60">
            <v>0.13890595368466038</v>
          </cell>
          <cell r="AQ60">
            <v>0.11062707405105966</v>
          </cell>
          <cell r="AR60">
            <v>0.20226896472067865</v>
          </cell>
          <cell r="AS60">
            <v>0.19013120223068686</v>
          </cell>
          <cell r="AT60">
            <v>0.24242312604381569</v>
          </cell>
          <cell r="AU60">
            <v>0.20326200369766972</v>
          </cell>
          <cell r="AV60">
            <v>0.21177892096735804</v>
          </cell>
          <cell r="AW60">
            <v>0.13203246101942195</v>
          </cell>
          <cell r="AX60">
            <v>0.28291835343376509</v>
          </cell>
          <cell r="AY60">
            <v>0.25324428974894764</v>
          </cell>
          <cell r="AZ60">
            <v>0.14594312642768498</v>
          </cell>
          <cell r="BA60">
            <v>0.2904555119643018</v>
          </cell>
          <cell r="BB60">
            <v>0.21794986384464582</v>
          </cell>
          <cell r="BC60">
            <v>0.20938812915818669</v>
          </cell>
          <cell r="BD60">
            <v>0.13176336665362309</v>
          </cell>
          <cell r="BE60">
            <v>0.23402201654497759</v>
          </cell>
          <cell r="BF60">
            <v>0.294942717441736</v>
          </cell>
          <cell r="BG60">
            <v>0.2025245775045294</v>
          </cell>
          <cell r="BH60">
            <v>0.29893888420816955</v>
          </cell>
          <cell r="BI60">
            <v>0.22950348854923075</v>
          </cell>
          <cell r="BJ60">
            <v>0.40285359982199359</v>
          </cell>
          <cell r="BK60">
            <v>0.24648277876702634</v>
          </cell>
          <cell r="BL60">
            <v>0.10015484940944788</v>
          </cell>
          <cell r="BM60">
            <v>0.50203449715966819</v>
          </cell>
          <cell r="BR60" t="e">
            <v>#DIV/0!</v>
          </cell>
          <cell r="BS60" t="e">
            <v>#DIV/0!</v>
          </cell>
          <cell r="BT60" t="e">
            <v>#DIV/0!</v>
          </cell>
          <cell r="BU60">
            <v>0.18787092803446606</v>
          </cell>
          <cell r="BV60">
            <v>0.25606247431154949</v>
          </cell>
          <cell r="BW60">
            <v>0.42415372162902359</v>
          </cell>
          <cell r="BX60">
            <v>0.64518573695631065</v>
          </cell>
          <cell r="BY60">
            <v>0.78896699103224566</v>
          </cell>
          <cell r="BZ60">
            <v>0.97231495977811111</v>
          </cell>
          <cell r="CA60">
            <v>0.79302766244334744</v>
          </cell>
          <cell r="CB60">
            <v>1.0257807842567239</v>
          </cell>
          <cell r="CC60">
            <v>1.251525725158136</v>
          </cell>
        </row>
        <row r="79">
          <cell r="A79" t="str">
            <v>S&amp;M</v>
          </cell>
          <cell r="V79" t="e">
            <v>#DIV/0!</v>
          </cell>
          <cell r="W79" t="e">
            <v>#DIV/0!</v>
          </cell>
          <cell r="X79" t="e">
            <v>#DIV/0!</v>
          </cell>
          <cell r="Y79" t="e">
            <v>#DIV/0!</v>
          </cell>
          <cell r="Z79" t="e">
            <v>#DIV/0!</v>
          </cell>
          <cell r="AA79" t="e">
            <v>#DIV/0!</v>
          </cell>
          <cell r="AB79" t="e">
            <v>#DIV/0!</v>
          </cell>
          <cell r="AC79" t="e">
            <v>#DIV/0!</v>
          </cell>
          <cell r="AD79">
            <v>0.42498771711800237</v>
          </cell>
          <cell r="AE79">
            <v>0.43083146530622762</v>
          </cell>
          <cell r="AF79">
            <v>0.43728804716439712</v>
          </cell>
          <cell r="AG79">
            <v>0.45946813388353963</v>
          </cell>
          <cell r="AH79">
            <v>0.45881041866969668</v>
          </cell>
          <cell r="AI79">
            <v>0.42341142215540373</v>
          </cell>
          <cell r="AJ79">
            <v>0.38201565773514179</v>
          </cell>
          <cell r="AK79">
            <v>0.35844648359462294</v>
          </cell>
          <cell r="AL79">
            <v>0.38969258589511757</v>
          </cell>
          <cell r="AM79">
            <v>0.38550819137664033</v>
          </cell>
          <cell r="AN79">
            <v>0.34466476375561761</v>
          </cell>
          <cell r="AO79">
            <v>0.3648795802633254</v>
          </cell>
          <cell r="AP79">
            <v>0.37047066408768536</v>
          </cell>
          <cell r="AQ79">
            <v>0.35215050241710449</v>
          </cell>
          <cell r="AR79">
            <v>0.30563368678725678</v>
          </cell>
          <cell r="AS79">
            <v>0.31465079755125591</v>
          </cell>
          <cell r="AT79">
            <v>0.33043123968005494</v>
          </cell>
          <cell r="AU79">
            <v>0.33211030546576981</v>
          </cell>
          <cell r="AV79">
            <v>0.2939721368079295</v>
          </cell>
          <cell r="AW79">
            <v>0.3057065554645419</v>
          </cell>
          <cell r="AX79">
            <v>0.32915980792685529</v>
          </cell>
          <cell r="AY79">
            <v>0.31624819714334451</v>
          </cell>
          <cell r="AZ79">
            <v>0.29987964892711427</v>
          </cell>
          <cell r="BA79">
            <v>0.30510974980484518</v>
          </cell>
          <cell r="BB79">
            <v>0.3376380503607716</v>
          </cell>
          <cell r="BC79">
            <v>0.34866511110508175</v>
          </cell>
          <cell r="BD79">
            <v>0.33272354701711065</v>
          </cell>
          <cell r="BE79">
            <v>0.31988722864392444</v>
          </cell>
          <cell r="BF79">
            <v>0.36448869185375465</v>
          </cell>
          <cell r="BG79">
            <v>0.37518794705325087</v>
          </cell>
          <cell r="BH79">
            <v>0.37774375737013055</v>
          </cell>
          <cell r="BI79">
            <v>0.37</v>
          </cell>
          <cell r="BJ79">
            <v>0.35299999999999998</v>
          </cell>
          <cell r="BK79">
            <v>0.35199999999999998</v>
          </cell>
          <cell r="BL79">
            <v>0.35099999999999998</v>
          </cell>
          <cell r="BM79">
            <v>0.34946452844040327</v>
          </cell>
          <cell r="BR79">
            <v>0</v>
          </cell>
          <cell r="BS79">
            <v>0</v>
          </cell>
          <cell r="BT79">
            <v>0</v>
          </cell>
          <cell r="BU79">
            <v>0.43916300863766838</v>
          </cell>
          <cell r="BV79">
            <v>0.40230699132635478</v>
          </cell>
          <cell r="BW79">
            <v>0.36995168852185911</v>
          </cell>
          <cell r="BX79">
            <v>0.33310542784635466</v>
          </cell>
          <cell r="BY79">
            <v>0.31414792331678881</v>
          </cell>
          <cell r="BZ79">
            <v>0.31175007823641088</v>
          </cell>
          <cell r="CA79">
            <v>0.33392816802292224</v>
          </cell>
          <cell r="CB79">
            <v>0.37201082210017211</v>
          </cell>
          <cell r="CC79">
            <v>0.35126479191810156</v>
          </cell>
        </row>
        <row r="80">
          <cell r="A80" t="str">
            <v>R&amp;D</v>
          </cell>
          <cell r="V80" t="e">
            <v>#DIV/0!</v>
          </cell>
          <cell r="W80" t="e">
            <v>#DIV/0!</v>
          </cell>
          <cell r="X80" t="e">
            <v>#DIV/0!</v>
          </cell>
          <cell r="Y80" t="e">
            <v>#DIV/0!</v>
          </cell>
          <cell r="Z80" t="e">
            <v>#DIV/0!</v>
          </cell>
          <cell r="AA80" t="e">
            <v>#DIV/0!</v>
          </cell>
          <cell r="AB80" t="e">
            <v>#DIV/0!</v>
          </cell>
          <cell r="AC80" t="e">
            <v>#DIV/0!</v>
          </cell>
          <cell r="AD80">
            <v>0.16560215022687208</v>
          </cell>
          <cell r="AE80">
            <v>0.15601247069129887</v>
          </cell>
          <cell r="AF80">
            <v>0.17316220587468045</v>
          </cell>
          <cell r="AG80">
            <v>0.17684548372306277</v>
          </cell>
          <cell r="AH80">
            <v>0.18831395857005503</v>
          </cell>
          <cell r="AI80">
            <v>0.17475783584219842</v>
          </cell>
          <cell r="AJ80">
            <v>0.17749108685264825</v>
          </cell>
          <cell r="AK80">
            <v>0.14436393187282023</v>
          </cell>
          <cell r="AL80">
            <v>0.17525925379193266</v>
          </cell>
          <cell r="AM80">
            <v>0.16359931534762412</v>
          </cell>
          <cell r="AN80">
            <v>0.15609437629053807</v>
          </cell>
          <cell r="AO80">
            <v>0.14731795618786331</v>
          </cell>
          <cell r="AP80">
            <v>0.1630489290063758</v>
          </cell>
          <cell r="AQ80">
            <v>0.15837602022769254</v>
          </cell>
          <cell r="AR80">
            <v>0.13874145296630613</v>
          </cell>
          <cell r="AS80">
            <v>0.13038600839752565</v>
          </cell>
          <cell r="AT80">
            <v>0.14976518774258571</v>
          </cell>
          <cell r="AU80">
            <v>0.14518117313609583</v>
          </cell>
          <cell r="AV80">
            <v>0.13156854998024495</v>
          </cell>
          <cell r="AW80">
            <v>0.121147433828944</v>
          </cell>
          <cell r="AX80">
            <v>0.15104864090339198</v>
          </cell>
          <cell r="AY80">
            <v>0.14032040446022861</v>
          </cell>
          <cell r="AZ80">
            <v>0.13189450201074354</v>
          </cell>
          <cell r="BA80">
            <v>0.11956047154708196</v>
          </cell>
          <cell r="BB80">
            <v>0.15143572375202477</v>
          </cell>
          <cell r="BC80">
            <v>0.1483232493149198</v>
          </cell>
          <cell r="BD80">
            <v>0.14785486654729507</v>
          </cell>
          <cell r="BE80">
            <v>0.13578235128277419</v>
          </cell>
          <cell r="BF80">
            <v>0.1489976265026724</v>
          </cell>
          <cell r="BG80">
            <v>0.13996623471436392</v>
          </cell>
          <cell r="BH80">
            <v>0.13594658336264145</v>
          </cell>
          <cell r="BI80">
            <v>0.14000000000000001</v>
          </cell>
          <cell r="BJ80">
            <v>0.14959510772651941</v>
          </cell>
          <cell r="BK80">
            <v>0.14153103303541995</v>
          </cell>
          <cell r="BL80">
            <v>0.13871482335435342</v>
          </cell>
          <cell r="BM80">
            <v>0.13470810462756674</v>
          </cell>
          <cell r="BR80">
            <v>0</v>
          </cell>
          <cell r="BS80">
            <v>0</v>
          </cell>
          <cell r="BT80">
            <v>0</v>
          </cell>
          <cell r="BU80">
            <v>0.16822856995739091</v>
          </cell>
          <cell r="BV80">
            <v>0.16991279138395873</v>
          </cell>
          <cell r="BW80">
            <v>0.15957860333023949</v>
          </cell>
          <cell r="BX80">
            <v>0.14617365166186216</v>
          </cell>
          <cell r="BY80">
            <v>0.13581240659077071</v>
          </cell>
          <cell r="BZ80">
            <v>0.1346453313944446</v>
          </cell>
          <cell r="CA80">
            <v>0.14527780892804612</v>
          </cell>
          <cell r="CB80">
            <v>0.1409652430418149</v>
          </cell>
          <cell r="CC80">
            <v>0.14072242824406403</v>
          </cell>
        </row>
        <row r="81">
          <cell r="A81" t="str">
            <v>G&amp;A</v>
          </cell>
          <cell r="V81" t="e">
            <v>#DIV/0!</v>
          </cell>
          <cell r="W81" t="e">
            <v>#DIV/0!</v>
          </cell>
          <cell r="X81" t="e">
            <v>#DIV/0!</v>
          </cell>
          <cell r="Y81" t="e">
            <v>#DIV/0!</v>
          </cell>
          <cell r="Z81" t="e">
            <v>#DIV/0!</v>
          </cell>
          <cell r="AA81" t="e">
            <v>#DIV/0!</v>
          </cell>
          <cell r="AB81" t="e">
            <v>#DIV/0!</v>
          </cell>
          <cell r="AC81" t="e">
            <v>#DIV/0!</v>
          </cell>
          <cell r="AD81">
            <v>0.1181757752666108</v>
          </cell>
          <cell r="AE81">
            <v>0.11105099069851332</v>
          </cell>
          <cell r="AF81">
            <v>0.1032242917514478</v>
          </cell>
          <cell r="AG81">
            <v>0.11934892251260887</v>
          </cell>
          <cell r="AH81">
            <v>8.0849576086006458E-2</v>
          </cell>
          <cell r="AI81">
            <v>7.8577273678801837E-2</v>
          </cell>
          <cell r="AJ81">
            <v>6.6269710001102655E-2</v>
          </cell>
          <cell r="AK81">
            <v>6.6603460535671954E-2</v>
          </cell>
          <cell r="AL81">
            <v>7.9196959072960094E-2</v>
          </cell>
          <cell r="AM81">
            <v>6.703072785068058E-2</v>
          </cell>
          <cell r="AN81">
            <v>6.1201870521073731E-2</v>
          </cell>
          <cell r="AO81">
            <v>5.8944152960642628E-2</v>
          </cell>
          <cell r="AP81">
            <v>6.5377176015473895E-2</v>
          </cell>
          <cell r="AQ81">
            <v>7.0914831457730143E-2</v>
          </cell>
          <cell r="AR81">
            <v>6.4068917630721062E-2</v>
          </cell>
          <cell r="AS81">
            <v>5.1539012168933432E-2</v>
          </cell>
          <cell r="AT81">
            <v>5.6247721570561619E-2</v>
          </cell>
          <cell r="AU81">
            <v>5.3648214476379054E-2</v>
          </cell>
          <cell r="AV81">
            <v>4.3117516705890431E-2</v>
          </cell>
          <cell r="AW81">
            <v>4.2379262127568033E-2</v>
          </cell>
          <cell r="AX81">
            <v>4.0504234649927078E-2</v>
          </cell>
          <cell r="AY81">
            <v>4.0182379305531861E-2</v>
          </cell>
          <cell r="AZ81">
            <v>4.495552881087269E-2</v>
          </cell>
          <cell r="BA81">
            <v>3.5260184437887837E-2</v>
          </cell>
          <cell r="BB81">
            <v>5.2746281843616551E-2</v>
          </cell>
          <cell r="BC81">
            <v>5.267656076186341E-2</v>
          </cell>
          <cell r="BD81">
            <v>5.0129606526221893E-2</v>
          </cell>
          <cell r="BE81">
            <v>3.7970115590639987E-2</v>
          </cell>
          <cell r="BF81">
            <v>3.9295882189299726E-2</v>
          </cell>
          <cell r="BG81">
            <v>2.3764981444302492E-2</v>
          </cell>
          <cell r="BH81">
            <v>4.4510416451165769E-2</v>
          </cell>
          <cell r="BI81">
            <v>4.1000000000000002E-2</v>
          </cell>
          <cell r="BJ81">
            <v>4.4155285627373239E-2</v>
          </cell>
          <cell r="BK81">
            <v>4.2775437772983115E-2</v>
          </cell>
          <cell r="BL81">
            <v>4.275678028753354E-2</v>
          </cell>
          <cell r="BM81">
            <v>4.2000000000000003E-2</v>
          </cell>
          <cell r="BR81">
            <v>0</v>
          </cell>
          <cell r="BS81">
            <v>0</v>
          </cell>
          <cell r="BT81">
            <v>0</v>
          </cell>
          <cell r="BU81">
            <v>0.11303631425150934</v>
          </cell>
          <cell r="BV81">
            <v>7.256682295281669E-2</v>
          </cell>
          <cell r="BW81">
            <v>6.5855129028931356E-2</v>
          </cell>
          <cell r="BX81">
            <v>6.2347549708034584E-2</v>
          </cell>
          <cell r="BY81">
            <v>4.8238371127553178E-2</v>
          </cell>
          <cell r="BZ81">
            <v>4.0077655493695186E-2</v>
          </cell>
          <cell r="CA81">
            <v>4.7812682330646825E-2</v>
          </cell>
          <cell r="CB81">
            <v>3.7322463455624365E-2</v>
          </cell>
          <cell r="CC81">
            <v>4.2866273399576653E-2</v>
          </cell>
        </row>
        <row r="82">
          <cell r="A82" t="str">
            <v>Operating Margin</v>
          </cell>
          <cell r="V82" t="e">
            <v>#DIV/0!</v>
          </cell>
          <cell r="W82" t="e">
            <v>#DIV/0!</v>
          </cell>
          <cell r="X82" t="e">
            <v>#DIV/0!</v>
          </cell>
          <cell r="Y82" t="e">
            <v>#DIV/0!</v>
          </cell>
          <cell r="Z82" t="e">
            <v>#DIV/0!</v>
          </cell>
          <cell r="AA82" t="e">
            <v>#DIV/0!</v>
          </cell>
          <cell r="AB82" t="e">
            <v>#DIV/0!</v>
          </cell>
          <cell r="AC82" t="e">
            <v>#DIV/0!</v>
          </cell>
          <cell r="AD82">
            <v>-2.254270107800356E-2</v>
          </cell>
          <cell r="AE82">
            <v>-3.1511684831619875E-2</v>
          </cell>
          <cell r="AF82">
            <v>-7.7163875410862393E-2</v>
          </cell>
          <cell r="AG82">
            <v>-0.16698762035763406</v>
          </cell>
          <cell r="AH82">
            <v>-5.6835066864784449E-2</v>
          </cell>
          <cell r="AI82">
            <v>8.6969760404970939E-3</v>
          </cell>
          <cell r="AJ82">
            <v>8.5511081706913517E-2</v>
          </cell>
          <cell r="AK82">
            <v>0.13065045880879014</v>
          </cell>
          <cell r="AL82">
            <v>8.8183193711480909E-2</v>
          </cell>
          <cell r="AM82">
            <v>0.11032684000326015</v>
          </cell>
          <cell r="AN82">
            <v>0.17630268431920323</v>
          </cell>
          <cell r="AO82">
            <v>0.15977712095713525</v>
          </cell>
          <cell r="AP82">
            <v>0.12682856938176093</v>
          </cell>
          <cell r="AQ82">
            <v>0.15778648255623529</v>
          </cell>
          <cell r="AR82">
            <v>0.24235327346977206</v>
          </cell>
          <cell r="AS82">
            <v>0.24751332813384747</v>
          </cell>
          <cell r="AT82">
            <v>0.21484785452362065</v>
          </cell>
          <cell r="AU82">
            <v>0.215204371839298</v>
          </cell>
          <cell r="AV82">
            <v>0.26927833988971533</v>
          </cell>
          <cell r="AW82">
            <v>0.2679358932989136</v>
          </cell>
          <cell r="AX82">
            <v>0.22142144361902649</v>
          </cell>
          <cell r="AY82">
            <v>0.22333710705479146</v>
          </cell>
          <cell r="AZ82">
            <v>0.25391140986878791</v>
          </cell>
          <cell r="BA82">
            <v>0.273375583810746</v>
          </cell>
          <cell r="BB82">
            <v>0.17826535120011774</v>
          </cell>
          <cell r="BC82">
            <v>0.16523319857828922</v>
          </cell>
          <cell r="BD82">
            <v>0.19429343434669902</v>
          </cell>
          <cell r="BE82">
            <v>0.21048773611502677</v>
          </cell>
          <cell r="BF82">
            <v>0.15540784497096766</v>
          </cell>
          <cell r="BG82">
            <v>0.15299433334202461</v>
          </cell>
          <cell r="BH82">
            <v>0.15577094151478174</v>
          </cell>
          <cell r="BI82">
            <v>0.16196932319926183</v>
          </cell>
          <cell r="BJ82">
            <v>0.16774878847001071</v>
          </cell>
          <cell r="BK82">
            <v>0.17622864218358988</v>
          </cell>
          <cell r="BL82">
            <v>0.18767314375037933</v>
          </cell>
          <cell r="BM82">
            <v>0.19613043098436869</v>
          </cell>
          <cell r="BR82">
            <v>1</v>
          </cell>
          <cell r="BS82">
            <v>1</v>
          </cell>
          <cell r="BT82">
            <v>1</v>
          </cell>
          <cell r="BU82">
            <v>-7.8813897506532796E-2</v>
          </cell>
          <cell r="BV82">
            <v>4.8283449249495944E-2</v>
          </cell>
          <cell r="BW82">
            <v>0.1366722990393234</v>
          </cell>
          <cell r="BX82">
            <v>0.19912779954172513</v>
          </cell>
          <cell r="BY82">
            <v>0.2443470118272229</v>
          </cell>
          <cell r="BZ82">
            <v>0.24489776796673413</v>
          </cell>
          <cell r="CA82">
            <v>0.18846020702197475</v>
          </cell>
          <cell r="CB82">
            <v>0.15673567077068798</v>
          </cell>
          <cell r="CC82">
            <v>0.18280098201594658</v>
          </cell>
        </row>
        <row r="85">
          <cell r="A85" t="str">
            <v>Tax Rate</v>
          </cell>
          <cell r="V85" t="e">
            <v>#DIV/0!</v>
          </cell>
          <cell r="W85" t="e">
            <v>#DIV/0!</v>
          </cell>
          <cell r="X85" t="e">
            <v>#DIV/0!</v>
          </cell>
          <cell r="Y85" t="e">
            <v>#DIV/0!</v>
          </cell>
          <cell r="Z85" t="e">
            <v>#DIV/0!</v>
          </cell>
          <cell r="AA85" t="e">
            <v>#DIV/0!</v>
          </cell>
          <cell r="AB85" t="e">
            <v>#DIV/0!</v>
          </cell>
          <cell r="AC85" t="e">
            <v>#DIV/0!</v>
          </cell>
          <cell r="AD85">
            <v>-0.12586339217191087</v>
          </cell>
          <cell r="AE85">
            <v>-0.53564290473018028</v>
          </cell>
          <cell r="AF85">
            <v>-0.14433781190019201</v>
          </cell>
          <cell r="AG85">
            <v>-6.3132042762207463E-2</v>
          </cell>
          <cell r="AH85">
            <v>-0.12206572769953071</v>
          </cell>
          <cell r="AI85">
            <v>0.63105175292153548</v>
          </cell>
          <cell r="AJ85">
            <v>2.9887310142087255E-2</v>
          </cell>
          <cell r="AK85">
            <v>6.1112222444488912E-2</v>
          </cell>
          <cell r="AL85">
            <v>0.11073993652914656</v>
          </cell>
          <cell r="AM85">
            <v>9.286426434980781E-2</v>
          </cell>
          <cell r="AN85">
            <v>0.17960921843687369</v>
          </cell>
          <cell r="AO85">
            <v>0.20897699965671154</v>
          </cell>
          <cell r="AP85">
            <v>0.35005636978579463</v>
          </cell>
          <cell r="AQ85">
            <v>0.35003990422984843</v>
          </cell>
          <cell r="AR85">
            <v>0.3500120743781695</v>
          </cell>
          <cell r="AS85">
            <v>0.26635811642817725</v>
          </cell>
          <cell r="AT85">
            <v>0.33000578703703698</v>
          </cell>
          <cell r="AU85">
            <v>0.33000394269943489</v>
          </cell>
          <cell r="AV85">
            <v>0.33000154726907016</v>
          </cell>
          <cell r="AW85">
            <v>0.32999338027321423</v>
          </cell>
          <cell r="AX85">
            <v>0.33397590361445789</v>
          </cell>
          <cell r="AY85">
            <v>0.33459671520712791</v>
          </cell>
          <cell r="AZ85">
            <v>0.34000512484696638</v>
          </cell>
          <cell r="BA85">
            <v>0.33999154016073713</v>
          </cell>
          <cell r="BB85">
            <v>0.33001240502403489</v>
          </cell>
          <cell r="BC85">
            <v>0.3299996093292179</v>
          </cell>
          <cell r="BD85">
            <v>0.33000365048285946</v>
          </cell>
          <cell r="BE85">
            <v>0.35381516649663869</v>
          </cell>
          <cell r="BF85">
            <v>0.32999999999999979</v>
          </cell>
          <cell r="BG85">
            <v>0.36761813026549611</v>
          </cell>
          <cell r="BH85">
            <v>0.35001303101381259</v>
          </cell>
          <cell r="BI85">
            <v>0.33</v>
          </cell>
          <cell r="BJ85">
            <v>0.33</v>
          </cell>
          <cell r="BK85">
            <v>0.33</v>
          </cell>
          <cell r="BL85">
            <v>0.33</v>
          </cell>
          <cell r="BM85">
            <v>0.33</v>
          </cell>
          <cell r="BR85">
            <v>0</v>
          </cell>
          <cell r="BS85">
            <v>0</v>
          </cell>
          <cell r="BT85">
            <v>0</v>
          </cell>
          <cell r="BU85">
            <v>-0.12942373374028074</v>
          </cell>
          <cell r="BV85">
            <v>0.12975945017182136</v>
          </cell>
          <cell r="BW85">
            <v>0.16107107762856215</v>
          </cell>
          <cell r="BX85">
            <v>0.32001644937248691</v>
          </cell>
          <cell r="BY85">
            <v>0.33000036659579146</v>
          </cell>
          <cell r="BZ85">
            <v>0.3375862836784681</v>
          </cell>
          <cell r="CA85">
            <v>0.3376059454720054</v>
          </cell>
          <cell r="CB85">
            <v>0.34412572727756968</v>
          </cell>
          <cell r="CC85">
            <v>0.33000000000000007</v>
          </cell>
        </row>
        <row r="475">
          <cell r="A475" t="str">
            <v>Purchase of PP&amp;E</v>
          </cell>
          <cell r="AC475">
            <v>-1.1870000000000001</v>
          </cell>
          <cell r="AG475">
            <v>-2.028</v>
          </cell>
          <cell r="AH475">
            <v>-1.141</v>
          </cell>
          <cell r="AI475">
            <v>-5.2999999999999936E-2</v>
          </cell>
          <cell r="AJ475">
            <v>0.246</v>
          </cell>
          <cell r="AK475">
            <v>-1.85</v>
          </cell>
          <cell r="AL475">
            <v>-3.3279999999999998</v>
          </cell>
          <cell r="AM475">
            <v>0.31699999999999973</v>
          </cell>
          <cell r="AN475">
            <v>-1.242</v>
          </cell>
          <cell r="AO475">
            <v>-0.33600000000000002</v>
          </cell>
          <cell r="AP475">
            <v>-1.014</v>
          </cell>
          <cell r="AQ475">
            <v>-1.2150000000000001</v>
          </cell>
          <cell r="AR475">
            <v>-0.67100000000000004</v>
          </cell>
          <cell r="AS475">
            <v>-0.876</v>
          </cell>
          <cell r="AT475">
            <v>-0.69399999999999995</v>
          </cell>
          <cell r="AU475">
            <v>-0.75600000000000001</v>
          </cell>
          <cell r="AV475">
            <v>-1.335</v>
          </cell>
          <cell r="AW475">
            <v>-0.83900000000000019</v>
          </cell>
          <cell r="AX475">
            <v>-1.6240000000000001</v>
          </cell>
          <cell r="AY475">
            <v>-2.2309999999999999</v>
          </cell>
          <cell r="AZ475">
            <v>-16.428000000000001</v>
          </cell>
          <cell r="BA475">
            <v>-1.7999999999999976</v>
          </cell>
          <cell r="BB475">
            <v>-1.534</v>
          </cell>
          <cell r="BC475">
            <v>-2.0350000000000001</v>
          </cell>
          <cell r="BD475">
            <v>-3.16</v>
          </cell>
          <cell r="BE475">
            <v>-7.1480000000000006</v>
          </cell>
          <cell r="BF475">
            <v>-11.318</v>
          </cell>
          <cell r="BG475">
            <v>-9.7039999999999988</v>
          </cell>
          <cell r="BH475">
            <v>-5.7799999999999994</v>
          </cell>
          <cell r="BI475">
            <v>-7</v>
          </cell>
          <cell r="BJ475">
            <v>-6.9260000000000002</v>
          </cell>
          <cell r="BK475">
            <v>-6.3694999999999995</v>
          </cell>
          <cell r="BL475">
            <v>-11.603999999999999</v>
          </cell>
          <cell r="BM475">
            <v>-7.5739999999999998</v>
          </cell>
          <cell r="BR475">
            <v>0</v>
          </cell>
          <cell r="BS475">
            <v>0</v>
          </cell>
          <cell r="BT475">
            <v>-1.1870000000000001</v>
          </cell>
          <cell r="BU475">
            <v>-2.028</v>
          </cell>
          <cell r="BV475">
            <v>-2.798</v>
          </cell>
          <cell r="BW475">
            <v>-4.5890000000000004</v>
          </cell>
          <cell r="BX475">
            <v>-3.7760000000000002</v>
          </cell>
          <cell r="BY475">
            <v>-3.6240000000000006</v>
          </cell>
          <cell r="BZ475">
            <v>-22.082999999999998</v>
          </cell>
          <cell r="CA475">
            <v>-13.877000000000001</v>
          </cell>
          <cell r="CB475">
            <v>-33.802</v>
          </cell>
          <cell r="CC475">
            <v>-32.473500000000001</v>
          </cell>
        </row>
      </sheetData>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Exhibit list"/>
      <sheetName val="initiation charts"/>
      <sheetName val="QUICK SUMMARY"/>
      <sheetName val="guidance"/>
      <sheetName val="Job posting"/>
      <sheetName val="Exhibits"/>
      <sheetName val="SENSITIVITY"/>
      <sheetName val="peak and trough"/>
      <sheetName val="Recent Acquisition"/>
      <sheetName val="Disclosure"/>
      <sheetName val="COMP"/>
      <sheetName val="CF COMP"/>
      <sheetName val="LINKS&amp;INPUTS"/>
      <sheetName val="Upside_Downside"/>
      <sheetName val="Earnings Cheat Sheet"/>
      <sheetName val="RBC QLIK Model"/>
      <sheetName val="Sheet1"/>
    </sheetNames>
    <sheetDataSet>
      <sheetData sheetId="0"/>
      <sheetData sheetId="1" refreshError="1">
        <row r="9">
          <cell r="A9" t="str">
            <v>Total Revenue</v>
          </cell>
        </row>
        <row r="22">
          <cell r="A22" t="str">
            <v>Foreign exchange gain (loss) and other income (expense), net</v>
          </cell>
          <cell r="AD22">
            <v>0.97799999999999998</v>
          </cell>
          <cell r="AE22">
            <v>-0.50800000000000001</v>
          </cell>
          <cell r="AF22">
            <v>-2.4220000000000002</v>
          </cell>
          <cell r="AG22">
            <v>0.318</v>
          </cell>
          <cell r="AH22">
            <v>-1.3620000000000001</v>
          </cell>
          <cell r="AI22">
            <v>0.66400000000000003</v>
          </cell>
          <cell r="AJ22">
            <v>-3.27</v>
          </cell>
          <cell r="AK22">
            <v>-0.437</v>
          </cell>
          <cell r="AL22">
            <v>-1.474</v>
          </cell>
          <cell r="AM22">
            <v>0.36099999999999999</v>
          </cell>
          <cell r="AN22">
            <v>0.76100000000000001</v>
          </cell>
          <cell r="AO22">
            <v>-0.70599999999999996</v>
          </cell>
          <cell r="AP22">
            <v>-1.4279999999999999</v>
          </cell>
          <cell r="AQ22">
            <v>0.05</v>
          </cell>
          <cell r="AR22">
            <v>-1.7010000000000001</v>
          </cell>
          <cell r="AS22">
            <v>-1.7010000000000001</v>
          </cell>
          <cell r="AT22">
            <v>-1.7010000000000001</v>
          </cell>
          <cell r="AU22">
            <v>-1.7010000000000001</v>
          </cell>
          <cell r="AV22">
            <v>-1.7010000000000001</v>
          </cell>
          <cell r="AW22">
            <v>-1.7010000000000001</v>
          </cell>
          <cell r="AX22">
            <v>-1.7010000000000001</v>
          </cell>
          <cell r="AY22">
            <v>-1.7010000000000001</v>
          </cell>
          <cell r="AZ22">
            <v>-1.7010000000000001</v>
          </cell>
          <cell r="BA22">
            <v>-1.7010000000000001</v>
          </cell>
          <cell r="BX22">
            <v>0</v>
          </cell>
          <cell r="BY22">
            <v>-1.6340000000000001</v>
          </cell>
          <cell r="BZ22">
            <v>-4.4050000000000002</v>
          </cell>
          <cell r="CA22">
            <v>-1.0579999999999998</v>
          </cell>
          <cell r="CB22">
            <v>-4.7799999999999994</v>
          </cell>
          <cell r="CC22">
            <v>-6.8040000000000003</v>
          </cell>
          <cell r="CD22">
            <v>-6.8040000000000003</v>
          </cell>
          <cell r="CW22" t="str">
            <v xml:space="preserve">      % of Revenue</v>
          </cell>
          <cell r="CZ22">
            <v>0.63462528358721138</v>
          </cell>
          <cell r="DA22">
            <v>0.64111053721288536</v>
          </cell>
          <cell r="DB22">
            <v>0.63756046896784024</v>
          </cell>
          <cell r="DC22">
            <v>0.60917111240473898</v>
          </cell>
          <cell r="DD22">
            <v>0.59105499736604927</v>
          </cell>
          <cell r="DE22">
            <v>0.58592558041127119</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PL (before FC-matching adjs)"/>
      <sheetName val="QPL (before 2000-04-24 2x1 spl)"/>
      <sheetName val="QPL (before FY2000Q4 results)"/>
      <sheetName val="QPL (bef. 1999-12-20 2x1 split)"/>
      <sheetName val="QPL (before 1999-11-16)"/>
      <sheetName val="Earnings Chart"/>
      <sheetName val="outstanding shares"/>
      <sheetName val="QPL - for printout"/>
      <sheetName val="pre 8-26"/>
      <sheetName val="#REF"/>
    </sheetNames>
    <sheetDataSet>
      <sheetData sheetId="0" refreshError="1">
        <row r="50">
          <cell r="I50">
            <v>7.136053465748588E-3</v>
          </cell>
        </row>
        <row r="75">
          <cell r="AC75">
            <v>0.3175529411764707</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Ex (2)"/>
      <sheetName val="ModelEx"/>
      <sheetName val="MODEL"/>
      <sheetName val="Upside_Downside"/>
      <sheetName val="QUICK SUMMARY"/>
      <sheetName val="BMUpload"/>
      <sheetName val="Other Charts"/>
      <sheetName val="Sheet1"/>
    </sheetNames>
    <sheetDataSet>
      <sheetData sheetId="0"/>
      <sheetData sheetId="1"/>
      <sheetData sheetId="2"/>
      <sheetData sheetId="3">
        <row r="9">
          <cell r="A9" t="str">
            <v>MKTO_QTR</v>
          </cell>
          <cell r="B9" t="str">
            <v>Period Ending</v>
          </cell>
          <cell r="C9">
            <v>0</v>
          </cell>
          <cell r="D9">
            <v>37164</v>
          </cell>
          <cell r="E9">
            <v>37164</v>
          </cell>
          <cell r="F9">
            <v>37256</v>
          </cell>
          <cell r="G9">
            <v>37346</v>
          </cell>
          <cell r="H9">
            <v>37437</v>
          </cell>
          <cell r="I9">
            <v>37529</v>
          </cell>
          <cell r="J9">
            <v>37621</v>
          </cell>
          <cell r="K9">
            <v>37711</v>
          </cell>
          <cell r="L9">
            <v>37802</v>
          </cell>
          <cell r="M9">
            <v>37894</v>
          </cell>
          <cell r="N9">
            <v>37986</v>
          </cell>
          <cell r="O9">
            <v>38077</v>
          </cell>
          <cell r="P9">
            <v>38168</v>
          </cell>
          <cell r="Q9">
            <v>38260</v>
          </cell>
          <cell r="R9">
            <v>38352</v>
          </cell>
          <cell r="S9">
            <v>38442</v>
          </cell>
          <cell r="T9">
            <v>38533</v>
          </cell>
          <cell r="U9">
            <v>38625</v>
          </cell>
          <cell r="V9">
            <v>38717</v>
          </cell>
          <cell r="W9">
            <v>38807</v>
          </cell>
          <cell r="X9">
            <v>38898</v>
          </cell>
          <cell r="Y9">
            <v>38990</v>
          </cell>
          <cell r="Z9">
            <v>39082</v>
          </cell>
          <cell r="AA9">
            <v>39172</v>
          </cell>
          <cell r="AB9">
            <v>39263</v>
          </cell>
          <cell r="AC9">
            <v>39355</v>
          </cell>
          <cell r="AD9">
            <v>39447</v>
          </cell>
          <cell r="AE9">
            <v>39538</v>
          </cell>
          <cell r="AF9">
            <v>39629</v>
          </cell>
          <cell r="AG9">
            <v>39721</v>
          </cell>
          <cell r="AH9">
            <v>39813</v>
          </cell>
          <cell r="AI9">
            <v>39903</v>
          </cell>
          <cell r="AJ9">
            <v>39994</v>
          </cell>
          <cell r="AK9">
            <v>40086</v>
          </cell>
          <cell r="AL9">
            <v>40178</v>
          </cell>
          <cell r="AM9">
            <v>40268</v>
          </cell>
          <cell r="AN9">
            <v>40359</v>
          </cell>
          <cell r="AO9">
            <v>40451</v>
          </cell>
          <cell r="AP9">
            <v>40543</v>
          </cell>
          <cell r="AQ9">
            <v>40633</v>
          </cell>
          <cell r="AR9">
            <v>40724</v>
          </cell>
          <cell r="AS9">
            <v>40816</v>
          </cell>
          <cell r="AT9">
            <v>40908</v>
          </cell>
          <cell r="AU9">
            <v>40999</v>
          </cell>
          <cell r="AV9">
            <v>41090</v>
          </cell>
          <cell r="AW9">
            <v>41182</v>
          </cell>
          <cell r="AX9">
            <v>41274</v>
          </cell>
          <cell r="AY9">
            <v>41364</v>
          </cell>
          <cell r="AZ9">
            <v>41455</v>
          </cell>
          <cell r="BA9">
            <v>41547</v>
          </cell>
          <cell r="BB9">
            <v>41639</v>
          </cell>
          <cell r="BC9">
            <v>41729</v>
          </cell>
          <cell r="BD9">
            <v>41820</v>
          </cell>
          <cell r="BE9">
            <v>41912</v>
          </cell>
          <cell r="BF9">
            <v>42004</v>
          </cell>
          <cell r="BG9">
            <v>42094</v>
          </cell>
          <cell r="BH9">
            <v>42185</v>
          </cell>
          <cell r="BI9">
            <v>42277</v>
          </cell>
          <cell r="BJ9">
            <v>42369</v>
          </cell>
          <cell r="BK9">
            <v>42460</v>
          </cell>
          <cell r="BL9">
            <v>42551</v>
          </cell>
          <cell r="BM9">
            <v>42643</v>
          </cell>
          <cell r="BN9">
            <v>42735</v>
          </cell>
          <cell r="BO9">
            <v>42825</v>
          </cell>
          <cell r="BP9">
            <v>42916</v>
          </cell>
          <cell r="BQ9">
            <v>43008</v>
          </cell>
          <cell r="BR9">
            <v>43100</v>
          </cell>
          <cell r="BS9">
            <v>43190</v>
          </cell>
          <cell r="BT9">
            <v>43281</v>
          </cell>
          <cell r="BU9">
            <v>43373</v>
          </cell>
          <cell r="BV9">
            <v>43465</v>
          </cell>
          <cell r="BW9">
            <v>43555</v>
          </cell>
          <cell r="BX9">
            <v>43646</v>
          </cell>
          <cell r="BY9">
            <v>43738</v>
          </cell>
          <cell r="BZ9">
            <v>43830</v>
          </cell>
          <cell r="CA9">
            <v>0</v>
          </cell>
          <cell r="CB9">
            <v>37256</v>
          </cell>
          <cell r="CC9">
            <v>37621</v>
          </cell>
          <cell r="CD9">
            <v>37986</v>
          </cell>
          <cell r="CE9">
            <v>38352</v>
          </cell>
          <cell r="CF9">
            <v>38717</v>
          </cell>
          <cell r="CG9">
            <v>39082</v>
          </cell>
          <cell r="CH9">
            <v>39447</v>
          </cell>
          <cell r="CI9">
            <v>39813</v>
          </cell>
          <cell r="CJ9">
            <v>40178</v>
          </cell>
          <cell r="CK9">
            <v>40543</v>
          </cell>
          <cell r="CL9">
            <v>40908</v>
          </cell>
          <cell r="CM9">
            <v>41274</v>
          </cell>
          <cell r="CN9">
            <v>41639</v>
          </cell>
          <cell r="CO9">
            <v>42004</v>
          </cell>
          <cell r="CP9">
            <v>42369</v>
          </cell>
          <cell r="CQ9">
            <v>42735</v>
          </cell>
          <cell r="CR9">
            <v>43100</v>
          </cell>
          <cell r="CS9">
            <v>43465</v>
          </cell>
          <cell r="CT9">
            <v>43830</v>
          </cell>
          <cell r="CU9">
            <v>0</v>
          </cell>
          <cell r="CV9">
            <v>37621</v>
          </cell>
          <cell r="CW9">
            <v>37986</v>
          </cell>
          <cell r="CX9">
            <v>38352</v>
          </cell>
          <cell r="CY9">
            <v>38717</v>
          </cell>
          <cell r="CZ9">
            <v>39082</v>
          </cell>
          <cell r="DA9">
            <v>39447</v>
          </cell>
          <cell r="DB9">
            <v>39813</v>
          </cell>
          <cell r="DC9">
            <v>40178</v>
          </cell>
          <cell r="DD9">
            <v>40543</v>
          </cell>
          <cell r="DE9">
            <v>40908</v>
          </cell>
          <cell r="DF9">
            <v>41274</v>
          </cell>
          <cell r="DG9">
            <v>41639</v>
          </cell>
          <cell r="DH9">
            <v>42004</v>
          </cell>
          <cell r="DI9">
            <v>42369</v>
          </cell>
          <cell r="DJ9">
            <v>42735</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row>
        <row r="22">
          <cell r="A22" t="str">
            <v>MKTO_REV</v>
          </cell>
          <cell r="B22" t="str">
            <v>Total Revenue</v>
          </cell>
          <cell r="C22">
            <v>1</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6.0990000000000002</v>
          </cell>
          <cell r="AR22">
            <v>7.4329999999999998</v>
          </cell>
          <cell r="AS22">
            <v>8.7140000000000004</v>
          </cell>
          <cell r="AT22">
            <v>10.146000000000001</v>
          </cell>
          <cell r="AU22">
            <v>94.706000000000003</v>
          </cell>
          <cell r="AV22">
            <v>113.65799999999999</v>
          </cell>
          <cell r="AW22">
            <v>123.82400000000001</v>
          </cell>
          <cell r="AX22">
            <v>120.822</v>
          </cell>
          <cell r="AY22">
            <v>116.21199999999999</v>
          </cell>
          <cell r="AZ22">
            <v>125.74499999999999</v>
          </cell>
          <cell r="BA22">
            <v>127.973</v>
          </cell>
          <cell r="BB22">
            <v>134.94699999999997</v>
          </cell>
          <cell r="BC22">
            <v>127.622</v>
          </cell>
          <cell r="BD22">
            <v>139.38800000000001</v>
          </cell>
          <cell r="BE22">
            <v>146.19799999999998</v>
          </cell>
          <cell r="BF22">
            <v>157.45499999999998</v>
          </cell>
          <cell r="BG22">
            <v>150.51499999999999</v>
          </cell>
          <cell r="BH22">
            <v>158.74299999999999</v>
          </cell>
          <cell r="BI22">
            <v>159.93699999999998</v>
          </cell>
          <cell r="BJ22">
            <v>178.11600000000001</v>
          </cell>
          <cell r="BK22">
            <v>171.042</v>
          </cell>
          <cell r="BL22">
            <v>182.04399999999998</v>
          </cell>
          <cell r="BM22">
            <v>183.06299999999999</v>
          </cell>
          <cell r="BN22">
            <v>198.30500000000001</v>
          </cell>
          <cell r="BO22">
            <v>183.62100000000001</v>
          </cell>
          <cell r="BP22">
            <v>192.54300000000001</v>
          </cell>
          <cell r="BQ22">
            <v>195.90699999999998</v>
          </cell>
          <cell r="BR22">
            <v>213.54313000000002</v>
          </cell>
          <cell r="BS22">
            <v>201.51512</v>
          </cell>
          <cell r="BT22">
            <v>210.82240000000002</v>
          </cell>
          <cell r="BU22">
            <v>214.77249999999998</v>
          </cell>
          <cell r="BV22">
            <v>232.93378365000001</v>
          </cell>
          <cell r="BW22">
            <v>223.25700019999999</v>
          </cell>
          <cell r="BX22">
            <v>233.909291</v>
          </cell>
          <cell r="BY22">
            <v>238.183459</v>
          </cell>
          <cell r="BZ22">
            <v>259.50989633399996</v>
          </cell>
          <cell r="CA22">
            <v>0</v>
          </cell>
          <cell r="CB22">
            <v>0</v>
          </cell>
          <cell r="CC22">
            <v>0</v>
          </cell>
          <cell r="CD22">
            <v>0</v>
          </cell>
          <cell r="CE22">
            <v>0</v>
          </cell>
          <cell r="CF22">
            <v>0</v>
          </cell>
          <cell r="CG22">
            <v>0</v>
          </cell>
          <cell r="CH22">
            <v>0</v>
          </cell>
          <cell r="CI22">
            <v>0</v>
          </cell>
          <cell r="CJ22">
            <v>0</v>
          </cell>
          <cell r="CK22">
            <v>0</v>
          </cell>
          <cell r="CL22">
            <v>0</v>
          </cell>
          <cell r="CM22">
            <v>453.01</v>
          </cell>
          <cell r="CN22">
            <v>504.87699999999995</v>
          </cell>
          <cell r="CO22">
            <v>570.66300000000001</v>
          </cell>
          <cell r="CP22">
            <v>647.31099999999992</v>
          </cell>
          <cell r="CQ22">
            <v>734.45399999999995</v>
          </cell>
          <cell r="CR22">
            <v>785.61412999999993</v>
          </cell>
          <cell r="CS22">
            <v>860.04380365000009</v>
          </cell>
          <cell r="CT22">
            <v>954.85964653399992</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row>
        <row r="35">
          <cell r="A35" t="str">
            <v>MKTO_ADJ_SM</v>
          </cell>
          <cell r="B35" t="str">
            <v>Sales and marketing</v>
          </cell>
          <cell r="C35">
            <v>1</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3.9140000000000001</v>
          </cell>
          <cell r="AR35">
            <v>5.1740000000000004</v>
          </cell>
          <cell r="AS35">
            <v>6.1680000000000001</v>
          </cell>
          <cell r="AT35">
            <v>7.3230000000000004</v>
          </cell>
          <cell r="AU35">
            <v>19.959999999999997</v>
          </cell>
          <cell r="AV35">
            <v>23.619999999999997</v>
          </cell>
          <cell r="AW35">
            <v>25.565000000000001</v>
          </cell>
          <cell r="AX35">
            <v>23.544999999999998</v>
          </cell>
          <cell r="AY35">
            <v>23.693999999999999</v>
          </cell>
          <cell r="AZ35">
            <v>23.877999999999997</v>
          </cell>
          <cell r="BA35">
            <v>23.320999999999998</v>
          </cell>
          <cell r="BB35">
            <v>24.37</v>
          </cell>
          <cell r="BC35">
            <v>24.645</v>
          </cell>
          <cell r="BD35">
            <v>25.844999999999999</v>
          </cell>
          <cell r="BE35">
            <v>26.535999999999998</v>
          </cell>
          <cell r="BF35">
            <v>28.187000000000001</v>
          </cell>
          <cell r="BG35">
            <v>27.861000000000001</v>
          </cell>
          <cell r="BH35">
            <v>28.919</v>
          </cell>
          <cell r="BI35">
            <v>30.370999999999999</v>
          </cell>
          <cell r="BJ35">
            <v>33.515999999999998</v>
          </cell>
          <cell r="BK35">
            <v>34.712999999999994</v>
          </cell>
          <cell r="BL35">
            <v>38.387</v>
          </cell>
          <cell r="BM35">
            <v>39.634999999999998</v>
          </cell>
          <cell r="BN35">
            <v>39.174999999999997</v>
          </cell>
          <cell r="BO35">
            <v>40.801000000000002</v>
          </cell>
          <cell r="BP35">
            <v>41.18</v>
          </cell>
          <cell r="BQ35">
            <v>42.120004999999999</v>
          </cell>
          <cell r="BR35">
            <v>42.70862600000001</v>
          </cell>
          <cell r="BS35">
            <v>43.325750800000002</v>
          </cell>
          <cell r="BT35">
            <v>44.272704000000004</v>
          </cell>
          <cell r="BU35">
            <v>45.102224999999997</v>
          </cell>
          <cell r="BV35">
            <v>45.422087811750004</v>
          </cell>
          <cell r="BW35">
            <v>44.651400039999999</v>
          </cell>
          <cell r="BX35">
            <v>46.781858200000002</v>
          </cell>
          <cell r="BY35">
            <v>47.636691800000001</v>
          </cell>
          <cell r="BZ35">
            <v>51.901979266799998</v>
          </cell>
          <cell r="CA35">
            <v>0</v>
          </cell>
          <cell r="CB35">
            <v>0</v>
          </cell>
          <cell r="CC35">
            <v>0</v>
          </cell>
          <cell r="CD35">
            <v>0</v>
          </cell>
          <cell r="CE35">
            <v>0</v>
          </cell>
          <cell r="CF35">
            <v>0</v>
          </cell>
          <cell r="CG35">
            <v>0</v>
          </cell>
          <cell r="CH35">
            <v>0</v>
          </cell>
          <cell r="CI35">
            <v>0</v>
          </cell>
          <cell r="CJ35">
            <v>0</v>
          </cell>
          <cell r="CK35">
            <v>0</v>
          </cell>
          <cell r="CL35">
            <v>0</v>
          </cell>
          <cell r="CM35">
            <v>92.69</v>
          </cell>
          <cell r="CN35">
            <v>95.263000000000005</v>
          </cell>
          <cell r="CO35">
            <v>105.21299999999999</v>
          </cell>
          <cell r="CP35">
            <v>120.667</v>
          </cell>
          <cell r="CQ35">
            <v>151.90999999999997</v>
          </cell>
          <cell r="CR35">
            <v>166.809631</v>
          </cell>
          <cell r="CS35">
            <v>178.12276761175002</v>
          </cell>
          <cell r="CT35">
            <v>190.97192930680001</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cell r="ED35">
            <v>0</v>
          </cell>
          <cell r="EE35">
            <v>0</v>
          </cell>
          <cell r="EF35">
            <v>0</v>
          </cell>
          <cell r="EG35">
            <v>0</v>
          </cell>
          <cell r="EH35">
            <v>0</v>
          </cell>
          <cell r="EI35">
            <v>0</v>
          </cell>
          <cell r="EJ35">
            <v>0</v>
          </cell>
          <cell r="EK35">
            <v>0</v>
          </cell>
          <cell r="EL35">
            <v>0</v>
          </cell>
          <cell r="EM35">
            <v>0</v>
          </cell>
          <cell r="EN35">
            <v>0</v>
          </cell>
          <cell r="EO35">
            <v>0</v>
          </cell>
        </row>
        <row r="36">
          <cell r="A36" t="str">
            <v>MKTO_ADJ_RD</v>
          </cell>
          <cell r="B36" t="str">
            <v>Research and development</v>
          </cell>
          <cell r="C36">
            <v>1</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2.3380000000000001</v>
          </cell>
          <cell r="AR36">
            <v>2.464</v>
          </cell>
          <cell r="AS36">
            <v>2.6989999999999998</v>
          </cell>
          <cell r="AT36">
            <v>2.8820000000000001</v>
          </cell>
          <cell r="AU36">
            <v>12.653</v>
          </cell>
          <cell r="AV36">
            <v>14.009</v>
          </cell>
          <cell r="AW36">
            <v>18.224999999999998</v>
          </cell>
          <cell r="AX36">
            <v>16.249000000000002</v>
          </cell>
          <cell r="AY36">
            <v>15.276999999999999</v>
          </cell>
          <cell r="AZ36">
            <v>15.421000000000001</v>
          </cell>
          <cell r="BA36">
            <v>15.785</v>
          </cell>
          <cell r="BB36">
            <v>15.432</v>
          </cell>
          <cell r="BC36">
            <v>15.831999999999999</v>
          </cell>
          <cell r="BD36">
            <v>17.302</v>
          </cell>
          <cell r="BE36">
            <v>18.945</v>
          </cell>
          <cell r="BF36">
            <v>21.836000000000002</v>
          </cell>
          <cell r="BG36">
            <v>20.297999999999998</v>
          </cell>
          <cell r="BH36">
            <v>18.98</v>
          </cell>
          <cell r="BI36">
            <v>19.416</v>
          </cell>
          <cell r="BJ36">
            <v>21.076999999999998</v>
          </cell>
          <cell r="BK36">
            <v>21.244</v>
          </cell>
          <cell r="BL36">
            <v>21.018999999999998</v>
          </cell>
          <cell r="BM36">
            <v>20.836000000000002</v>
          </cell>
          <cell r="BN36">
            <v>20.303999999999998</v>
          </cell>
          <cell r="BO36">
            <v>20.989000000000001</v>
          </cell>
          <cell r="BP36">
            <v>20.803000000000001</v>
          </cell>
          <cell r="BQ36">
            <v>21.549769999999999</v>
          </cell>
          <cell r="BR36">
            <v>22.422028650000001</v>
          </cell>
          <cell r="BS36">
            <v>22.166663199999999</v>
          </cell>
          <cell r="BT36">
            <v>22.136352000000002</v>
          </cell>
          <cell r="BU36">
            <v>22.551112499999999</v>
          </cell>
          <cell r="BV36">
            <v>23.293378365000002</v>
          </cell>
          <cell r="BW36">
            <v>25.674555023</v>
          </cell>
          <cell r="BX36">
            <v>25.730022009999999</v>
          </cell>
          <cell r="BY36">
            <v>26.200180490000001</v>
          </cell>
          <cell r="BZ36">
            <v>27.248539115069995</v>
          </cell>
          <cell r="CA36">
            <v>0</v>
          </cell>
          <cell r="CB36">
            <v>0</v>
          </cell>
          <cell r="CC36">
            <v>0</v>
          </cell>
          <cell r="CD36">
            <v>0</v>
          </cell>
          <cell r="CE36">
            <v>0</v>
          </cell>
          <cell r="CF36">
            <v>0</v>
          </cell>
          <cell r="CG36">
            <v>0</v>
          </cell>
          <cell r="CH36">
            <v>0</v>
          </cell>
          <cell r="CI36">
            <v>0</v>
          </cell>
          <cell r="CJ36">
            <v>0</v>
          </cell>
          <cell r="CK36">
            <v>0</v>
          </cell>
          <cell r="CL36">
            <v>0</v>
          </cell>
          <cell r="CM36">
            <v>61.136000000000003</v>
          </cell>
          <cell r="CN36">
            <v>61.915000000000006</v>
          </cell>
          <cell r="CO36">
            <v>73.915000000000006</v>
          </cell>
          <cell r="CP36">
            <v>79.771000000000001</v>
          </cell>
          <cell r="CQ36">
            <v>83.403000000000006</v>
          </cell>
          <cell r="CR36">
            <v>85.763798649999998</v>
          </cell>
          <cell r="CS36">
            <v>90.147506065000016</v>
          </cell>
          <cell r="CT36">
            <v>104.85329663806999</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0</v>
          </cell>
          <cell r="DM36">
            <v>0</v>
          </cell>
          <cell r="DN36">
            <v>0</v>
          </cell>
          <cell r="DO36">
            <v>0</v>
          </cell>
          <cell r="DP36">
            <v>0</v>
          </cell>
          <cell r="DQ36">
            <v>0</v>
          </cell>
          <cell r="DR36">
            <v>0</v>
          </cell>
          <cell r="DS36">
            <v>0</v>
          </cell>
          <cell r="DT36">
            <v>0</v>
          </cell>
          <cell r="DU36">
            <v>0</v>
          </cell>
          <cell r="DV36">
            <v>0</v>
          </cell>
          <cell r="DW36">
            <v>0</v>
          </cell>
          <cell r="DX36">
            <v>0</v>
          </cell>
          <cell r="DY36">
            <v>0</v>
          </cell>
          <cell r="DZ36">
            <v>0</v>
          </cell>
          <cell r="EA36">
            <v>0</v>
          </cell>
          <cell r="EB36">
            <v>0</v>
          </cell>
          <cell r="EC36">
            <v>0</v>
          </cell>
          <cell r="ED36">
            <v>0</v>
          </cell>
          <cell r="EE36">
            <v>0</v>
          </cell>
          <cell r="EF36">
            <v>0</v>
          </cell>
          <cell r="EG36">
            <v>0</v>
          </cell>
          <cell r="EH36">
            <v>0</v>
          </cell>
          <cell r="EI36">
            <v>0</v>
          </cell>
          <cell r="EJ36">
            <v>0</v>
          </cell>
          <cell r="EK36">
            <v>0</v>
          </cell>
          <cell r="EL36">
            <v>0</v>
          </cell>
          <cell r="EM36">
            <v>0</v>
          </cell>
          <cell r="EN36">
            <v>0</v>
          </cell>
          <cell r="EO36">
            <v>0</v>
          </cell>
        </row>
        <row r="37">
          <cell r="A37" t="str">
            <v>MKTO_ADJ_GA</v>
          </cell>
          <cell r="B37" t="str">
            <v>General and administrative</v>
          </cell>
          <cell r="C37">
            <v>1</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0.66599999999999993</v>
          </cell>
          <cell r="AR37">
            <v>0.9</v>
          </cell>
          <cell r="AS37">
            <v>1.3959999999999999</v>
          </cell>
          <cell r="AT37">
            <v>2.843</v>
          </cell>
          <cell r="AU37">
            <v>12.516999999999999</v>
          </cell>
          <cell r="AV37">
            <v>18.314</v>
          </cell>
          <cell r="AW37">
            <v>13.110999999999999</v>
          </cell>
          <cell r="AX37">
            <v>10.218</v>
          </cell>
          <cell r="AY37">
            <v>10.546000000000001</v>
          </cell>
          <cell r="AZ37">
            <v>10.715</v>
          </cell>
          <cell r="BA37">
            <v>11.738</v>
          </cell>
          <cell r="BB37">
            <v>10.534000000000001</v>
          </cell>
          <cell r="BC37">
            <v>11.113</v>
          </cell>
          <cell r="BD37">
            <v>11.754000000000001</v>
          </cell>
          <cell r="BE37">
            <v>13.277000000000001</v>
          </cell>
          <cell r="BF37">
            <v>13.803999999999998</v>
          </cell>
          <cell r="BG37">
            <v>14.321</v>
          </cell>
          <cell r="BH37">
            <v>14.682999999999998</v>
          </cell>
          <cell r="BI37">
            <v>14.642000000000001</v>
          </cell>
          <cell r="BJ37">
            <v>18.53</v>
          </cell>
          <cell r="BK37">
            <v>15.148</v>
          </cell>
          <cell r="BL37">
            <v>15.238999999999999</v>
          </cell>
          <cell r="BM37">
            <v>17.146000000000001</v>
          </cell>
          <cell r="BN37">
            <v>14.768000000000001</v>
          </cell>
          <cell r="BO37">
            <v>16.575999999999997</v>
          </cell>
          <cell r="BP37">
            <v>15.845000000000002</v>
          </cell>
          <cell r="BQ37">
            <v>18.219351</v>
          </cell>
          <cell r="BR37">
            <v>16.01573475</v>
          </cell>
          <cell r="BS37">
            <v>16.1212096</v>
          </cell>
          <cell r="BT37">
            <v>16.865792000000003</v>
          </cell>
          <cell r="BU37">
            <v>17.181799999999999</v>
          </cell>
          <cell r="BV37">
            <v>16.305364855500002</v>
          </cell>
          <cell r="BW37">
            <v>16.744275014999999</v>
          </cell>
          <cell r="BX37">
            <v>17.543196824999999</v>
          </cell>
          <cell r="BY37">
            <v>17.863759424999998</v>
          </cell>
          <cell r="BZ37">
            <v>18.165692743379999</v>
          </cell>
          <cell r="CA37">
            <v>0</v>
          </cell>
          <cell r="CB37">
            <v>0</v>
          </cell>
          <cell r="CC37">
            <v>0</v>
          </cell>
          <cell r="CD37">
            <v>0</v>
          </cell>
          <cell r="CE37">
            <v>0</v>
          </cell>
          <cell r="CF37">
            <v>0</v>
          </cell>
          <cell r="CG37">
            <v>0</v>
          </cell>
          <cell r="CH37">
            <v>0</v>
          </cell>
          <cell r="CI37">
            <v>0</v>
          </cell>
          <cell r="CJ37">
            <v>0</v>
          </cell>
          <cell r="CK37">
            <v>0</v>
          </cell>
          <cell r="CL37">
            <v>0</v>
          </cell>
          <cell r="CM37">
            <v>54.16</v>
          </cell>
          <cell r="CN37">
            <v>43.533000000000001</v>
          </cell>
          <cell r="CO37">
            <v>49.948000000000008</v>
          </cell>
          <cell r="CP37">
            <v>62.176000000000002</v>
          </cell>
          <cell r="CQ37">
            <v>62.301000000000002</v>
          </cell>
          <cell r="CR37">
            <v>66.656085749999988</v>
          </cell>
          <cell r="CS37">
            <v>66.474166455499997</v>
          </cell>
          <cell r="CT37">
            <v>70.316924008379999</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0</v>
          </cell>
          <cell r="DM37">
            <v>0</v>
          </cell>
          <cell r="DN37">
            <v>0</v>
          </cell>
          <cell r="DO37">
            <v>0</v>
          </cell>
          <cell r="DP37">
            <v>0</v>
          </cell>
          <cell r="DQ37">
            <v>0</v>
          </cell>
          <cell r="DR37">
            <v>0</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row>
        <row r="47">
          <cell r="A47" t="str">
            <v>MKTO_ADJ_OM</v>
          </cell>
          <cell r="B47" t="str">
            <v>Operating Income</v>
          </cell>
          <cell r="C47">
            <v>1</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-3.9900000000000011</v>
          </cell>
          <cell r="AR47">
            <v>-4.6210000000000004</v>
          </cell>
          <cell r="AS47">
            <v>-5.3950000000000014</v>
          </cell>
          <cell r="AT47">
            <v>-7.1479999999999997</v>
          </cell>
          <cell r="AU47">
            <v>13.247000000000003</v>
          </cell>
          <cell r="AV47">
            <v>19.298999999999982</v>
          </cell>
          <cell r="AW47">
            <v>20.690000000000015</v>
          </cell>
          <cell r="AX47">
            <v>22.280000000000015</v>
          </cell>
          <cell r="AY47">
            <v>20.928999999999995</v>
          </cell>
          <cell r="AZ47">
            <v>26.387999999999991</v>
          </cell>
          <cell r="BA47">
            <v>28.861000000000015</v>
          </cell>
          <cell r="BB47">
            <v>25.107999999999986</v>
          </cell>
          <cell r="BC47">
            <v>19.885000000000002</v>
          </cell>
          <cell r="BD47">
            <v>27.006000000000007</v>
          </cell>
          <cell r="BE47">
            <v>27.201999999999991</v>
          </cell>
          <cell r="BF47">
            <v>27.612999999999968</v>
          </cell>
          <cell r="BG47">
            <v>26.459</v>
          </cell>
          <cell r="BH47">
            <v>32.692</v>
          </cell>
          <cell r="BI47">
            <v>30.588999999999977</v>
          </cell>
          <cell r="BJ47">
            <v>32.214000000000013</v>
          </cell>
          <cell r="BK47">
            <v>31.55800000000001</v>
          </cell>
          <cell r="BL47">
            <v>34.787999999999975</v>
          </cell>
          <cell r="BM47">
            <v>34.047999999999988</v>
          </cell>
          <cell r="BN47">
            <v>43.795999999999992</v>
          </cell>
          <cell r="BO47">
            <v>33.964999999999989</v>
          </cell>
          <cell r="BP47">
            <v>40.624000000000009</v>
          </cell>
          <cell r="BQ47">
            <v>37.331613999999973</v>
          </cell>
          <cell r="BR47">
            <v>45.948581900000022</v>
          </cell>
          <cell r="BS47">
            <v>38.944400099999996</v>
          </cell>
          <cell r="BT47">
            <v>42.036954500000007</v>
          </cell>
          <cell r="BU47">
            <v>42.795903999999993</v>
          </cell>
          <cell r="BV47">
            <v>51.961746876000021</v>
          </cell>
          <cell r="BW47">
            <v>45.920403568999987</v>
          </cell>
          <cell r="BX47">
            <v>48.485143350000001</v>
          </cell>
          <cell r="BY47">
            <v>48.577450050000024</v>
          </cell>
          <cell r="BZ47">
            <v>56.322163980989956</v>
          </cell>
          <cell r="CA47">
            <v>0</v>
          </cell>
          <cell r="CB47">
            <v>0</v>
          </cell>
          <cell r="CC47">
            <v>0</v>
          </cell>
          <cell r="CD47">
            <v>0</v>
          </cell>
          <cell r="CE47">
            <v>0</v>
          </cell>
          <cell r="CF47">
            <v>0</v>
          </cell>
          <cell r="CG47">
            <v>0</v>
          </cell>
          <cell r="CH47">
            <v>0</v>
          </cell>
          <cell r="CI47">
            <v>0</v>
          </cell>
          <cell r="CJ47">
            <v>0</v>
          </cell>
          <cell r="CK47">
            <v>0</v>
          </cell>
          <cell r="CL47">
            <v>0</v>
          </cell>
          <cell r="CM47">
            <v>75.51600000000002</v>
          </cell>
          <cell r="CN47">
            <v>101.28599999999999</v>
          </cell>
          <cell r="CO47">
            <v>101.70599999999996</v>
          </cell>
          <cell r="CP47">
            <v>121.95399999999999</v>
          </cell>
          <cell r="CQ47">
            <v>144.18999999999997</v>
          </cell>
          <cell r="CR47">
            <v>157.86919589999999</v>
          </cell>
          <cell r="CS47">
            <v>175.73900547600002</v>
          </cell>
          <cell r="CT47">
            <v>199.30516094998995</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row>
        <row r="48">
          <cell r="A48" t="str">
            <v>MKTO_ADJ_OTHERINC</v>
          </cell>
          <cell r="B48" t="str">
            <v>Other income (expense)</v>
          </cell>
          <cell r="C48">
            <v>1</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-0.01</v>
          </cell>
          <cell r="AR48">
            <v>-6.0000000000000001E-3</v>
          </cell>
          <cell r="AS48">
            <v>-4.2000000000000003E-2</v>
          </cell>
          <cell r="AT48">
            <v>-7.9000000000000001E-2</v>
          </cell>
          <cell r="AU48">
            <v>-0.308</v>
          </cell>
          <cell r="AV48">
            <v>-0.14000000000000001</v>
          </cell>
          <cell r="AW48">
            <v>0.38200000000000001</v>
          </cell>
          <cell r="AX48">
            <v>-0.32600000000000001</v>
          </cell>
          <cell r="AY48">
            <v>0.10299999999999999</v>
          </cell>
          <cell r="AZ48">
            <v>-0.309</v>
          </cell>
          <cell r="BA48">
            <v>-0.14000000000000001</v>
          </cell>
          <cell r="BB48">
            <v>-0.11600000000000001</v>
          </cell>
          <cell r="BC48">
            <v>-1.232</v>
          </cell>
          <cell r="BD48">
            <v>0.22500000000000001</v>
          </cell>
          <cell r="BE48">
            <v>2.9000000000000001E-2</v>
          </cell>
          <cell r="BF48">
            <v>-0.2</v>
          </cell>
          <cell r="BG48">
            <v>-0.29499999999999998</v>
          </cell>
          <cell r="BH48">
            <v>0.69499999999999984</v>
          </cell>
          <cell r="BI48">
            <v>0.184</v>
          </cell>
          <cell r="BJ48">
            <v>-0.318</v>
          </cell>
          <cell r="BK48">
            <v>-0.105</v>
          </cell>
          <cell r="BL48">
            <v>-6.5000000000000002E-2</v>
          </cell>
          <cell r="BM48">
            <v>-1.4999999999999999E-2</v>
          </cell>
          <cell r="BN48">
            <v>-0.106</v>
          </cell>
          <cell r="BO48">
            <v>0.28599999999999998</v>
          </cell>
          <cell r="BP48">
            <v>0.82699999999999996</v>
          </cell>
          <cell r="BQ48">
            <v>0.82699999999999996</v>
          </cell>
          <cell r="BR48">
            <v>0.82699999999999996</v>
          </cell>
          <cell r="BS48">
            <v>0.82699999999999996</v>
          </cell>
          <cell r="BT48">
            <v>0.82699999999999996</v>
          </cell>
          <cell r="BU48">
            <v>0.82699999999999996</v>
          </cell>
          <cell r="BV48">
            <v>0.82699999999999996</v>
          </cell>
          <cell r="BW48">
            <v>0.82699999999999996</v>
          </cell>
          <cell r="BX48">
            <v>0.82699999999999996</v>
          </cell>
          <cell r="BY48">
            <v>0.82699999999999996</v>
          </cell>
          <cell r="BZ48">
            <v>0.82699999999999996</v>
          </cell>
          <cell r="CA48">
            <v>0</v>
          </cell>
          <cell r="CB48">
            <v>0</v>
          </cell>
          <cell r="CC48">
            <v>0</v>
          </cell>
          <cell r="CD48">
            <v>0</v>
          </cell>
          <cell r="CE48">
            <v>0</v>
          </cell>
          <cell r="CF48">
            <v>0</v>
          </cell>
          <cell r="CG48">
            <v>0</v>
          </cell>
          <cell r="CH48">
            <v>0</v>
          </cell>
          <cell r="CI48">
            <v>0</v>
          </cell>
          <cell r="CJ48">
            <v>0</v>
          </cell>
          <cell r="CK48">
            <v>0</v>
          </cell>
          <cell r="CL48">
            <v>0</v>
          </cell>
          <cell r="CM48">
            <v>-0.39200000000000002</v>
          </cell>
          <cell r="CN48">
            <v>-0.46200000000000002</v>
          </cell>
          <cell r="CO48">
            <v>-1.1779999999999999</v>
          </cell>
          <cell r="CP48">
            <v>0.26599999999999985</v>
          </cell>
          <cell r="CQ48">
            <v>-0.29099999999999998</v>
          </cell>
          <cell r="CR48">
            <v>2.7669999999999999</v>
          </cell>
          <cell r="CS48">
            <v>3.3079999999999998</v>
          </cell>
          <cell r="CT48">
            <v>3.3079999999999998</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row>
        <row r="55">
          <cell r="A55" t="str">
            <v>MKTO_ADJ_TAXES</v>
          </cell>
          <cell r="B55" t="str">
            <v>Provision for income taxes</v>
          </cell>
          <cell r="C55">
            <v>1</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2E-3</v>
          </cell>
          <cell r="AR55">
            <v>3.0000000000000001E-3</v>
          </cell>
          <cell r="AS55">
            <v>0</v>
          </cell>
          <cell r="AT55">
            <v>1E-3</v>
          </cell>
          <cell r="AU55">
            <v>4.99</v>
          </cell>
          <cell r="AV55">
            <v>6.915</v>
          </cell>
          <cell r="AW55">
            <v>7.4630000000000001</v>
          </cell>
          <cell r="AX55">
            <v>7.7029999999999994</v>
          </cell>
          <cell r="AY55">
            <v>7.548</v>
          </cell>
          <cell r="AZ55">
            <v>9.593</v>
          </cell>
          <cell r="BA55">
            <v>10.664000000000001</v>
          </cell>
          <cell r="BB55">
            <v>9.2720000000000002</v>
          </cell>
          <cell r="BC55">
            <v>6.1040000000000001</v>
          </cell>
          <cell r="BD55">
            <v>10.106000000000002</v>
          </cell>
          <cell r="BE55">
            <v>10.132000000000001</v>
          </cell>
          <cell r="BF55">
            <v>9.9329999999999998</v>
          </cell>
          <cell r="BG55">
            <v>9.5510000000000002</v>
          </cell>
          <cell r="BH55">
            <v>12.291</v>
          </cell>
          <cell r="BI55">
            <v>11.295999999999999</v>
          </cell>
          <cell r="BJ55">
            <v>11.388</v>
          </cell>
          <cell r="BK55">
            <v>9.2080000000000002</v>
          </cell>
          <cell r="BL55">
            <v>10.241</v>
          </cell>
          <cell r="BM55">
            <v>10.045999999999999</v>
          </cell>
          <cell r="BN55">
            <v>13.166</v>
          </cell>
          <cell r="BO55">
            <v>10.200000000000001</v>
          </cell>
          <cell r="BP55">
            <v>12.448</v>
          </cell>
          <cell r="BQ55">
            <v>10.78707648</v>
          </cell>
          <cell r="BR55">
            <v>14.402490208000001</v>
          </cell>
          <cell r="BS55">
            <v>11.093810029999993</v>
          </cell>
          <cell r="BT55">
            <v>11.550996350000004</v>
          </cell>
          <cell r="BU55">
            <v>12.168411199999991</v>
          </cell>
          <cell r="BV55">
            <v>15.287335062799999</v>
          </cell>
          <cell r="BW55">
            <v>12.8963100707</v>
          </cell>
          <cell r="BX55">
            <v>13.148094005000004</v>
          </cell>
          <cell r="BY55">
            <v>13.604489015000009</v>
          </cell>
          <cell r="BZ55">
            <v>16.333991294296986</v>
          </cell>
          <cell r="CA55">
            <v>0</v>
          </cell>
          <cell r="CB55">
            <v>0</v>
          </cell>
          <cell r="CC55">
            <v>0</v>
          </cell>
          <cell r="CD55">
            <v>0</v>
          </cell>
          <cell r="CE55">
            <v>0</v>
          </cell>
          <cell r="CF55">
            <v>0</v>
          </cell>
          <cell r="CG55">
            <v>0</v>
          </cell>
          <cell r="CH55">
            <v>0</v>
          </cell>
          <cell r="CI55">
            <v>0</v>
          </cell>
          <cell r="CJ55">
            <v>0</v>
          </cell>
          <cell r="CK55">
            <v>0</v>
          </cell>
          <cell r="CL55">
            <v>0</v>
          </cell>
          <cell r="CM55">
            <v>27.071000000000002</v>
          </cell>
          <cell r="CN55">
            <v>37.076999999999998</v>
          </cell>
          <cell r="CO55">
            <v>36.275000000000006</v>
          </cell>
          <cell r="CP55">
            <v>44.525999999999996</v>
          </cell>
          <cell r="CQ55">
            <v>42.661000000000001</v>
          </cell>
          <cell r="CR55">
            <v>47.83756668800001</v>
          </cell>
          <cell r="CS55">
            <v>50.100552642799983</v>
          </cell>
          <cell r="CT55">
            <v>55.982884384997</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0</v>
          </cell>
          <cell r="EC55">
            <v>0</v>
          </cell>
          <cell r="ED55">
            <v>0</v>
          </cell>
          <cell r="EE55">
            <v>0</v>
          </cell>
          <cell r="EF55">
            <v>0</v>
          </cell>
          <cell r="EG55">
            <v>0</v>
          </cell>
          <cell r="EH55">
            <v>0</v>
          </cell>
          <cell r="EI55">
            <v>0</v>
          </cell>
          <cell r="EJ55">
            <v>0</v>
          </cell>
          <cell r="EK55">
            <v>0</v>
          </cell>
          <cell r="EL55">
            <v>0</v>
          </cell>
          <cell r="EM55">
            <v>0</v>
          </cell>
          <cell r="EN55">
            <v>0</v>
          </cell>
          <cell r="EO55">
            <v>0</v>
          </cell>
        </row>
        <row r="58">
          <cell r="A58" t="str">
            <v>MKTO_ADJ_EPS</v>
          </cell>
          <cell r="B58" t="str">
            <v>Earnings per Share (U.S.$)</v>
          </cell>
          <cell r="C58">
            <v>1</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t="e">
            <v>#DIV/0!</v>
          </cell>
          <cell r="AR58" t="e">
            <v>#DIV/0!</v>
          </cell>
          <cell r="AS58" t="e">
            <v>#DIV/0!</v>
          </cell>
          <cell r="AT58" t="e">
            <v>#DIV/0!</v>
          </cell>
          <cell r="AU58">
            <v>0.17494800200191626</v>
          </cell>
          <cell r="AV58">
            <v>0.2451663521139672</v>
          </cell>
          <cell r="AW58">
            <v>0.26099051030811926</v>
          </cell>
          <cell r="AX58">
            <v>0.26909251498525172</v>
          </cell>
          <cell r="AY58">
            <v>0.26232407129624763</v>
          </cell>
          <cell r="AZ58">
            <v>0.33096164368663683</v>
          </cell>
          <cell r="BA58">
            <v>0.36601416195451897</v>
          </cell>
          <cell r="BB58">
            <v>0.31812120481523282</v>
          </cell>
          <cell r="BC58">
            <v>0.24380685904255739</v>
          </cell>
          <cell r="BD58">
            <v>0.34624802703231294</v>
          </cell>
          <cell r="BE58">
            <v>0.34530878918096369</v>
          </cell>
          <cell r="BF58">
            <v>0.33744128269810519</v>
          </cell>
          <cell r="BG58">
            <v>0.32349178965491659</v>
          </cell>
          <cell r="BH58">
            <v>0.41441547795907674</v>
          </cell>
          <cell r="BI58">
            <v>0.37918982870766338</v>
          </cell>
          <cell r="BJ58">
            <v>0.38125615447189298</v>
          </cell>
          <cell r="BK58">
            <v>0.41854285577286959</v>
          </cell>
          <cell r="BL58">
            <v>0.46371406045556157</v>
          </cell>
          <cell r="BM58">
            <v>0.45039355737610048</v>
          </cell>
          <cell r="BN58">
            <v>0.58980376892576936</v>
          </cell>
          <cell r="BO58">
            <v>0.45645963889270297</v>
          </cell>
          <cell r="BP58">
            <v>0.54070613239217036</v>
          </cell>
          <cell r="BQ58">
            <v>0.51217698916221077</v>
          </cell>
          <cell r="BR58">
            <v>0.61174095599429701</v>
          </cell>
          <cell r="BS58">
            <v>0.52866026710708691</v>
          </cell>
          <cell r="BT58">
            <v>0.57738441552127195</v>
          </cell>
          <cell r="BU58">
            <v>0.57439112562280981</v>
          </cell>
          <cell r="BV58">
            <v>0.69036848588374033</v>
          </cell>
          <cell r="BW58">
            <v>0.61071727090811123</v>
          </cell>
          <cell r="BX58">
            <v>0.65034417372887832</v>
          </cell>
          <cell r="BY58">
            <v>0.63687218442358207</v>
          </cell>
          <cell r="BZ58">
            <v>0.72778488293454136</v>
          </cell>
          <cell r="CA58">
            <v>0</v>
          </cell>
          <cell r="CB58">
            <v>0</v>
          </cell>
          <cell r="CC58">
            <v>0</v>
          </cell>
          <cell r="CD58">
            <v>0</v>
          </cell>
          <cell r="CE58">
            <v>0</v>
          </cell>
          <cell r="CF58">
            <v>0</v>
          </cell>
          <cell r="CG58">
            <v>0</v>
          </cell>
          <cell r="CH58">
            <v>0</v>
          </cell>
          <cell r="CI58">
            <v>0</v>
          </cell>
          <cell r="CJ58">
            <v>0</v>
          </cell>
          <cell r="CK58">
            <v>0</v>
          </cell>
          <cell r="CL58">
            <v>0</v>
          </cell>
          <cell r="CM58">
            <v>0.95019737940925442</v>
          </cell>
          <cell r="CN58">
            <v>1.2774210817526364</v>
          </cell>
          <cell r="CO58">
            <v>1.2728049579539393</v>
          </cell>
          <cell r="CP58">
            <v>1.4983532507935498</v>
          </cell>
          <cell r="CQ58">
            <v>1.9224542425303011</v>
          </cell>
          <cell r="CR58">
            <v>2.1210837164413814</v>
          </cell>
          <cell r="CS58">
            <v>2.370804294134909</v>
          </cell>
          <cell r="CT58">
            <v>2.625718511995113</v>
          </cell>
          <cell r="CU58">
            <v>0</v>
          </cell>
          <cell r="CV58">
            <v>0</v>
          </cell>
          <cell r="CW58">
            <v>0</v>
          </cell>
          <cell r="CX58">
            <v>0</v>
          </cell>
          <cell r="CY58">
            <v>0</v>
          </cell>
          <cell r="CZ58">
            <v>0</v>
          </cell>
          <cell r="DA58">
            <v>0</v>
          </cell>
          <cell r="DB58">
            <v>0</v>
          </cell>
          <cell r="DC58">
            <v>0</v>
          </cell>
          <cell r="DD58">
            <v>0</v>
          </cell>
          <cell r="DE58">
            <v>0</v>
          </cell>
          <cell r="DF58">
            <v>0</v>
          </cell>
          <cell r="DG58" t="e">
            <v>#VALUE!</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row>
        <row r="60">
          <cell r="A60" t="str">
            <v>MKTO_DIL_SHA</v>
          </cell>
          <cell r="B60" t="str">
            <v>Diluted Shares O/S</v>
          </cell>
          <cell r="C60">
            <v>2</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44.613256</v>
          </cell>
          <cell r="AV60">
            <v>44.112904999999998</v>
          </cell>
          <cell r="AW60">
            <v>44.718100999999997</v>
          </cell>
          <cell r="AX60">
            <v>44.757840999999999</v>
          </cell>
          <cell r="AY60">
            <v>45.009213000000003</v>
          </cell>
          <cell r="AZ60">
            <v>45.349665999999999</v>
          </cell>
          <cell r="BA60">
            <v>45.569274999999998</v>
          </cell>
          <cell r="BB60">
            <v>45.583255000000001</v>
          </cell>
          <cell r="BC60">
            <v>45.552450999999998</v>
          </cell>
          <cell r="BD60">
            <v>45.660910000000001</v>
          </cell>
          <cell r="BE60">
            <v>45.883569999999999</v>
          </cell>
          <cell r="BF60">
            <v>46.055419999999998</v>
          </cell>
          <cell r="BG60">
            <v>46.168095999999998</v>
          </cell>
          <cell r="BH60">
            <v>46.402706999999999</v>
          </cell>
          <cell r="BI60">
            <v>46.596713999999999</v>
          </cell>
          <cell r="BJ60">
            <v>46.713999999999999</v>
          </cell>
          <cell r="BK60">
            <v>46.757458</v>
          </cell>
          <cell r="BL60">
            <v>46.927625999999997</v>
          </cell>
          <cell r="BM60">
            <v>47.394106000000001</v>
          </cell>
          <cell r="BN60">
            <v>47.436115999999998</v>
          </cell>
          <cell r="BO60">
            <v>47.482840000000003</v>
          </cell>
          <cell r="BP60">
            <v>47.691339999999997</v>
          </cell>
          <cell r="BQ60">
            <v>47.162481</v>
          </cell>
          <cell r="BR60">
            <v>47.662481</v>
          </cell>
          <cell r="BS60">
            <v>48.162481</v>
          </cell>
          <cell r="BT60">
            <v>48.662481</v>
          </cell>
          <cell r="BU60">
            <v>49.162481</v>
          </cell>
          <cell r="BV60">
            <v>49.662481</v>
          </cell>
          <cell r="BW60">
            <v>50.162481</v>
          </cell>
          <cell r="BX60">
            <v>50.662481</v>
          </cell>
          <cell r="BY60">
            <v>51.162481</v>
          </cell>
          <cell r="BZ60">
            <v>51.662481</v>
          </cell>
          <cell r="CA60">
            <v>0</v>
          </cell>
          <cell r="CB60">
            <v>0</v>
          </cell>
          <cell r="CC60">
            <v>0</v>
          </cell>
          <cell r="CD60">
            <v>0</v>
          </cell>
          <cell r="CE60">
            <v>0</v>
          </cell>
          <cell r="CF60">
            <v>0</v>
          </cell>
          <cell r="CG60">
            <v>0</v>
          </cell>
          <cell r="CH60">
            <v>0</v>
          </cell>
          <cell r="CI60">
            <v>0</v>
          </cell>
          <cell r="CJ60">
            <v>0</v>
          </cell>
          <cell r="CK60">
            <v>0</v>
          </cell>
          <cell r="CL60">
            <v>0</v>
          </cell>
          <cell r="CM60" t="e">
            <v>#VALUE!</v>
          </cell>
          <cell r="CN60" t="e">
            <v>#VALUE!</v>
          </cell>
          <cell r="CO60" t="e">
            <v>#VALUE!</v>
          </cell>
          <cell r="CP60">
            <v>46.470379250000001</v>
          </cell>
          <cell r="CQ60">
            <v>47.128826499999995</v>
          </cell>
          <cell r="CR60">
            <v>47.499785500000002</v>
          </cell>
          <cell r="CS60">
            <v>48.912481</v>
          </cell>
          <cell r="CT60">
            <v>50.912481</v>
          </cell>
          <cell r="CU60">
            <v>0</v>
          </cell>
          <cell r="CV60">
            <v>0</v>
          </cell>
          <cell r="CW60">
            <v>0</v>
          </cell>
          <cell r="CX60">
            <v>0</v>
          </cell>
          <cell r="CY60">
            <v>0</v>
          </cell>
          <cell r="CZ60">
            <v>0</v>
          </cell>
          <cell r="DA60">
            <v>0</v>
          </cell>
          <cell r="DB60">
            <v>0</v>
          </cell>
          <cell r="DC60">
            <v>0</v>
          </cell>
          <cell r="DD60">
            <v>0</v>
          </cell>
          <cell r="DE60">
            <v>0</v>
          </cell>
          <cell r="DF60">
            <v>0</v>
          </cell>
          <cell r="DG60" t="e">
            <v>#VALUE!</v>
          </cell>
          <cell r="DH60" t="e">
            <v>#VALUE!</v>
          </cell>
          <cell r="DI60" t="e">
            <v>#VALUE!</v>
          </cell>
          <cell r="DJ60" t="e">
            <v>#VALUE!</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row>
        <row r="162">
          <cell r="A162" t="str">
            <v>MKTO_CAPEX</v>
          </cell>
          <cell r="B162" t="str">
            <v>Cap Ex</v>
          </cell>
          <cell r="C162">
            <v>1</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-6.2969999999999997</v>
          </cell>
          <cell r="AV162">
            <v>-5.2709999999999999</v>
          </cell>
          <cell r="AW162">
            <v>-3.8589999999999991</v>
          </cell>
          <cell r="AX162">
            <v>-5.13</v>
          </cell>
          <cell r="AY162">
            <v>-6.2919999999999998</v>
          </cell>
          <cell r="AZ162">
            <v>-3.7759999999999998</v>
          </cell>
          <cell r="BA162">
            <v>-3.3390000000000004</v>
          </cell>
          <cell r="BB162">
            <v>-6.6790000000000003</v>
          </cell>
          <cell r="BC162">
            <v>-6.1189999999999998</v>
          </cell>
          <cell r="BD162">
            <v>0.69599999999999973</v>
          </cell>
          <cell r="BE162">
            <v>-2.8940000000000001</v>
          </cell>
          <cell r="BF162">
            <v>-5.5939999999999994</v>
          </cell>
          <cell r="BG162">
            <v>-2.5209999999999999</v>
          </cell>
          <cell r="BH162">
            <v>-4.4930000000000003</v>
          </cell>
          <cell r="BI162">
            <v>-7.5460000000000003</v>
          </cell>
          <cell r="BJ162">
            <v>-4.0729999999999995</v>
          </cell>
          <cell r="BK162">
            <v>-7.8369999999999997</v>
          </cell>
          <cell r="BL162">
            <v>-4.7320000000000011</v>
          </cell>
          <cell r="BM162">
            <v>-2.8899999999999988</v>
          </cell>
          <cell r="BN162">
            <v>-2.2349999999999994</v>
          </cell>
          <cell r="BO162">
            <v>-2.7189999999999999</v>
          </cell>
          <cell r="BP162">
            <v>-2.9470000000000005</v>
          </cell>
          <cell r="BQ162">
            <v>-11.754419999999998</v>
          </cell>
          <cell r="BR162">
            <v>-11.744872150000001</v>
          </cell>
          <cell r="BS162">
            <v>-11.083331599999999</v>
          </cell>
          <cell r="BT162">
            <v>-11.595232000000001</v>
          </cell>
          <cell r="BU162">
            <v>-11.8124875</v>
          </cell>
          <cell r="BV162">
            <v>-12.811358100750001</v>
          </cell>
          <cell r="BW162">
            <v>-12.279135010999999</v>
          </cell>
          <cell r="BX162">
            <v>-12.865011004999999</v>
          </cell>
          <cell r="BY162">
            <v>-13.100090245000001</v>
          </cell>
          <cell r="BZ162">
            <v>-14.273044298369998</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-18.632999999999999</v>
          </cell>
          <cell r="CQ162">
            <v>-17.693999999999999</v>
          </cell>
          <cell r="CR162">
            <v>-29.165292149999999</v>
          </cell>
          <cell r="CS162">
            <v>-47.302409200749999</v>
          </cell>
          <cell r="CT162">
            <v>-48.498212611749999</v>
          </cell>
          <cell r="CU162">
            <v>0</v>
          </cell>
          <cell r="CV162">
            <v>0</v>
          </cell>
          <cell r="CW162">
            <v>0</v>
          </cell>
          <cell r="CX162">
            <v>0</v>
          </cell>
          <cell r="CY162">
            <v>0</v>
          </cell>
          <cell r="CZ162">
            <v>0</v>
          </cell>
          <cell r="DA162">
            <v>0</v>
          </cell>
          <cell r="DB162">
            <v>0</v>
          </cell>
          <cell r="DC162">
            <v>0</v>
          </cell>
          <cell r="DD162">
            <v>0</v>
          </cell>
          <cell r="DE162">
            <v>0</v>
          </cell>
          <cell r="DF162">
            <v>0</v>
          </cell>
          <cell r="DG162">
            <v>-18.536999999999999</v>
          </cell>
          <cell r="DH162">
            <v>-20.085999999999999</v>
          </cell>
          <cell r="DI162">
            <v>-13.911</v>
          </cell>
          <cell r="DJ162">
            <v>-18.632999999999999</v>
          </cell>
          <cell r="DK162">
            <v>0</v>
          </cell>
          <cell r="DL162">
            <v>0</v>
          </cell>
          <cell r="DM162">
            <v>0</v>
          </cell>
          <cell r="DN162">
            <v>0</v>
          </cell>
          <cell r="DO162">
            <v>0</v>
          </cell>
          <cell r="DP162">
            <v>0</v>
          </cell>
          <cell r="DQ162">
            <v>0</v>
          </cell>
          <cell r="DR162">
            <v>0</v>
          </cell>
          <cell r="DS162">
            <v>0</v>
          </cell>
          <cell r="DT162">
            <v>0</v>
          </cell>
          <cell r="DU162">
            <v>0</v>
          </cell>
          <cell r="DV162">
            <v>0</v>
          </cell>
          <cell r="DW162">
            <v>0</v>
          </cell>
          <cell r="DX162">
            <v>0</v>
          </cell>
          <cell r="DY162">
            <v>0</v>
          </cell>
          <cell r="DZ162">
            <v>0</v>
          </cell>
          <cell r="EA162">
            <v>0</v>
          </cell>
          <cell r="EB162">
            <v>0</v>
          </cell>
          <cell r="EC162">
            <v>0</v>
          </cell>
          <cell r="ED162">
            <v>0</v>
          </cell>
          <cell r="EE162">
            <v>0</v>
          </cell>
          <cell r="EF162">
            <v>0</v>
          </cell>
          <cell r="EG162">
            <v>0</v>
          </cell>
          <cell r="EH162">
            <v>0</v>
          </cell>
          <cell r="EI162">
            <v>0</v>
          </cell>
          <cell r="EJ162">
            <v>0</v>
          </cell>
          <cell r="EK162">
            <v>0</v>
          </cell>
          <cell r="EL162">
            <v>0</v>
          </cell>
          <cell r="EM162">
            <v>0</v>
          </cell>
          <cell r="EN162">
            <v>0</v>
          </cell>
          <cell r="EO162">
            <v>0</v>
          </cell>
        </row>
        <row r="163">
          <cell r="A163" t="str">
            <v>MKTO_FCF</v>
          </cell>
          <cell r="B163" t="str">
            <v>FCF</v>
          </cell>
          <cell r="C163">
            <v>1</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-5.1950965</v>
          </cell>
          <cell r="AR163">
            <v>-5.9652172033715161</v>
          </cell>
          <cell r="AS163">
            <v>-6.8000000000000007</v>
          </cell>
          <cell r="AT163">
            <v>-8.6460578386605782</v>
          </cell>
          <cell r="AU163">
            <v>0.44701875732708363</v>
          </cell>
          <cell r="AV163">
            <v>-1.1794957698815649</v>
          </cell>
          <cell r="AW163">
            <v>6.8115839866206889</v>
          </cell>
          <cell r="AX163">
            <v>-88.786121588089287</v>
          </cell>
          <cell r="AY163">
            <v>1.5778623094807216</v>
          </cell>
          <cell r="AZ163">
            <v>7.8324179741485018</v>
          </cell>
          <cell r="BA163">
            <v>3.9875719562593179</v>
          </cell>
          <cell r="BB163">
            <v>3.8560072771631244</v>
          </cell>
          <cell r="BC163">
            <v>48.915419058686865</v>
          </cell>
          <cell r="BD163">
            <v>4.2393732057416376</v>
          </cell>
          <cell r="BE163">
            <v>20.65471727748686</v>
          </cell>
          <cell r="BF163">
            <v>-28.446102064850351</v>
          </cell>
          <cell r="BG163">
            <v>31.354905456178912</v>
          </cell>
          <cell r="BH163">
            <v>-7.2804304749214577</v>
          </cell>
          <cell r="BI163">
            <v>6.9775127912998505</v>
          </cell>
          <cell r="BJ163">
            <v>-8.8155031166517901</v>
          </cell>
          <cell r="BK163">
            <v>37.488375495169905</v>
          </cell>
          <cell r="BL163">
            <v>13.07435163427281</v>
          </cell>
          <cell r="BM163">
            <v>9.7909258409786144</v>
          </cell>
          <cell r="BN163">
            <v>18.484961987167068</v>
          </cell>
          <cell r="BO163">
            <v>45.386584363430977</v>
          </cell>
          <cell r="BP163">
            <v>17.760366941284087</v>
          </cell>
          <cell r="BQ163">
            <v>45.204348519238437</v>
          </cell>
          <cell r="BR163">
            <v>54.980767943028177</v>
          </cell>
          <cell r="BS163">
            <v>22.935007000200009</v>
          </cell>
          <cell r="BT163">
            <v>53.675733425000054</v>
          </cell>
          <cell r="BU163">
            <v>52.505828341369977</v>
          </cell>
          <cell r="BV163">
            <v>70.781847503912076</v>
          </cell>
          <cell r="BW163">
            <v>32.602112359645574</v>
          </cell>
          <cell r="BX163">
            <v>63.002816413617694</v>
          </cell>
          <cell r="BY163">
            <v>61.03453118427548</v>
          </cell>
          <cell r="BZ163">
            <v>76.847472778201038</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22.236484655905514</v>
          </cell>
          <cell r="CQ163">
            <v>78.838614957588391</v>
          </cell>
          <cell r="CR163">
            <v>163.33206776698168</v>
          </cell>
          <cell r="CS163">
            <v>199.8984162704821</v>
          </cell>
          <cell r="CT163">
            <v>209.56552162992767</v>
          </cell>
          <cell r="CU163">
            <v>0</v>
          </cell>
          <cell r="CV163">
            <v>0</v>
          </cell>
          <cell r="CW163">
            <v>0</v>
          </cell>
          <cell r="CX163">
            <v>0</v>
          </cell>
          <cell r="CY163">
            <v>0</v>
          </cell>
          <cell r="CZ163">
            <v>0</v>
          </cell>
          <cell r="DA163">
            <v>0</v>
          </cell>
          <cell r="DB163">
            <v>0</v>
          </cell>
          <cell r="DC163">
            <v>0</v>
          </cell>
          <cell r="DD163">
            <v>0</v>
          </cell>
          <cell r="DE163">
            <v>0</v>
          </cell>
          <cell r="DF163">
            <v>0</v>
          </cell>
          <cell r="DG163">
            <v>-75.388269348200751</v>
          </cell>
          <cell r="DH163">
            <v>17.253859517051666</v>
          </cell>
          <cell r="DI163">
            <v>45.36340747706501</v>
          </cell>
          <cell r="DJ163">
            <v>22.236484655905514</v>
          </cell>
          <cell r="DK163">
            <v>0</v>
          </cell>
          <cell r="DL163">
            <v>0</v>
          </cell>
          <cell r="DM163">
            <v>0</v>
          </cell>
          <cell r="DN163">
            <v>0</v>
          </cell>
          <cell r="DO163">
            <v>0</v>
          </cell>
          <cell r="DP163">
            <v>0</v>
          </cell>
          <cell r="DQ163">
            <v>0</v>
          </cell>
          <cell r="DR163">
            <v>0</v>
          </cell>
          <cell r="DS163">
            <v>0</v>
          </cell>
          <cell r="DT163">
            <v>0</v>
          </cell>
          <cell r="DU163">
            <v>0</v>
          </cell>
          <cell r="DV163">
            <v>0</v>
          </cell>
          <cell r="DW163">
            <v>0</v>
          </cell>
          <cell r="DX163">
            <v>0</v>
          </cell>
          <cell r="DY163">
            <v>0</v>
          </cell>
          <cell r="DZ163">
            <v>0</v>
          </cell>
          <cell r="EA163">
            <v>0</v>
          </cell>
          <cell r="EB163">
            <v>0</v>
          </cell>
          <cell r="EC163">
            <v>0</v>
          </cell>
          <cell r="ED163">
            <v>0</v>
          </cell>
          <cell r="EE163">
            <v>0</v>
          </cell>
          <cell r="EF163">
            <v>0</v>
          </cell>
          <cell r="EG163">
            <v>0</v>
          </cell>
          <cell r="EH163">
            <v>0</v>
          </cell>
          <cell r="EI163">
            <v>0</v>
          </cell>
          <cell r="EJ163">
            <v>0</v>
          </cell>
          <cell r="EK163">
            <v>0</v>
          </cell>
          <cell r="EL163">
            <v>0</v>
          </cell>
          <cell r="EM163">
            <v>0</v>
          </cell>
          <cell r="EN163">
            <v>0</v>
          </cell>
          <cell r="EO163">
            <v>0</v>
          </cell>
        </row>
        <row r="164">
          <cell r="A164" t="str">
            <v>MKTO_FCF_PS</v>
          </cell>
          <cell r="B164" t="str">
            <v>FCF/Share</v>
          </cell>
          <cell r="C164">
            <v>1</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t="e">
            <v>#DIV/0!</v>
          </cell>
          <cell r="AR164" t="e">
            <v>#DIV/0!</v>
          </cell>
          <cell r="AS164" t="e">
            <v>#DIV/0!</v>
          </cell>
          <cell r="AT164" t="e">
            <v>#DIV/0!</v>
          </cell>
          <cell r="AU164">
            <v>1.0172357732907433E-2</v>
          </cell>
          <cell r="AV164">
            <v>-2.6738111441120573E-2</v>
          </cell>
          <cell r="AW164">
            <v>0.15420300355224395</v>
          </cell>
          <cell r="AX164">
            <v>-2.0021275386393622</v>
          </cell>
          <cell r="AY164">
            <v>3.5478692600887318E-2</v>
          </cell>
          <cell r="AZ164">
            <v>0.17585746763287244</v>
          </cell>
          <cell r="BA164">
            <v>8.9136784913953937E-2</v>
          </cell>
          <cell r="BB164">
            <v>8.5716986722008656E-2</v>
          </cell>
          <cell r="BC164">
            <v>1.0839346715009583</v>
          </cell>
          <cell r="BD164">
            <v>9.3882926531874647E-2</v>
          </cell>
          <cell r="BE164">
            <v>0.45700041349615722</v>
          </cell>
          <cell r="BF164">
            <v>-0.62687728512049645</v>
          </cell>
          <cell r="BG164">
            <v>0.68866975828110388</v>
          </cell>
          <cell r="BH164">
            <v>-0.15973091484578064</v>
          </cell>
          <cell r="BI164">
            <v>0.15295917066971793</v>
          </cell>
          <cell r="BJ164">
            <v>-0.19261747791983053</v>
          </cell>
          <cell r="BK164">
            <v>0.81553444185930291</v>
          </cell>
          <cell r="BL164">
            <v>0.2837127797684596</v>
          </cell>
          <cell r="BM164">
            <v>0.21210864761176579</v>
          </cell>
          <cell r="BN164">
            <v>0.39948456092552043</v>
          </cell>
          <cell r="BO164">
            <v>0.97601861493871112</v>
          </cell>
          <cell r="BP164">
            <v>0.38061342990493985</v>
          </cell>
          <cell r="BQ164">
            <v>0.95848113926064316</v>
          </cell>
          <cell r="BR164">
            <v>1.153543978187543</v>
          </cell>
          <cell r="BS164">
            <v>0.47620069655880082</v>
          </cell>
          <cell r="BT164">
            <v>1.1030208966328712</v>
          </cell>
          <cell r="BU164">
            <v>1.0680060744161788</v>
          </cell>
          <cell r="BV164">
            <v>1.4252579830619432</v>
          </cell>
          <cell r="BW164">
            <v>0.64993022094831343</v>
          </cell>
          <cell r="BX164">
            <v>1.2435793741253551</v>
          </cell>
          <cell r="BY164">
            <v>1.1929548761381505</v>
          </cell>
          <cell r="BZ164">
            <v>1.4874909468285318</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0.48928053618521072</v>
          </cell>
          <cell r="CQ164">
            <v>1.7108404301650486</v>
          </cell>
          <cell r="CR164">
            <v>3.4686571622918367</v>
          </cell>
          <cell r="CS164">
            <v>4.072485650669794</v>
          </cell>
          <cell r="CT164">
            <v>4.2462151750593069</v>
          </cell>
          <cell r="CU164">
            <v>0</v>
          </cell>
          <cell r="CV164">
            <v>0</v>
          </cell>
          <cell r="CW164">
            <v>0</v>
          </cell>
          <cell r="CX164">
            <v>0</v>
          </cell>
          <cell r="CY164">
            <v>0</v>
          </cell>
          <cell r="CZ164">
            <v>0</v>
          </cell>
          <cell r="DA164">
            <v>0</v>
          </cell>
          <cell r="DB164">
            <v>0</v>
          </cell>
          <cell r="DC164">
            <v>0</v>
          </cell>
          <cell r="DD164">
            <v>0</v>
          </cell>
          <cell r="DE164">
            <v>0</v>
          </cell>
          <cell r="DF164">
            <v>0</v>
          </cell>
          <cell r="DG164">
            <v>-1.7016545934916487</v>
          </cell>
          <cell r="DH164">
            <v>0.38618993186972239</v>
          </cell>
          <cell r="DI164">
            <v>1.0079407264084936</v>
          </cell>
          <cell r="DJ164">
            <v>0.48928053618521072</v>
          </cell>
          <cell r="DK164">
            <v>0</v>
          </cell>
          <cell r="DL164">
            <v>0</v>
          </cell>
          <cell r="DM164">
            <v>0</v>
          </cell>
          <cell r="DN164">
            <v>0</v>
          </cell>
          <cell r="DO164">
            <v>0</v>
          </cell>
          <cell r="DP164">
            <v>0</v>
          </cell>
          <cell r="DQ164">
            <v>0</v>
          </cell>
          <cell r="DR164">
            <v>0</v>
          </cell>
          <cell r="DS164">
            <v>0</v>
          </cell>
          <cell r="DT164">
            <v>0</v>
          </cell>
          <cell r="DU164">
            <v>0</v>
          </cell>
          <cell r="DV164">
            <v>0</v>
          </cell>
          <cell r="DW164">
            <v>0</v>
          </cell>
          <cell r="DX164">
            <v>0</v>
          </cell>
          <cell r="DY164">
            <v>0</v>
          </cell>
          <cell r="DZ164">
            <v>0</v>
          </cell>
          <cell r="EA164">
            <v>0</v>
          </cell>
          <cell r="EB164">
            <v>0</v>
          </cell>
          <cell r="EC164">
            <v>0</v>
          </cell>
          <cell r="ED164">
            <v>0</v>
          </cell>
          <cell r="EE164">
            <v>0</v>
          </cell>
          <cell r="EF164">
            <v>0</v>
          </cell>
          <cell r="EG164">
            <v>0</v>
          </cell>
          <cell r="EH164">
            <v>0</v>
          </cell>
          <cell r="EI164">
            <v>0</v>
          </cell>
          <cell r="EJ164">
            <v>0</v>
          </cell>
          <cell r="EK164">
            <v>0</v>
          </cell>
          <cell r="EL164">
            <v>0</v>
          </cell>
          <cell r="EM164">
            <v>0</v>
          </cell>
          <cell r="EN164">
            <v>0</v>
          </cell>
          <cell r="EO164">
            <v>0</v>
          </cell>
        </row>
        <row r="184">
          <cell r="A184" t="str">
            <v>MKTO_DSO</v>
          </cell>
          <cell r="B184" t="str">
            <v>DSO (based on recognized rev.)</v>
          </cell>
          <cell r="C184">
            <v>2</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56.382777970899333</v>
          </cell>
          <cell r="AY184">
            <v>54.345351598802196</v>
          </cell>
          <cell r="AZ184">
            <v>62.737349397590364</v>
          </cell>
          <cell r="BA184">
            <v>51.264157283176914</v>
          </cell>
          <cell r="BB184">
            <v>44.663534572832305</v>
          </cell>
          <cell r="BC184">
            <v>45.184121859867417</v>
          </cell>
          <cell r="BD184">
            <v>55.722874278991014</v>
          </cell>
          <cell r="BE184">
            <v>43.54264764223862</v>
          </cell>
          <cell r="BF184">
            <v>44.311517576450413</v>
          </cell>
          <cell r="BG184">
            <v>45.284463342524006</v>
          </cell>
          <cell r="BH184">
            <v>50.688874470055381</v>
          </cell>
          <cell r="BI184">
            <v>44.955101071046727</v>
          </cell>
          <cell r="BJ184">
            <v>40.895742100653507</v>
          </cell>
          <cell r="BK184">
            <v>41.74118637527625</v>
          </cell>
          <cell r="BL184">
            <v>54.45336292324933</v>
          </cell>
          <cell r="BM184">
            <v>43.275877703304332</v>
          </cell>
          <cell r="BN184">
            <v>40.361463402334785</v>
          </cell>
          <cell r="BO184">
            <v>44.855490385086668</v>
          </cell>
          <cell r="BP184">
            <v>62.063435180712865</v>
          </cell>
          <cell r="BQ184">
            <v>40</v>
          </cell>
          <cell r="BR184">
            <v>40</v>
          </cell>
          <cell r="BS184">
            <v>40</v>
          </cell>
          <cell r="BT184">
            <v>60</v>
          </cell>
          <cell r="BU184">
            <v>42</v>
          </cell>
          <cell r="BV184">
            <v>40</v>
          </cell>
          <cell r="BW184">
            <v>40</v>
          </cell>
          <cell r="BX184">
            <v>60</v>
          </cell>
          <cell r="BY184">
            <v>42</v>
          </cell>
          <cell r="BZ184">
            <v>40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v>0</v>
          </cell>
          <cell r="DU184">
            <v>0</v>
          </cell>
          <cell r="DV184">
            <v>0</v>
          </cell>
          <cell r="DW184">
            <v>0</v>
          </cell>
          <cell r="DX184">
            <v>0</v>
          </cell>
          <cell r="DY184">
            <v>0</v>
          </cell>
          <cell r="DZ184">
            <v>0</v>
          </cell>
          <cell r="EA184">
            <v>0</v>
          </cell>
          <cell r="EB184">
            <v>0</v>
          </cell>
          <cell r="EC184">
            <v>0</v>
          </cell>
          <cell r="ED184">
            <v>0</v>
          </cell>
          <cell r="EE184">
            <v>0</v>
          </cell>
          <cell r="EF184">
            <v>0</v>
          </cell>
          <cell r="EG184">
            <v>0</v>
          </cell>
          <cell r="EH184">
            <v>0</v>
          </cell>
          <cell r="EI184">
            <v>0</v>
          </cell>
          <cell r="EJ184">
            <v>0</v>
          </cell>
          <cell r="EK184">
            <v>0</v>
          </cell>
          <cell r="EL184">
            <v>0</v>
          </cell>
          <cell r="EM184">
            <v>0</v>
          </cell>
          <cell r="EN184">
            <v>0</v>
          </cell>
          <cell r="EO184">
            <v>0</v>
          </cell>
        </row>
        <row r="190">
          <cell r="A190" t="str">
            <v>MKTO_DEF_REV</v>
          </cell>
          <cell r="B190" t="str">
            <v>Deferred Revenues</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185.018</v>
          </cell>
          <cell r="AY190">
            <v>177.04599999999999</v>
          </cell>
          <cell r="AZ190">
            <v>191.54</v>
          </cell>
          <cell r="BA190">
            <v>194.02500000000001</v>
          </cell>
          <cell r="BB190">
            <v>190.57399999999998</v>
          </cell>
          <cell r="BC190">
            <v>181.56</v>
          </cell>
          <cell r="BD190">
            <v>200.41500000000002</v>
          </cell>
          <cell r="BE190">
            <v>204.75899999999999</v>
          </cell>
          <cell r="BF190">
            <v>221.274</v>
          </cell>
          <cell r="BG190">
            <v>214.97800000000001</v>
          </cell>
          <cell r="BH190">
            <v>233.87199999999999</v>
          </cell>
          <cell r="BI190">
            <v>234.53</v>
          </cell>
          <cell r="BJ190">
            <v>237.33500000000001</v>
          </cell>
          <cell r="BK190">
            <v>228.99799999999999</v>
          </cell>
          <cell r="BL190">
            <v>256.661</v>
          </cell>
          <cell r="BM190">
            <v>254.74599999999998</v>
          </cell>
          <cell r="BN190">
            <v>250.94</v>
          </cell>
          <cell r="BO190">
            <v>244.78200000000001</v>
          </cell>
          <cell r="BP190">
            <v>286.88299999999998</v>
          </cell>
          <cell r="BQ190">
            <v>288.31741499999993</v>
          </cell>
          <cell r="BR190">
            <v>302.73328574999999</v>
          </cell>
          <cell r="BS190">
            <v>293.65128717749997</v>
          </cell>
          <cell r="BT190">
            <v>337.69898025412493</v>
          </cell>
          <cell r="BU190">
            <v>341.07597005666622</v>
          </cell>
          <cell r="BV190">
            <v>358.1297685594995</v>
          </cell>
          <cell r="BW190">
            <v>347.3858755027145</v>
          </cell>
          <cell r="BX190">
            <v>399.49375682812166</v>
          </cell>
          <cell r="BY190">
            <v>403.48869439640288</v>
          </cell>
          <cell r="BZ190">
            <v>423.66312911622305</v>
          </cell>
          <cell r="CA190">
            <v>0</v>
          </cell>
          <cell r="CB190">
            <v>0</v>
          </cell>
          <cell r="CC190">
            <v>0</v>
          </cell>
          <cell r="CD190">
            <v>0</v>
          </cell>
          <cell r="CE190">
            <v>0</v>
          </cell>
          <cell r="CF190">
            <v>0</v>
          </cell>
          <cell r="CG190">
            <v>0</v>
          </cell>
          <cell r="CH190">
            <v>0</v>
          </cell>
          <cell r="CI190">
            <v>0</v>
          </cell>
          <cell r="CJ190">
            <v>0</v>
          </cell>
          <cell r="CK190">
            <v>0</v>
          </cell>
          <cell r="CL190">
            <v>0</v>
          </cell>
          <cell r="CM190">
            <v>185.018</v>
          </cell>
          <cell r="CN190">
            <v>190.57399999999998</v>
          </cell>
          <cell r="CO190">
            <v>221.274</v>
          </cell>
          <cell r="CP190">
            <v>237.33500000000001</v>
          </cell>
          <cell r="CQ190">
            <v>250.94</v>
          </cell>
          <cell r="CR190">
            <v>302.73328574999999</v>
          </cell>
          <cell r="CS190">
            <v>358.1297685594995</v>
          </cell>
          <cell r="CT190">
            <v>423.66312911622305</v>
          </cell>
          <cell r="CU190">
            <v>0</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0</v>
          </cell>
          <cell r="DM190">
            <v>0</v>
          </cell>
          <cell r="DN190">
            <v>0</v>
          </cell>
          <cell r="DO190">
            <v>0</v>
          </cell>
          <cell r="DP190">
            <v>0</v>
          </cell>
          <cell r="DQ190">
            <v>0</v>
          </cell>
          <cell r="DR190">
            <v>0</v>
          </cell>
          <cell r="DS190">
            <v>0</v>
          </cell>
          <cell r="DT190">
            <v>0</v>
          </cell>
          <cell r="DU190">
            <v>0</v>
          </cell>
          <cell r="DV190">
            <v>0</v>
          </cell>
          <cell r="DW190">
            <v>0</v>
          </cell>
          <cell r="DX190">
            <v>0</v>
          </cell>
          <cell r="DY190">
            <v>0</v>
          </cell>
          <cell r="DZ190">
            <v>0</v>
          </cell>
          <cell r="EA190">
            <v>0</v>
          </cell>
          <cell r="EB190">
            <v>0</v>
          </cell>
          <cell r="EC190">
            <v>0</v>
          </cell>
          <cell r="ED190">
            <v>0</v>
          </cell>
          <cell r="EE190">
            <v>0</v>
          </cell>
          <cell r="EF190">
            <v>0</v>
          </cell>
          <cell r="EG190">
            <v>0</v>
          </cell>
          <cell r="EH190">
            <v>0</v>
          </cell>
          <cell r="EI190">
            <v>0</v>
          </cell>
          <cell r="EJ190">
            <v>0</v>
          </cell>
          <cell r="EK190">
            <v>0</v>
          </cell>
          <cell r="EL190">
            <v>0</v>
          </cell>
          <cell r="EM190">
            <v>0</v>
          </cell>
          <cell r="EN190">
            <v>0</v>
          </cell>
          <cell r="EO190">
            <v>0</v>
          </cell>
        </row>
        <row r="191">
          <cell r="A191" t="str">
            <v>MKTO_BOOKINGS</v>
          </cell>
          <cell r="B191" t="str">
            <v>Bookings</v>
          </cell>
          <cell r="C191">
            <v>1</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6.0990000000000002</v>
          </cell>
          <cell r="AR191">
            <v>7.4329999999999998</v>
          </cell>
          <cell r="AS191">
            <v>8.7140000000000004</v>
          </cell>
          <cell r="AT191">
            <v>10.146000000000001</v>
          </cell>
          <cell r="AU191">
            <v>94.706000000000003</v>
          </cell>
          <cell r="AV191">
            <v>113.65799999999999</v>
          </cell>
          <cell r="AW191">
            <v>123.82400000000001</v>
          </cell>
          <cell r="AX191">
            <v>305.84000000000003</v>
          </cell>
          <cell r="AY191">
            <v>108.23999999999998</v>
          </cell>
          <cell r="AZ191">
            <v>140.23899999999998</v>
          </cell>
          <cell r="BA191">
            <v>130.45800000000003</v>
          </cell>
          <cell r="BB191">
            <v>131.49599999999995</v>
          </cell>
          <cell r="BC191">
            <v>118.60800000000002</v>
          </cell>
          <cell r="BD191">
            <v>158.24300000000002</v>
          </cell>
          <cell r="BE191">
            <v>150.54199999999994</v>
          </cell>
          <cell r="BF191">
            <v>173.97</v>
          </cell>
          <cell r="BG191">
            <v>144.21899999999999</v>
          </cell>
          <cell r="BH191">
            <v>177.63699999999997</v>
          </cell>
          <cell r="BI191">
            <v>160.595</v>
          </cell>
          <cell r="BJ191">
            <v>180.92100000000002</v>
          </cell>
          <cell r="BK191">
            <v>162.70499999999998</v>
          </cell>
          <cell r="BL191">
            <v>209.70699999999999</v>
          </cell>
          <cell r="BM191">
            <v>181.14799999999997</v>
          </cell>
          <cell r="BN191">
            <v>194.49900000000002</v>
          </cell>
          <cell r="BO191">
            <v>177.46300000000002</v>
          </cell>
          <cell r="BP191">
            <v>234.64399999999998</v>
          </cell>
          <cell r="BQ191">
            <v>197.34141499999993</v>
          </cell>
          <cell r="BR191">
            <v>227.95900075000009</v>
          </cell>
          <cell r="BS191">
            <v>192.43312142749997</v>
          </cell>
          <cell r="BT191">
            <v>254.87009307662498</v>
          </cell>
          <cell r="BU191">
            <v>218.14948980254127</v>
          </cell>
          <cell r="BV191">
            <v>249.98758215283328</v>
          </cell>
          <cell r="BW191">
            <v>212.513107143215</v>
          </cell>
          <cell r="BX191">
            <v>286.01717232540716</v>
          </cell>
          <cell r="BY191">
            <v>242.17839656828122</v>
          </cell>
          <cell r="BZ191">
            <v>279.68433105382013</v>
          </cell>
          <cell r="CA191">
            <v>0</v>
          </cell>
          <cell r="CB191">
            <v>0</v>
          </cell>
          <cell r="CC191">
            <v>0</v>
          </cell>
          <cell r="CD191">
            <v>0</v>
          </cell>
          <cell r="CE191">
            <v>0</v>
          </cell>
          <cell r="CF191">
            <v>0</v>
          </cell>
          <cell r="CG191">
            <v>0</v>
          </cell>
          <cell r="CH191">
            <v>0</v>
          </cell>
          <cell r="CI191">
            <v>0</v>
          </cell>
          <cell r="CJ191">
            <v>0</v>
          </cell>
          <cell r="CK191">
            <v>0</v>
          </cell>
          <cell r="CL191">
            <v>0</v>
          </cell>
          <cell r="CM191">
            <v>638.02800000000002</v>
          </cell>
          <cell r="CN191">
            <v>510.43299999999994</v>
          </cell>
          <cell r="CO191">
            <v>601.36300000000006</v>
          </cell>
          <cell r="CP191">
            <v>663.37199999999996</v>
          </cell>
          <cell r="CQ191">
            <v>748.05899999999997</v>
          </cell>
          <cell r="CR191">
            <v>837.40741574999993</v>
          </cell>
          <cell r="CS191">
            <v>915.44028645949959</v>
          </cell>
          <cell r="CT191">
            <v>1020.3930070907235</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0</v>
          </cell>
          <cell r="DM191">
            <v>0</v>
          </cell>
          <cell r="DN191">
            <v>0</v>
          </cell>
          <cell r="DO191">
            <v>0</v>
          </cell>
          <cell r="DP191">
            <v>0</v>
          </cell>
          <cell r="DQ191">
            <v>0</v>
          </cell>
          <cell r="DR191">
            <v>0</v>
          </cell>
          <cell r="DS191">
            <v>0</v>
          </cell>
          <cell r="DT191">
            <v>0</v>
          </cell>
          <cell r="DU191">
            <v>0</v>
          </cell>
          <cell r="DV191">
            <v>0</v>
          </cell>
          <cell r="DW191">
            <v>0</v>
          </cell>
          <cell r="DX191">
            <v>0</v>
          </cell>
          <cell r="DY191">
            <v>0</v>
          </cell>
          <cell r="DZ191">
            <v>0</v>
          </cell>
          <cell r="EA191">
            <v>0</v>
          </cell>
          <cell r="EB191">
            <v>0</v>
          </cell>
          <cell r="EC191">
            <v>0</v>
          </cell>
          <cell r="ED191">
            <v>0</v>
          </cell>
          <cell r="EE191">
            <v>0</v>
          </cell>
          <cell r="EF191">
            <v>0</v>
          </cell>
          <cell r="EG191">
            <v>0</v>
          </cell>
          <cell r="EH191">
            <v>0</v>
          </cell>
          <cell r="EI191">
            <v>0</v>
          </cell>
          <cell r="EJ191">
            <v>0</v>
          </cell>
          <cell r="EK191">
            <v>0</v>
          </cell>
          <cell r="EL191">
            <v>0</v>
          </cell>
          <cell r="EM191">
            <v>0</v>
          </cell>
          <cell r="EN191">
            <v>0</v>
          </cell>
          <cell r="EO191">
            <v>0</v>
          </cell>
        </row>
        <row r="193">
          <cell r="A193" t="str">
            <v>MKTO_CFO</v>
          </cell>
          <cell r="B193" t="str">
            <v>Cash Flow From Operations</v>
          </cell>
          <cell r="C193">
            <v>1</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-4.1949999999999994</v>
          </cell>
          <cell r="AR193">
            <v>-4.9650000000000016</v>
          </cell>
          <cell r="AS193">
            <v>-5.8000000000000007</v>
          </cell>
          <cell r="AT193">
            <v>-7.6459999999999999</v>
          </cell>
          <cell r="AU193">
            <v>3.9850000000000065</v>
          </cell>
          <cell r="AV193">
            <v>6.9639999999999969</v>
          </cell>
          <cell r="AW193">
            <v>28.720000000000002</v>
          </cell>
          <cell r="AX193">
            <v>29.021999999999998</v>
          </cell>
          <cell r="AY193">
            <v>12.939999999999991</v>
          </cell>
          <cell r="AZ193">
            <v>24.532000000000011</v>
          </cell>
          <cell r="BA193">
            <v>40.49799999999999</v>
          </cell>
          <cell r="BB193">
            <v>29.274000000000015</v>
          </cell>
          <cell r="BC193">
            <v>13.264000000000003</v>
          </cell>
          <cell r="BD193">
            <v>31.84</v>
          </cell>
          <cell r="BE193">
            <v>40.388000000000005</v>
          </cell>
          <cell r="BF193">
            <v>16.784999999999997</v>
          </cell>
          <cell r="BG193">
            <v>4.2309999999999945</v>
          </cell>
          <cell r="BH193">
            <v>43.332999999999998</v>
          </cell>
          <cell r="BI193">
            <v>37.727000000000011</v>
          </cell>
          <cell r="BJ193">
            <v>29.048999999999992</v>
          </cell>
          <cell r="BK193">
            <v>6.804000000000002</v>
          </cell>
          <cell r="BL193">
            <v>35.283000000000001</v>
          </cell>
          <cell r="BM193">
            <v>58.057000000000016</v>
          </cell>
          <cell r="BN193">
            <v>53.483999999999995</v>
          </cell>
          <cell r="BO193">
            <v>12.763999999999982</v>
          </cell>
          <cell r="BP193">
            <v>41.786999999999992</v>
          </cell>
          <cell r="BQ193">
            <v>88.004382998260795</v>
          </cell>
          <cell r="BR193">
            <v>45.108811585961377</v>
          </cell>
          <cell r="BS193">
            <v>28.622864123300346</v>
          </cell>
          <cell r="BT193">
            <v>37.537910850260019</v>
          </cell>
          <cell r="BU193">
            <v>88.713974496531065</v>
          </cell>
          <cell r="BV193">
            <v>69.166935041100103</v>
          </cell>
          <cell r="BW193">
            <v>32.676732384651878</v>
          </cell>
          <cell r="BX193">
            <v>45.018909951369082</v>
          </cell>
          <cell r="BY193">
            <v>99.065067093454985</v>
          </cell>
          <cell r="BZ193">
            <v>76.119679049070186</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102.277</v>
          </cell>
          <cell r="CP193">
            <v>114.33999999999999</v>
          </cell>
          <cell r="CQ193">
            <v>153.62800000000001</v>
          </cell>
          <cell r="CR193">
            <v>187.66419458422214</v>
          </cell>
          <cell r="CS193">
            <v>224.04168451119153</v>
          </cell>
          <cell r="CT193">
            <v>252.88038847854614</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v>0</v>
          </cell>
          <cell r="DU193">
            <v>0</v>
          </cell>
          <cell r="DV193">
            <v>0</v>
          </cell>
          <cell r="DW193">
            <v>0</v>
          </cell>
          <cell r="DX193">
            <v>0</v>
          </cell>
          <cell r="DY193">
            <v>0</v>
          </cell>
          <cell r="DZ193">
            <v>0</v>
          </cell>
          <cell r="EA193">
            <v>0</v>
          </cell>
          <cell r="EB193">
            <v>0</v>
          </cell>
          <cell r="EC193">
            <v>0</v>
          </cell>
          <cell r="ED193">
            <v>0</v>
          </cell>
          <cell r="EE193">
            <v>0</v>
          </cell>
          <cell r="EF193">
            <v>0</v>
          </cell>
          <cell r="EG193">
            <v>0</v>
          </cell>
          <cell r="EH193">
            <v>0</v>
          </cell>
          <cell r="EI193">
            <v>0</v>
          </cell>
          <cell r="EJ193">
            <v>0</v>
          </cell>
          <cell r="EK193">
            <v>0</v>
          </cell>
          <cell r="EL193">
            <v>0</v>
          </cell>
          <cell r="EM193">
            <v>0</v>
          </cell>
          <cell r="EN193">
            <v>0</v>
          </cell>
          <cell r="EO193">
            <v>0</v>
          </cell>
        </row>
        <row r="194">
          <cell r="A194" t="str">
            <v>MKTO_CFO_PS</v>
          </cell>
          <cell r="B194" t="str">
            <v xml:space="preserve">     Cash Flow From Ops/Share</v>
          </cell>
          <cell r="C194">
            <v>1</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0.15786763533256304</v>
          </cell>
          <cell r="AW194">
            <v>0.65017333276948763</v>
          </cell>
          <cell r="AX194">
            <v>0.65444626240084003</v>
          </cell>
          <cell r="AY194">
            <v>0.29095966073653828</v>
          </cell>
          <cell r="AZ194">
            <v>0.55080505282133363</v>
          </cell>
          <cell r="BA194">
            <v>0.90527808777942742</v>
          </cell>
          <cell r="BB194">
            <v>0.65074541849572609</v>
          </cell>
          <cell r="BC194">
            <v>0.29392182995589516</v>
          </cell>
          <cell r="BD194">
            <v>0.70511187284157761</v>
          </cell>
          <cell r="BE194">
            <v>0.89361342749536654</v>
          </cell>
          <cell r="BF194">
            <v>0.36989726067773943</v>
          </cell>
          <cell r="BG194">
            <v>9.2928417575985717E-2</v>
          </cell>
          <cell r="BH194">
            <v>0.95071572441420549</v>
          </cell>
          <cell r="BI194">
            <v>0.82704121145457909</v>
          </cell>
          <cell r="BJ194">
            <v>0.63471648096000211</v>
          </cell>
          <cell r="BK194">
            <v>0.14801645227666993</v>
          </cell>
          <cell r="BL194">
            <v>0.76563934400616451</v>
          </cell>
          <cell r="BM194">
            <v>1.2577351676851689</v>
          </cell>
          <cell r="BN194">
            <v>1.1558602214802285</v>
          </cell>
          <cell r="BO194">
            <v>0.27448422867254385</v>
          </cell>
          <cell r="BP194">
            <v>0.89551603567757132</v>
          </cell>
          <cell r="BQ194">
            <v>1.8659828985303126</v>
          </cell>
          <cell r="BR194">
            <v>0.94642181102493128</v>
          </cell>
          <cell r="BS194">
            <v>0.5942979582654877</v>
          </cell>
          <cell r="BT194">
            <v>0.77139328038494415</v>
          </cell>
          <cell r="BU194">
            <v>1.8045056451998642</v>
          </cell>
          <cell r="BV194">
            <v>1.3927402265927895</v>
          </cell>
          <cell r="BW194">
            <v>0.65141778742267309</v>
          </cell>
          <cell r="BX194">
            <v>0.8886045267180871</v>
          </cell>
          <cell r="BY194">
            <v>1.9362834865935252</v>
          </cell>
          <cell r="BZ194">
            <v>1.4734034753203236</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2.5054018344047724</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row>
        <row r="262">
          <cell r="A262" t="str">
            <v>MKTO_ADJ_GM_PC</v>
          </cell>
          <cell r="B262" t="str">
            <v>Gross Margin</v>
          </cell>
          <cell r="C262">
            <v>2</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0.48007870142646331</v>
          </cell>
          <cell r="AR262">
            <v>0.52697430378043852</v>
          </cell>
          <cell r="AS262">
            <v>0.55864126692678451</v>
          </cell>
          <cell r="AT262">
            <v>0.58150995466193578</v>
          </cell>
          <cell r="AU262">
            <v>0.59335205794775414</v>
          </cell>
          <cell r="AV262">
            <v>0.59801333826039527</v>
          </cell>
          <cell r="AW262">
            <v>0.60909032174699584</v>
          </cell>
          <cell r="AX262">
            <v>0.5903891675357138</v>
          </cell>
          <cell r="AY262">
            <v>0.59912917770970286</v>
          </cell>
          <cell r="AZ262">
            <v>0.60389677521969065</v>
          </cell>
          <cell r="BA262">
            <v>0.61226977565580243</v>
          </cell>
          <cell r="BB262">
            <v>0.55749294167339769</v>
          </cell>
          <cell r="BC262">
            <v>0.55323533560044502</v>
          </cell>
          <cell r="BD262">
            <v>0.58093236146583638</v>
          </cell>
          <cell r="BE262">
            <v>0.5789545684619487</v>
          </cell>
          <cell r="BF262">
            <v>0.56494236448509094</v>
          </cell>
          <cell r="BG262">
            <v>0.58358967544762974</v>
          </cell>
          <cell r="BH262">
            <v>0.59386555627649729</v>
          </cell>
          <cell r="BI262">
            <v>0.59151415869998814</v>
          </cell>
          <cell r="BJ262">
            <v>0.56669249253295606</v>
          </cell>
          <cell r="BK262">
            <v>0.59601150594590802</v>
          </cell>
          <cell r="BL262">
            <v>0.60028894113511011</v>
          </cell>
          <cell r="BM262">
            <v>0.60384676313618801</v>
          </cell>
          <cell r="BN262">
            <v>0.58852273013791878</v>
          </cell>
          <cell r="BO262">
            <v>0.59809607833526657</v>
          </cell>
          <cell r="BP262">
            <v>0.60553227071355487</v>
          </cell>
          <cell r="BQ262">
            <v>0.60855783611611625</v>
          </cell>
          <cell r="BR262">
            <v>0.59517237243829857</v>
          </cell>
          <cell r="BS262">
            <v>0.59825795553207117</v>
          </cell>
          <cell r="BT262">
            <v>0.59439510459989076</v>
          </cell>
          <cell r="BU262">
            <v>0.59426156281646858</v>
          </cell>
          <cell r="BV262">
            <v>0.58807518498079403</v>
          </cell>
          <cell r="BW262">
            <v>0.59568404810538156</v>
          </cell>
          <cell r="BX262">
            <v>0.59228181913047651</v>
          </cell>
          <cell r="BY262">
            <v>0.58894972116850497</v>
          </cell>
          <cell r="BZ262">
            <v>0.59203281754041859</v>
          </cell>
          <cell r="CA262">
            <v>0</v>
          </cell>
          <cell r="CB262">
            <v>0</v>
          </cell>
          <cell r="CC262">
            <v>0</v>
          </cell>
          <cell r="CD262">
            <v>0</v>
          </cell>
          <cell r="CE262">
            <v>0</v>
          </cell>
          <cell r="CF262">
            <v>0</v>
          </cell>
          <cell r="CG262">
            <v>0</v>
          </cell>
          <cell r="CH262">
            <v>0</v>
          </cell>
          <cell r="CI262">
            <v>0</v>
          </cell>
          <cell r="CJ262">
            <v>0</v>
          </cell>
          <cell r="CK262">
            <v>0</v>
          </cell>
          <cell r="CL262">
            <v>0</v>
          </cell>
          <cell r="CM262">
            <v>0.59803315600097129</v>
          </cell>
          <cell r="CN262">
            <v>0.59251857383085382</v>
          </cell>
          <cell r="CO262">
            <v>0.56981966589738597</v>
          </cell>
          <cell r="CP262">
            <v>0.58341817148171449</v>
          </cell>
          <cell r="CQ262">
            <v>0.59700267137220298</v>
          </cell>
          <cell r="CR262">
            <v>0.60173269961424958</v>
          </cell>
          <cell r="CS262">
            <v>0.5935551694480834</v>
          </cell>
          <cell r="CT262">
            <v>0.59217845570888927</v>
          </cell>
          <cell r="CU262">
            <v>0</v>
          </cell>
          <cell r="CV262">
            <v>0</v>
          </cell>
          <cell r="CW262">
            <v>0</v>
          </cell>
          <cell r="CX262">
            <v>0</v>
          </cell>
          <cell r="CY262">
            <v>0</v>
          </cell>
          <cell r="CZ262">
            <v>0</v>
          </cell>
          <cell r="DA262">
            <v>0</v>
          </cell>
          <cell r="DB262">
            <v>0</v>
          </cell>
          <cell r="DC262">
            <v>0</v>
          </cell>
          <cell r="DD262">
            <v>0</v>
          </cell>
          <cell r="DE262">
            <v>0</v>
          </cell>
          <cell r="DF262">
            <v>0</v>
          </cell>
          <cell r="DG262" t="str">
            <v>NA</v>
          </cell>
          <cell r="DH262" t="str">
            <v>NA</v>
          </cell>
          <cell r="DI262" t="str">
            <v>NA</v>
          </cell>
          <cell r="DJ262" t="str">
            <v>NA</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cell r="EI262">
            <v>0</v>
          </cell>
          <cell r="EJ262">
            <v>0</v>
          </cell>
          <cell r="EK262">
            <v>0</v>
          </cell>
          <cell r="EL262">
            <v>0</v>
          </cell>
          <cell r="EM262">
            <v>0</v>
          </cell>
          <cell r="EN262">
            <v>0</v>
          </cell>
          <cell r="EO262">
            <v>0</v>
          </cell>
        </row>
        <row r="265">
          <cell r="A265" t="str">
            <v>MKTO_ADJ_SM_PC</v>
          </cell>
          <cell r="B265" t="str">
            <v>Sales and marketing</v>
          </cell>
          <cell r="C265">
            <v>2</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0.64174454828660432</v>
          </cell>
          <cell r="AR265">
            <v>0.6960850262343603</v>
          </cell>
          <cell r="AS265">
            <v>0.70782648611429877</v>
          </cell>
          <cell r="AT265">
            <v>0.72176227084565348</v>
          </cell>
          <cell r="AU265">
            <v>0.21075750216459355</v>
          </cell>
          <cell r="AV265">
            <v>0.20781643175139453</v>
          </cell>
          <cell r="AW265">
            <v>0.20646239824266699</v>
          </cell>
          <cell r="AX265">
            <v>0.19487345019946697</v>
          </cell>
          <cell r="AY265">
            <v>0.20388600144563385</v>
          </cell>
          <cell r="AZ265">
            <v>0.1898922422362718</v>
          </cell>
          <cell r="BA265">
            <v>0.18223375243215365</v>
          </cell>
          <cell r="BB265">
            <v>0.18058941658577074</v>
          </cell>
          <cell r="BC265">
            <v>0.19310933851530301</v>
          </cell>
          <cell r="BD265">
            <v>0.18541768301431971</v>
          </cell>
          <cell r="BE265">
            <v>0.18150727096129907</v>
          </cell>
          <cell r="BF265">
            <v>0.17901622685846752</v>
          </cell>
          <cell r="BG265">
            <v>0.18510447463707938</v>
          </cell>
          <cell r="BH265">
            <v>0.18217496204557052</v>
          </cell>
          <cell r="BI265">
            <v>0.18989352057372591</v>
          </cell>
          <cell r="BJ265">
            <v>0.18816950751195846</v>
          </cell>
          <cell r="BK265">
            <v>0.20295015259409965</v>
          </cell>
          <cell r="BL265">
            <v>0.21086660367823165</v>
          </cell>
          <cell r="BM265">
            <v>0.21651016316787117</v>
          </cell>
          <cell r="BN265">
            <v>0.19754922972189301</v>
          </cell>
          <cell r="BO265">
            <v>0.22220225355487663</v>
          </cell>
          <cell r="BP265">
            <v>0.21387430340235686</v>
          </cell>
          <cell r="BQ265">
            <v>0.215</v>
          </cell>
          <cell r="BR265">
            <v>0.2</v>
          </cell>
          <cell r="BS265">
            <v>0.215</v>
          </cell>
          <cell r="BT265">
            <v>0.21</v>
          </cell>
          <cell r="BU265">
            <v>0.21</v>
          </cell>
          <cell r="BV265">
            <v>0.19500000000000001</v>
          </cell>
          <cell r="BW265">
            <v>0.2</v>
          </cell>
          <cell r="BX265">
            <v>0.2</v>
          </cell>
          <cell r="BY265">
            <v>0.2</v>
          </cell>
          <cell r="BZ265">
            <v>0.2</v>
          </cell>
          <cell r="CA265">
            <v>0</v>
          </cell>
          <cell r="CB265">
            <v>0</v>
          </cell>
          <cell r="CC265">
            <v>0</v>
          </cell>
          <cell r="CD265">
            <v>0</v>
          </cell>
          <cell r="CE265">
            <v>0</v>
          </cell>
          <cell r="CF265">
            <v>0</v>
          </cell>
          <cell r="CG265">
            <v>0</v>
          </cell>
          <cell r="CH265">
            <v>0</v>
          </cell>
          <cell r="CI265">
            <v>0</v>
          </cell>
          <cell r="CJ265">
            <v>0</v>
          </cell>
          <cell r="CK265">
            <v>0</v>
          </cell>
          <cell r="CL265">
            <v>0</v>
          </cell>
          <cell r="CM265">
            <v>0.20460916977550164</v>
          </cell>
          <cell r="CN265">
            <v>0.18868556103763889</v>
          </cell>
          <cell r="CO265">
            <v>0.18436975938513622</v>
          </cell>
          <cell r="CP265">
            <v>0.18641271351792263</v>
          </cell>
          <cell r="CQ265">
            <v>0.20683392016382235</v>
          </cell>
          <cell r="CR265">
            <v>0.21233023265505677</v>
          </cell>
          <cell r="CS265">
            <v>0.20710894823705764</v>
          </cell>
          <cell r="CT265">
            <v>0.2</v>
          </cell>
          <cell r="CU265">
            <v>0</v>
          </cell>
          <cell r="CV265">
            <v>0</v>
          </cell>
          <cell r="CW265">
            <v>0</v>
          </cell>
          <cell r="CX265">
            <v>0</v>
          </cell>
          <cell r="CY265">
            <v>0</v>
          </cell>
          <cell r="CZ265">
            <v>0</v>
          </cell>
          <cell r="DA265">
            <v>0</v>
          </cell>
          <cell r="DB265">
            <v>0</v>
          </cell>
          <cell r="DC265">
            <v>0</v>
          </cell>
          <cell r="DD265">
            <v>0</v>
          </cell>
          <cell r="DE265">
            <v>0</v>
          </cell>
          <cell r="DF265">
            <v>0</v>
          </cell>
          <cell r="DG265" t="str">
            <v>NA</v>
          </cell>
          <cell r="DH265" t="str">
            <v>NA</v>
          </cell>
          <cell r="DI265" t="str">
            <v>NA</v>
          </cell>
          <cell r="DJ265" t="str">
            <v>NA</v>
          </cell>
          <cell r="DK265">
            <v>0</v>
          </cell>
          <cell r="DL265">
            <v>0</v>
          </cell>
          <cell r="DM265">
            <v>0</v>
          </cell>
          <cell r="DN265">
            <v>0</v>
          </cell>
          <cell r="DO265">
            <v>0</v>
          </cell>
          <cell r="DP265">
            <v>0</v>
          </cell>
          <cell r="DQ265">
            <v>0</v>
          </cell>
          <cell r="DR265">
            <v>0</v>
          </cell>
          <cell r="DS265">
            <v>0</v>
          </cell>
          <cell r="DT265">
            <v>0</v>
          </cell>
          <cell r="DU265">
            <v>0</v>
          </cell>
          <cell r="DV265">
            <v>0</v>
          </cell>
          <cell r="DW265">
            <v>0</v>
          </cell>
          <cell r="DX265">
            <v>0</v>
          </cell>
          <cell r="DY265">
            <v>0</v>
          </cell>
          <cell r="DZ265">
            <v>0</v>
          </cell>
          <cell r="EA265">
            <v>0</v>
          </cell>
          <cell r="EB265">
            <v>0</v>
          </cell>
          <cell r="EC265">
            <v>0</v>
          </cell>
          <cell r="ED265">
            <v>0</v>
          </cell>
          <cell r="EE265">
            <v>0</v>
          </cell>
          <cell r="EF265">
            <v>0</v>
          </cell>
          <cell r="EG265">
            <v>0</v>
          </cell>
          <cell r="EH265">
            <v>0</v>
          </cell>
          <cell r="EI265">
            <v>0</v>
          </cell>
          <cell r="EJ265">
            <v>0</v>
          </cell>
          <cell r="EK265">
            <v>0</v>
          </cell>
          <cell r="EL265">
            <v>0</v>
          </cell>
          <cell r="EM265">
            <v>0</v>
          </cell>
          <cell r="EN265">
            <v>0</v>
          </cell>
          <cell r="EO265">
            <v>0</v>
          </cell>
        </row>
        <row r="266">
          <cell r="A266" t="str">
            <v>MKTO_ADJ_RD_PC</v>
          </cell>
          <cell r="B266" t="str">
            <v>Research and development</v>
          </cell>
          <cell r="C266">
            <v>2</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0.38334153139858995</v>
          </cell>
          <cell r="AR266">
            <v>0.33149468586035247</v>
          </cell>
          <cell r="AS266">
            <v>0.30973146660546247</v>
          </cell>
          <cell r="AT266">
            <v>0.28405282870096588</v>
          </cell>
          <cell r="AU266">
            <v>0.13360293962367747</v>
          </cell>
          <cell r="AV266">
            <v>0.12325573210860653</v>
          </cell>
          <cell r="AW266">
            <v>0.14718471378731099</v>
          </cell>
          <cell r="AX266">
            <v>0.1344870967207959</v>
          </cell>
          <cell r="AY266">
            <v>0.13145802498881357</v>
          </cell>
          <cell r="AZ266">
            <v>0.12263708298540699</v>
          </cell>
          <cell r="BA266">
            <v>0.12334633086666719</v>
          </cell>
          <cell r="BB266">
            <v>0.11435600643215488</v>
          </cell>
          <cell r="BC266">
            <v>0.12405384651549105</v>
          </cell>
          <cell r="BD266">
            <v>0.12412833242459895</v>
          </cell>
          <cell r="BE266">
            <v>0.12958453604016473</v>
          </cell>
          <cell r="BF266">
            <v>0.1386808929535423</v>
          </cell>
          <cell r="BG266">
            <v>0.134856990997575</v>
          </cell>
          <cell r="BH266">
            <v>0.11956432724592581</v>
          </cell>
          <cell r="BI266">
            <v>0.12139780038390117</v>
          </cell>
          <cell r="BJ266">
            <v>0.11833299647420779</v>
          </cell>
          <cell r="BK266">
            <v>0.12420341202745525</v>
          </cell>
          <cell r="BL266">
            <v>0.11546109731713212</v>
          </cell>
          <cell r="BM266">
            <v>0.11381873999661321</v>
          </cell>
          <cell r="BN266">
            <v>0.10238773606313506</v>
          </cell>
          <cell r="BO266">
            <v>0.11430609788640733</v>
          </cell>
          <cell r="BP266">
            <v>0.10804339809808718</v>
          </cell>
          <cell r="BQ266">
            <v>0.11</v>
          </cell>
          <cell r="BR266">
            <v>0.105</v>
          </cell>
          <cell r="BS266">
            <v>0.11</v>
          </cell>
          <cell r="BT266">
            <v>0.105</v>
          </cell>
          <cell r="BU266">
            <v>0.105</v>
          </cell>
          <cell r="BV266">
            <v>0.1</v>
          </cell>
          <cell r="BW266">
            <v>0.115</v>
          </cell>
          <cell r="BX266">
            <v>0.11</v>
          </cell>
          <cell r="BY266">
            <v>0.11</v>
          </cell>
          <cell r="BZ266">
            <v>0.105</v>
          </cell>
          <cell r="CA266">
            <v>0</v>
          </cell>
          <cell r="CB266">
            <v>0</v>
          </cell>
          <cell r="CC266">
            <v>0</v>
          </cell>
          <cell r="CD266">
            <v>0</v>
          </cell>
          <cell r="CE266">
            <v>0</v>
          </cell>
          <cell r="CF266">
            <v>0</v>
          </cell>
          <cell r="CG266">
            <v>0</v>
          </cell>
          <cell r="CH266">
            <v>0</v>
          </cell>
          <cell r="CI266">
            <v>0</v>
          </cell>
          <cell r="CJ266">
            <v>0</v>
          </cell>
          <cell r="CK266">
            <v>0</v>
          </cell>
          <cell r="CL266">
            <v>0</v>
          </cell>
          <cell r="CM266">
            <v>0.13495507825434319</v>
          </cell>
          <cell r="CN266">
            <v>0.12263382962582968</v>
          </cell>
          <cell r="CO266">
            <v>0.12952478082511046</v>
          </cell>
          <cell r="CP266">
            <v>0.12323442672841958</v>
          </cell>
          <cell r="CQ266">
            <v>0.11355782663039483</v>
          </cell>
          <cell r="CR266">
            <v>0.10916784127851673</v>
          </cell>
          <cell r="CS266">
            <v>0.10481734265442842</v>
          </cell>
          <cell r="CT266">
            <v>0.10981016636180201</v>
          </cell>
          <cell r="CU266">
            <v>0</v>
          </cell>
          <cell r="CV266">
            <v>0</v>
          </cell>
          <cell r="CW266">
            <v>0</v>
          </cell>
          <cell r="CX266">
            <v>0</v>
          </cell>
          <cell r="CY266">
            <v>0</v>
          </cell>
          <cell r="CZ266">
            <v>0</v>
          </cell>
          <cell r="DA266">
            <v>0</v>
          </cell>
          <cell r="DB266">
            <v>0</v>
          </cell>
          <cell r="DC266">
            <v>0</v>
          </cell>
          <cell r="DD266">
            <v>0</v>
          </cell>
          <cell r="DE266">
            <v>0</v>
          </cell>
          <cell r="DF266">
            <v>0</v>
          </cell>
          <cell r="DG266" t="str">
            <v>NA</v>
          </cell>
          <cell r="DH266" t="str">
            <v>NA</v>
          </cell>
          <cell r="DI266" t="str">
            <v>NA</v>
          </cell>
          <cell r="DJ266" t="str">
            <v>NA</v>
          </cell>
          <cell r="DK266">
            <v>0</v>
          </cell>
          <cell r="DL266">
            <v>0</v>
          </cell>
          <cell r="DM266">
            <v>0</v>
          </cell>
          <cell r="DN266">
            <v>0</v>
          </cell>
          <cell r="DO266">
            <v>0</v>
          </cell>
          <cell r="DP266">
            <v>0</v>
          </cell>
          <cell r="DQ266">
            <v>0</v>
          </cell>
          <cell r="DR266">
            <v>0</v>
          </cell>
          <cell r="DS266">
            <v>0</v>
          </cell>
          <cell r="DT266">
            <v>0</v>
          </cell>
          <cell r="DU266">
            <v>0</v>
          </cell>
          <cell r="DV266">
            <v>0</v>
          </cell>
          <cell r="DW266">
            <v>0</v>
          </cell>
          <cell r="DX266">
            <v>0</v>
          </cell>
          <cell r="DY266">
            <v>0</v>
          </cell>
          <cell r="DZ266">
            <v>0</v>
          </cell>
          <cell r="EA266">
            <v>0</v>
          </cell>
          <cell r="EB266">
            <v>0</v>
          </cell>
          <cell r="EC266">
            <v>0</v>
          </cell>
          <cell r="ED266">
            <v>0</v>
          </cell>
          <cell r="EE266">
            <v>0</v>
          </cell>
          <cell r="EF266">
            <v>0</v>
          </cell>
          <cell r="EG266">
            <v>0</v>
          </cell>
          <cell r="EH266">
            <v>0</v>
          </cell>
          <cell r="EI266">
            <v>0</v>
          </cell>
          <cell r="EJ266">
            <v>0</v>
          </cell>
          <cell r="EK266">
            <v>0</v>
          </cell>
          <cell r="EL266">
            <v>0</v>
          </cell>
          <cell r="EM266">
            <v>0</v>
          </cell>
          <cell r="EN266">
            <v>0</v>
          </cell>
          <cell r="EO266">
            <v>0</v>
          </cell>
        </row>
        <row r="267">
          <cell r="A267" t="str">
            <v>MKTO_ADJ_GA_PC</v>
          </cell>
          <cell r="B267" t="str">
            <v>General and administrative</v>
          </cell>
          <cell r="C267">
            <v>2</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0.10919822921790456</v>
          </cell>
          <cell r="AR267">
            <v>0.12108166285483654</v>
          </cell>
          <cell r="AS267">
            <v>0.16020197383520771</v>
          </cell>
          <cell r="AT267">
            <v>0.28020894933964119</v>
          </cell>
          <cell r="AU267">
            <v>0.13216691656283655</v>
          </cell>
          <cell r="AV267">
            <v>0.16113252036812192</v>
          </cell>
          <cell r="AW267">
            <v>0.10588415815996897</v>
          </cell>
          <cell r="AX267">
            <v>8.4570690768237575E-2</v>
          </cell>
          <cell r="AY267">
            <v>9.0747943413761079E-2</v>
          </cell>
          <cell r="AZ267">
            <v>8.5212135671398473E-2</v>
          </cell>
          <cell r="BA267">
            <v>9.1722472709087066E-2</v>
          </cell>
          <cell r="BB267">
            <v>7.8060275515572805E-2</v>
          </cell>
          <cell r="BC267">
            <v>8.7077463133315575E-2</v>
          </cell>
          <cell r="BD267">
            <v>8.4325766923981985E-2</v>
          </cell>
          <cell r="BE267">
            <v>9.0815195830312334E-2</v>
          </cell>
          <cell r="BF267">
            <v>8.7669492870979013E-2</v>
          </cell>
          <cell r="BG267">
            <v>9.5146663123276756E-2</v>
          </cell>
          <cell r="BH267">
            <v>9.2495417120754916E-2</v>
          </cell>
          <cell r="BI267">
            <v>9.1548547240475953E-2</v>
          </cell>
          <cell r="BJ267">
            <v>0.10403332659615082</v>
          </cell>
          <cell r="BK267">
            <v>8.8563042995287708E-2</v>
          </cell>
          <cell r="BL267">
            <v>8.3710531519852346E-2</v>
          </cell>
          <cell r="BM267">
            <v>9.3661744863790072E-2</v>
          </cell>
          <cell r="BN267">
            <v>7.4471142936385876E-2</v>
          </cell>
          <cell r="BO267">
            <v>9.0272899069278545E-2</v>
          </cell>
          <cell r="BP267">
            <v>8.2293305910887446E-2</v>
          </cell>
          <cell r="BQ267">
            <v>9.2999999999999999E-2</v>
          </cell>
          <cell r="BR267">
            <v>7.4999999999999997E-2</v>
          </cell>
          <cell r="BS267">
            <v>0.08</v>
          </cell>
          <cell r="BT267">
            <v>0.08</v>
          </cell>
          <cell r="BU267">
            <v>0.08</v>
          </cell>
          <cell r="BV267">
            <v>7.0000000000000007E-2</v>
          </cell>
          <cell r="BW267">
            <v>7.4999999999999997E-2</v>
          </cell>
          <cell r="BX267">
            <v>7.4999999999999997E-2</v>
          </cell>
          <cell r="BY267">
            <v>7.4999999999999997E-2</v>
          </cell>
          <cell r="BZ267">
            <v>7.0000000000000007E-2</v>
          </cell>
          <cell r="CA267">
            <v>0</v>
          </cell>
          <cell r="CB267">
            <v>0</v>
          </cell>
          <cell r="CC267">
            <v>0</v>
          </cell>
          <cell r="CD267">
            <v>0</v>
          </cell>
          <cell r="CE267">
            <v>0</v>
          </cell>
          <cell r="CF267">
            <v>0</v>
          </cell>
          <cell r="CG267">
            <v>0</v>
          </cell>
          <cell r="CH267">
            <v>0</v>
          </cell>
          <cell r="CI267">
            <v>0</v>
          </cell>
          <cell r="CJ267">
            <v>0</v>
          </cell>
          <cell r="CK267">
            <v>0</v>
          </cell>
          <cell r="CL267">
            <v>0</v>
          </cell>
          <cell r="CM267">
            <v>0.11955585969404649</v>
          </cell>
          <cell r="CN267">
            <v>8.6224961723350452E-2</v>
          </cell>
          <cell r="CO267">
            <v>8.7526263311271293E-2</v>
          </cell>
          <cell r="CP267">
            <v>9.605274744288296E-2</v>
          </cell>
          <cell r="CQ267">
            <v>8.4826279113463882E-2</v>
          </cell>
          <cell r="CR267">
            <v>8.4845833602814641E-2</v>
          </cell>
          <cell r="CS267">
            <v>7.7291605582629194E-2</v>
          </cell>
          <cell r="CT267">
            <v>7.3641109731278409E-2</v>
          </cell>
          <cell r="CU267">
            <v>0</v>
          </cell>
          <cell r="CV267">
            <v>0</v>
          </cell>
          <cell r="CW267">
            <v>0</v>
          </cell>
          <cell r="CX267">
            <v>0</v>
          </cell>
          <cell r="CY267">
            <v>0</v>
          </cell>
          <cell r="CZ267">
            <v>0</v>
          </cell>
          <cell r="DA267">
            <v>0</v>
          </cell>
          <cell r="DB267">
            <v>0</v>
          </cell>
          <cell r="DC267">
            <v>0</v>
          </cell>
          <cell r="DD267">
            <v>0</v>
          </cell>
          <cell r="DE267">
            <v>0</v>
          </cell>
          <cell r="DF267">
            <v>0</v>
          </cell>
          <cell r="DG267" t="str">
            <v>NA</v>
          </cell>
          <cell r="DH267" t="str">
            <v>NA</v>
          </cell>
          <cell r="DI267" t="str">
            <v>NA</v>
          </cell>
          <cell r="DJ267" t="str">
            <v>NA</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row>
        <row r="277">
          <cell r="A277" t="str">
            <v>MKTO_ADJ_OM_PC</v>
          </cell>
          <cell r="B277" t="str">
            <v>Operating Income</v>
          </cell>
          <cell r="C277">
            <v>2</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t="str">
            <v>NA</v>
          </cell>
          <cell r="AR277" t="str">
            <v>NA</v>
          </cell>
          <cell r="AS277" t="str">
            <v>NA</v>
          </cell>
          <cell r="AT277" t="str">
            <v>NA</v>
          </cell>
          <cell r="AU277">
            <v>0.13987498152176212</v>
          </cell>
          <cell r="AV277">
            <v>0.16979887029509566</v>
          </cell>
          <cell r="AW277">
            <v>0.16709200155058804</v>
          </cell>
          <cell r="AX277">
            <v>0.18440350267335431</v>
          </cell>
          <cell r="AY277">
            <v>0.18009327780263654</v>
          </cell>
          <cell r="AZ277">
            <v>0.20985327448407487</v>
          </cell>
          <cell r="BA277">
            <v>0.22552413399701512</v>
          </cell>
          <cell r="BB277">
            <v>0.1860582302681793</v>
          </cell>
          <cell r="BC277">
            <v>0.15581169390857377</v>
          </cell>
          <cell r="BD277">
            <v>0.19374695095704084</v>
          </cell>
          <cell r="BE277">
            <v>0.18606273683634519</v>
          </cell>
          <cell r="BF277">
            <v>0.17537074084659091</v>
          </cell>
          <cell r="BG277">
            <v>0.1757897883931834</v>
          </cell>
          <cell r="BH277">
            <v>0.20594293921621742</v>
          </cell>
          <cell r="BI277">
            <v>0.19125655726942473</v>
          </cell>
          <cell r="BJ277">
            <v>0.18085966448831103</v>
          </cell>
          <cell r="BK277">
            <v>0.18450439073443956</v>
          </cell>
          <cell r="BL277">
            <v>0.19109665795082495</v>
          </cell>
          <cell r="BM277">
            <v>0.18599061525267252</v>
          </cell>
          <cell r="BN277">
            <v>0.22085171831270009</v>
          </cell>
          <cell r="BO277">
            <v>0.1849733962890954</v>
          </cell>
          <cell r="BP277">
            <v>0.21098663675127119</v>
          </cell>
          <cell r="BQ277">
            <v>0.19055783611611621</v>
          </cell>
          <cell r="BR277">
            <v>0.21517237243829862</v>
          </cell>
          <cell r="BS277">
            <v>0.19325795553207123</v>
          </cell>
          <cell r="BT277">
            <v>0.19939510459989074</v>
          </cell>
          <cell r="BU277">
            <v>0.19926156281646856</v>
          </cell>
          <cell r="BV277">
            <v>0.22307518498079409</v>
          </cell>
          <cell r="BW277">
            <v>0.2056840481053816</v>
          </cell>
          <cell r="BX277">
            <v>0.20728181913047652</v>
          </cell>
          <cell r="BY277">
            <v>0.20394972116850493</v>
          </cell>
          <cell r="BZ277">
            <v>0.21703281754041859</v>
          </cell>
          <cell r="CA277">
            <v>0</v>
          </cell>
          <cell r="CB277">
            <v>0</v>
          </cell>
          <cell r="CC277">
            <v>0</v>
          </cell>
          <cell r="CD277">
            <v>0</v>
          </cell>
          <cell r="CE277">
            <v>0</v>
          </cell>
          <cell r="CF277">
            <v>0</v>
          </cell>
          <cell r="CG277">
            <v>0</v>
          </cell>
          <cell r="CH277">
            <v>0</v>
          </cell>
          <cell r="CI277">
            <v>0</v>
          </cell>
          <cell r="CJ277">
            <v>0</v>
          </cell>
          <cell r="CK277">
            <v>0</v>
          </cell>
          <cell r="CL277">
            <v>0</v>
          </cell>
          <cell r="CM277">
            <v>0.16669830688064285</v>
          </cell>
          <cell r="CN277">
            <v>0.20061519934558317</v>
          </cell>
          <cell r="CO277">
            <v>0.17822427597373575</v>
          </cell>
          <cell r="CP277">
            <v>0.1884009386523634</v>
          </cell>
          <cell r="CQ277">
            <v>0.19632271047608152</v>
          </cell>
          <cell r="CR277">
            <v>0.20095004643055492</v>
          </cell>
          <cell r="CS277">
            <v>0.20433727297396825</v>
          </cell>
          <cell r="CT277">
            <v>0.20872717961580886</v>
          </cell>
          <cell r="CU277">
            <v>0</v>
          </cell>
          <cell r="CV277">
            <v>0</v>
          </cell>
          <cell r="CW277">
            <v>0</v>
          </cell>
          <cell r="CX277">
            <v>0</v>
          </cell>
          <cell r="CY277">
            <v>0</v>
          </cell>
          <cell r="CZ277">
            <v>0</v>
          </cell>
          <cell r="DA277">
            <v>0</v>
          </cell>
          <cell r="DB277">
            <v>0</v>
          </cell>
          <cell r="DC277">
            <v>0</v>
          </cell>
          <cell r="DD277">
            <v>0</v>
          </cell>
          <cell r="DE277">
            <v>0</v>
          </cell>
          <cell r="DF277">
            <v>0</v>
          </cell>
          <cell r="DG277" t="str">
            <v>NA</v>
          </cell>
          <cell r="DH277" t="str">
            <v>NA</v>
          </cell>
          <cell r="DI277" t="str">
            <v>NA</v>
          </cell>
          <cell r="DJ277" t="str">
            <v>NA</v>
          </cell>
          <cell r="DK277">
            <v>0</v>
          </cell>
          <cell r="DL277">
            <v>0</v>
          </cell>
          <cell r="DM277">
            <v>0</v>
          </cell>
          <cell r="DN277">
            <v>0</v>
          </cell>
          <cell r="DO277">
            <v>0</v>
          </cell>
          <cell r="DP277">
            <v>0</v>
          </cell>
          <cell r="DQ277">
            <v>0</v>
          </cell>
          <cell r="DR277">
            <v>0</v>
          </cell>
          <cell r="DS277">
            <v>0</v>
          </cell>
          <cell r="DT277">
            <v>0</v>
          </cell>
          <cell r="DU277">
            <v>0</v>
          </cell>
          <cell r="DV277">
            <v>0</v>
          </cell>
          <cell r="DW277">
            <v>0</v>
          </cell>
          <cell r="DX277">
            <v>0</v>
          </cell>
          <cell r="DY277">
            <v>0</v>
          </cell>
          <cell r="DZ277">
            <v>0</v>
          </cell>
          <cell r="EA277">
            <v>0</v>
          </cell>
          <cell r="EB277">
            <v>0</v>
          </cell>
          <cell r="EC277">
            <v>0</v>
          </cell>
          <cell r="ED277">
            <v>0</v>
          </cell>
          <cell r="EE277">
            <v>0</v>
          </cell>
          <cell r="EF277">
            <v>0</v>
          </cell>
          <cell r="EG277">
            <v>0</v>
          </cell>
          <cell r="EH277">
            <v>0</v>
          </cell>
          <cell r="EI277">
            <v>0</v>
          </cell>
          <cell r="EJ277">
            <v>0</v>
          </cell>
          <cell r="EK277">
            <v>0</v>
          </cell>
          <cell r="EL277">
            <v>0</v>
          </cell>
          <cell r="EM277">
            <v>0</v>
          </cell>
          <cell r="EN277">
            <v>0</v>
          </cell>
          <cell r="EO277">
            <v>0</v>
          </cell>
        </row>
        <row r="287">
          <cell r="A287" t="str">
            <v>MKTO_ADJ_TAXRATE</v>
          </cell>
          <cell r="B287" t="str">
            <v>Tax Rate</v>
          </cell>
          <cell r="C287">
            <v>2</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-4.999999999999999E-4</v>
          </cell>
          <cell r="AR287">
            <v>-6.4836827317916567E-4</v>
          </cell>
          <cell r="AS287">
            <v>0</v>
          </cell>
          <cell r="AT287">
            <v>-1.3837000138370003E-4</v>
          </cell>
          <cell r="AU287">
            <v>0.38999609222352472</v>
          </cell>
          <cell r="AV287">
            <v>0.39001692047377368</v>
          </cell>
          <cell r="AW287">
            <v>0.3900386746106404</v>
          </cell>
          <cell r="AX287">
            <v>0.39008456980807182</v>
          </cell>
          <cell r="AY287">
            <v>0.38997675019374844</v>
          </cell>
          <cell r="AZ287">
            <v>0.38992764815868647</v>
          </cell>
          <cell r="BA287">
            <v>0.39000841165929107</v>
          </cell>
          <cell r="BB287">
            <v>0.39002229419930196</v>
          </cell>
          <cell r="BC287">
            <v>0.3546775130737943</v>
          </cell>
          <cell r="BD287">
            <v>0.38995215311004777</v>
          </cell>
          <cell r="BE287">
            <v>0.39005235602094257</v>
          </cell>
          <cell r="BF287">
            <v>0.38992698437622725</v>
          </cell>
          <cell r="BG287">
            <v>0.39005962590868254</v>
          </cell>
          <cell r="BH287">
            <v>0.38993052250880372</v>
          </cell>
          <cell r="BI287">
            <v>0.38998791645088926</v>
          </cell>
          <cell r="BJ287">
            <v>0.39002671415850387</v>
          </cell>
          <cell r="BK287">
            <v>0.31996664118423784</v>
          </cell>
          <cell r="BL287">
            <v>0.3200112492969191</v>
          </cell>
          <cell r="BM287">
            <v>0.32001783893985736</v>
          </cell>
          <cell r="BN287">
            <v>0.31999805560956646</v>
          </cell>
          <cell r="BO287">
            <v>0.32001003953065205</v>
          </cell>
          <cell r="BP287">
            <v>0.32556558127370205</v>
          </cell>
          <cell r="BQ287">
            <v>0.16755521706016754</v>
          </cell>
          <cell r="BR287">
            <v>0.16755521706016754</v>
          </cell>
          <cell r="BS287">
            <v>0.16800000000000001</v>
          </cell>
          <cell r="BT287">
            <v>0.16800000000000001</v>
          </cell>
          <cell r="BU287">
            <v>0.16800000000000001</v>
          </cell>
          <cell r="BV287">
            <v>0.16800000000000001</v>
          </cell>
          <cell r="BW287">
            <v>0.16800000000000001</v>
          </cell>
          <cell r="BX287">
            <v>0.16800000000000001</v>
          </cell>
          <cell r="BY287">
            <v>0.16800000000000001</v>
          </cell>
          <cell r="BZ287">
            <v>0.16800000000000001</v>
          </cell>
          <cell r="CA287">
            <v>0</v>
          </cell>
          <cell r="CB287">
            <v>0</v>
          </cell>
          <cell r="CC287">
            <v>0</v>
          </cell>
          <cell r="CD287">
            <v>0</v>
          </cell>
          <cell r="CE287">
            <v>0</v>
          </cell>
          <cell r="CF287">
            <v>0</v>
          </cell>
          <cell r="CG287">
            <v>0</v>
          </cell>
          <cell r="CH287">
            <v>0</v>
          </cell>
          <cell r="CI287">
            <v>0</v>
          </cell>
          <cell r="CJ287">
            <v>0</v>
          </cell>
          <cell r="CK287">
            <v>0</v>
          </cell>
          <cell r="CL287">
            <v>0</v>
          </cell>
          <cell r="CM287">
            <v>0.39003832521683995</v>
          </cell>
          <cell r="CN287">
            <v>0.38998453819696449</v>
          </cell>
          <cell r="CO287">
            <v>0.38355396717983442</v>
          </cell>
          <cell r="CP287">
            <v>0.38999737233949378</v>
          </cell>
          <cell r="CQ287">
            <v>0.31999909988298486</v>
          </cell>
          <cell r="CR287">
            <v>0.32189746134732516</v>
          </cell>
          <cell r="CS287">
            <v>0.30147819567528195</v>
          </cell>
          <cell r="CT287">
            <v>0.29503626843310143</v>
          </cell>
          <cell r="CU287">
            <v>0</v>
          </cell>
          <cell r="CV287">
            <v>0</v>
          </cell>
          <cell r="CW287">
            <v>0</v>
          </cell>
          <cell r="CX287">
            <v>0</v>
          </cell>
          <cell r="CY287">
            <v>0</v>
          </cell>
          <cell r="CZ287">
            <v>0</v>
          </cell>
          <cell r="DA287">
            <v>0</v>
          </cell>
          <cell r="DB287">
            <v>0</v>
          </cell>
          <cell r="DC287">
            <v>0</v>
          </cell>
          <cell r="DD287">
            <v>0</v>
          </cell>
          <cell r="DE287">
            <v>0</v>
          </cell>
          <cell r="DF287">
            <v>0</v>
          </cell>
          <cell r="DG287" t="e">
            <v>#DIV/0!</v>
          </cell>
          <cell r="DH287" t="e">
            <v>#DIV/0!</v>
          </cell>
          <cell r="DI287" t="e">
            <v>#DIV/0!</v>
          </cell>
          <cell r="DJ287" t="e">
            <v>#DIV/0!</v>
          </cell>
          <cell r="DK287">
            <v>0</v>
          </cell>
          <cell r="DL287">
            <v>0</v>
          </cell>
          <cell r="DM287">
            <v>0</v>
          </cell>
          <cell r="DN287">
            <v>0</v>
          </cell>
          <cell r="DO287">
            <v>0</v>
          </cell>
          <cell r="DP287">
            <v>0</v>
          </cell>
          <cell r="DQ287">
            <v>0</v>
          </cell>
          <cell r="DR287">
            <v>0</v>
          </cell>
          <cell r="DS287">
            <v>0</v>
          </cell>
          <cell r="DT287">
            <v>0</v>
          </cell>
          <cell r="DU287">
            <v>0</v>
          </cell>
          <cell r="DV287">
            <v>0</v>
          </cell>
          <cell r="DW287">
            <v>0</v>
          </cell>
          <cell r="DX287">
            <v>0</v>
          </cell>
          <cell r="DY287">
            <v>0</v>
          </cell>
          <cell r="DZ287">
            <v>0</v>
          </cell>
          <cell r="EA287">
            <v>0</v>
          </cell>
          <cell r="EB287">
            <v>0</v>
          </cell>
          <cell r="EC287">
            <v>0</v>
          </cell>
          <cell r="ED287">
            <v>0</v>
          </cell>
          <cell r="EE287">
            <v>0</v>
          </cell>
          <cell r="EF287">
            <v>0</v>
          </cell>
          <cell r="EG287">
            <v>0</v>
          </cell>
          <cell r="EH287">
            <v>0</v>
          </cell>
          <cell r="EI287">
            <v>0</v>
          </cell>
          <cell r="EJ287">
            <v>0</v>
          </cell>
          <cell r="EK287">
            <v>0</v>
          </cell>
          <cell r="EL287">
            <v>0</v>
          </cell>
          <cell r="EM287">
            <v>0</v>
          </cell>
          <cell r="EN287">
            <v>0</v>
          </cell>
          <cell r="EO287">
            <v>0</v>
          </cell>
        </row>
      </sheetData>
      <sheetData sheetId="4"/>
      <sheetData sheetId="5"/>
      <sheetData sheetId="6"/>
      <sheetData sheetId="7"/>
      <sheetData sheetId="8"/>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ModelEx (2)"/>
      <sheetName val="ModelEx"/>
      <sheetName val="MODEL"/>
      <sheetName val="Upside_Downside"/>
      <sheetName val="Guidance"/>
      <sheetName val="QUICK SUMMARY"/>
      <sheetName val="BMUpload"/>
      <sheetName val="Sens"/>
      <sheetName val="IOC Charts"/>
    </sheetNames>
    <sheetDataSet>
      <sheetData sheetId="0"/>
      <sheetData sheetId="1"/>
      <sheetData sheetId="2"/>
      <sheetData sheetId="3">
        <row r="3">
          <cell r="C3">
            <v>1</v>
          </cell>
        </row>
        <row r="9">
          <cell r="A9" t="str">
            <v>PAYC_QTR</v>
          </cell>
          <cell r="B9" t="str">
            <v>Period Ending</v>
          </cell>
          <cell r="C9">
            <v>0</v>
          </cell>
          <cell r="D9">
            <v>37164</v>
          </cell>
          <cell r="E9">
            <v>37164</v>
          </cell>
          <cell r="F9">
            <v>37256</v>
          </cell>
          <cell r="G9">
            <v>37346</v>
          </cell>
          <cell r="H9">
            <v>37437</v>
          </cell>
          <cell r="I9">
            <v>37529</v>
          </cell>
          <cell r="J9">
            <v>37621</v>
          </cell>
          <cell r="K9">
            <v>37711</v>
          </cell>
          <cell r="L9">
            <v>37802</v>
          </cell>
          <cell r="M9">
            <v>37894</v>
          </cell>
          <cell r="N9">
            <v>37986</v>
          </cell>
          <cell r="O9">
            <v>38077</v>
          </cell>
          <cell r="P9">
            <v>38168</v>
          </cell>
          <cell r="Q9">
            <v>38260</v>
          </cell>
          <cell r="R9">
            <v>38352</v>
          </cell>
          <cell r="S9">
            <v>38442</v>
          </cell>
          <cell r="T9">
            <v>38533</v>
          </cell>
          <cell r="U9">
            <v>38625</v>
          </cell>
          <cell r="V9">
            <v>38717</v>
          </cell>
          <cell r="W9">
            <v>38807</v>
          </cell>
          <cell r="X9">
            <v>38898</v>
          </cell>
          <cell r="Y9">
            <v>38990</v>
          </cell>
          <cell r="Z9">
            <v>39082</v>
          </cell>
          <cell r="AA9">
            <v>39172</v>
          </cell>
          <cell r="AB9">
            <v>39263</v>
          </cell>
          <cell r="AC9">
            <v>39355</v>
          </cell>
          <cell r="AD9">
            <v>39447</v>
          </cell>
          <cell r="AE9">
            <v>39538</v>
          </cell>
          <cell r="AF9">
            <v>39629</v>
          </cell>
          <cell r="AG9">
            <v>39721</v>
          </cell>
          <cell r="AH9">
            <v>39813</v>
          </cell>
          <cell r="AI9">
            <v>39903</v>
          </cell>
          <cell r="AJ9">
            <v>39994</v>
          </cell>
          <cell r="AK9">
            <v>40086</v>
          </cell>
          <cell r="AL9">
            <v>40178</v>
          </cell>
          <cell r="AM9">
            <v>40268</v>
          </cell>
          <cell r="AN9">
            <v>40359</v>
          </cell>
          <cell r="AO9">
            <v>40451</v>
          </cell>
          <cell r="AP9">
            <v>40543</v>
          </cell>
          <cell r="AQ9">
            <v>40633</v>
          </cell>
          <cell r="AR9">
            <v>40724</v>
          </cell>
          <cell r="AS9">
            <v>40816</v>
          </cell>
          <cell r="AT9">
            <v>40908</v>
          </cell>
          <cell r="AU9">
            <v>40999</v>
          </cell>
          <cell r="AV9">
            <v>41090</v>
          </cell>
          <cell r="AW9">
            <v>41182</v>
          </cell>
          <cell r="AX9">
            <v>41274</v>
          </cell>
          <cell r="AY9">
            <v>41364</v>
          </cell>
          <cell r="AZ9">
            <v>41455</v>
          </cell>
          <cell r="BA9">
            <v>41547</v>
          </cell>
          <cell r="BB9">
            <v>41639</v>
          </cell>
          <cell r="BC9">
            <v>41729</v>
          </cell>
          <cell r="BD9">
            <v>41820</v>
          </cell>
          <cell r="BE9">
            <v>41912</v>
          </cell>
          <cell r="BF9">
            <v>42004</v>
          </cell>
          <cell r="BG9">
            <v>42094</v>
          </cell>
          <cell r="BH9">
            <v>42185</v>
          </cell>
          <cell r="BI9">
            <v>42277</v>
          </cell>
          <cell r="BJ9">
            <v>42369</v>
          </cell>
          <cell r="BK9">
            <v>42460</v>
          </cell>
          <cell r="BL9">
            <v>42551</v>
          </cell>
          <cell r="BM9">
            <v>42643</v>
          </cell>
          <cell r="BN9">
            <v>42735</v>
          </cell>
          <cell r="BO9">
            <v>42825</v>
          </cell>
          <cell r="BP9">
            <v>42916</v>
          </cell>
          <cell r="BQ9">
            <v>43008</v>
          </cell>
          <cell r="BR9">
            <v>43100</v>
          </cell>
          <cell r="BS9">
            <v>43190</v>
          </cell>
          <cell r="BT9">
            <v>43281</v>
          </cell>
          <cell r="BU9">
            <v>43373</v>
          </cell>
          <cell r="BV9">
            <v>43465</v>
          </cell>
          <cell r="BW9">
            <v>43555</v>
          </cell>
          <cell r="BX9">
            <v>43646</v>
          </cell>
          <cell r="BY9">
            <v>43738</v>
          </cell>
          <cell r="BZ9">
            <v>43830</v>
          </cell>
          <cell r="CA9">
            <v>0</v>
          </cell>
          <cell r="CB9">
            <v>37256</v>
          </cell>
          <cell r="CC9">
            <v>37621</v>
          </cell>
          <cell r="CD9">
            <v>37986</v>
          </cell>
          <cell r="CE9">
            <v>38352</v>
          </cell>
          <cell r="CF9">
            <v>38717</v>
          </cell>
          <cell r="CG9">
            <v>39082</v>
          </cell>
          <cell r="CH9">
            <v>39447</v>
          </cell>
          <cell r="CI9">
            <v>39813</v>
          </cell>
          <cell r="CJ9">
            <v>40178</v>
          </cell>
          <cell r="CK9">
            <v>40543</v>
          </cell>
          <cell r="CL9">
            <v>40908</v>
          </cell>
          <cell r="CM9">
            <v>41274</v>
          </cell>
          <cell r="CN9">
            <v>41639</v>
          </cell>
          <cell r="CO9">
            <v>42004</v>
          </cell>
          <cell r="CP9">
            <v>42369</v>
          </cell>
          <cell r="CQ9">
            <v>42735</v>
          </cell>
          <cell r="CR9">
            <v>43100</v>
          </cell>
          <cell r="CS9">
            <v>43465</v>
          </cell>
          <cell r="CT9">
            <v>43830</v>
          </cell>
          <cell r="CU9">
            <v>0</v>
          </cell>
          <cell r="CV9">
            <v>37621</v>
          </cell>
          <cell r="CW9">
            <v>37986</v>
          </cell>
          <cell r="CX9">
            <v>38352</v>
          </cell>
          <cell r="CY9">
            <v>38717</v>
          </cell>
          <cell r="CZ9">
            <v>39082</v>
          </cell>
          <cell r="DA9">
            <v>39447</v>
          </cell>
          <cell r="DB9">
            <v>39813</v>
          </cell>
          <cell r="DC9">
            <v>40178</v>
          </cell>
          <cell r="DD9">
            <v>40543</v>
          </cell>
          <cell r="DE9">
            <v>40908</v>
          </cell>
          <cell r="DF9">
            <v>41274</v>
          </cell>
          <cell r="DG9">
            <v>41639</v>
          </cell>
          <cell r="DH9">
            <v>42004</v>
          </cell>
          <cell r="DI9">
            <v>42369</v>
          </cell>
          <cell r="DJ9">
            <v>42735</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row>
        <row r="24">
          <cell r="A24" t="str">
            <v>PAYC_REV</v>
          </cell>
          <cell r="B24" t="str">
            <v>Total Revenue</v>
          </cell>
          <cell r="C24">
            <v>1</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19.843</v>
          </cell>
          <cell r="AV24">
            <v>17.091999999999999</v>
          </cell>
          <cell r="AW24">
            <v>18.568000000000001</v>
          </cell>
          <cell r="AX24">
            <v>21.306999999999999</v>
          </cell>
          <cell r="AY24">
            <v>27.577000000000002</v>
          </cell>
          <cell r="AZ24">
            <v>23.913999999999998</v>
          </cell>
          <cell r="BA24">
            <v>25.830000000000002</v>
          </cell>
          <cell r="BB24">
            <v>30.279999999999998</v>
          </cell>
          <cell r="BC24">
            <v>36.985000000000007</v>
          </cell>
          <cell r="BD24">
            <v>33.305999999999997</v>
          </cell>
          <cell r="BE24">
            <v>36.597999999999999</v>
          </cell>
          <cell r="BF24">
            <v>44.04</v>
          </cell>
          <cell r="BG24">
            <v>55.222000000000001</v>
          </cell>
          <cell r="BH24">
            <v>48.972999999999999</v>
          </cell>
          <cell r="BI24">
            <v>55.339999999999996</v>
          </cell>
          <cell r="BJ24">
            <v>65.117999999999995</v>
          </cell>
          <cell r="BK24">
            <v>90.125999999999991</v>
          </cell>
          <cell r="BL24">
            <v>73.88000000000001</v>
          </cell>
          <cell r="BM24">
            <v>77.325000000000003</v>
          </cell>
          <cell r="BN24">
            <v>87.81</v>
          </cell>
          <cell r="BO24">
            <v>119.508</v>
          </cell>
          <cell r="BP24">
            <v>98.227000000000004</v>
          </cell>
          <cell r="BQ24">
            <v>101.28700000000001</v>
          </cell>
          <cell r="BR24">
            <v>114.02500000000001</v>
          </cell>
          <cell r="BS24">
            <v>153.916</v>
          </cell>
          <cell r="BT24">
            <v>124.135215</v>
          </cell>
          <cell r="BU24">
            <v>126.5193</v>
          </cell>
          <cell r="BV24">
            <v>141.85474500000004</v>
          </cell>
          <cell r="BW24">
            <v>192.29344999999998</v>
          </cell>
          <cell r="BX24">
            <v>155.05645874999999</v>
          </cell>
          <cell r="BY24">
            <v>158.04178499999998</v>
          </cell>
          <cell r="BZ24">
            <v>177.17659125000003</v>
          </cell>
          <cell r="CA24">
            <v>0</v>
          </cell>
          <cell r="CB24">
            <v>0</v>
          </cell>
          <cell r="CC24">
            <v>0</v>
          </cell>
          <cell r="CD24">
            <v>0</v>
          </cell>
          <cell r="CE24">
            <v>0</v>
          </cell>
          <cell r="CF24">
            <v>0</v>
          </cell>
          <cell r="CG24">
            <v>0</v>
          </cell>
          <cell r="CH24">
            <v>0</v>
          </cell>
          <cell r="CI24">
            <v>0</v>
          </cell>
          <cell r="CJ24">
            <v>0</v>
          </cell>
          <cell r="CK24">
            <v>0</v>
          </cell>
          <cell r="CL24">
            <v>0</v>
          </cell>
          <cell r="CM24">
            <v>76.81</v>
          </cell>
          <cell r="CN24">
            <v>107.601</v>
          </cell>
          <cell r="CO24">
            <v>150.929</v>
          </cell>
          <cell r="CP24">
            <v>224.65299999999999</v>
          </cell>
          <cell r="CQ24">
            <v>329.14100000000002</v>
          </cell>
          <cell r="CR24">
            <v>433.04700000000003</v>
          </cell>
          <cell r="CS24">
            <v>546.42525999999998</v>
          </cell>
          <cell r="CT24">
            <v>682.56828499999995</v>
          </cell>
          <cell r="CU24">
            <v>0</v>
          </cell>
          <cell r="CV24">
            <v>0</v>
          </cell>
          <cell r="CW24">
            <v>0</v>
          </cell>
          <cell r="CX24">
            <v>0</v>
          </cell>
          <cell r="CY24">
            <v>0</v>
          </cell>
          <cell r="CZ24">
            <v>0</v>
          </cell>
          <cell r="DA24">
            <v>0</v>
          </cell>
          <cell r="DB24">
            <v>0</v>
          </cell>
          <cell r="DC24">
            <v>0</v>
          </cell>
          <cell r="DD24">
            <v>0</v>
          </cell>
          <cell r="DE24">
            <v>0</v>
          </cell>
          <cell r="DF24">
            <v>0</v>
          </cell>
          <cell r="DG24">
            <v>107.601</v>
          </cell>
          <cell r="DH24">
            <v>150.929</v>
          </cell>
          <cell r="DI24">
            <v>224.65299999999999</v>
          </cell>
          <cell r="DJ24">
            <v>329.14100000000002</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0</v>
          </cell>
          <cell r="ED24">
            <v>0</v>
          </cell>
          <cell r="EE24">
            <v>0</v>
          </cell>
          <cell r="EF24">
            <v>0</v>
          </cell>
          <cell r="EG24">
            <v>0</v>
          </cell>
          <cell r="EH24">
            <v>0</v>
          </cell>
          <cell r="EI24">
            <v>0</v>
          </cell>
          <cell r="EJ24">
            <v>0</v>
          </cell>
          <cell r="EK24">
            <v>0</v>
          </cell>
          <cell r="EL24">
            <v>0</v>
          </cell>
          <cell r="EM24">
            <v>0</v>
          </cell>
          <cell r="EN24">
            <v>0</v>
          </cell>
          <cell r="EO24">
            <v>0</v>
          </cell>
        </row>
        <row r="37">
          <cell r="A37" t="str">
            <v>PAYC_ADJ_SM</v>
          </cell>
          <cell r="B37" t="str">
            <v>Sales and marketing</v>
          </cell>
          <cell r="C37">
            <v>1</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7.266</v>
          </cell>
          <cell r="AV37">
            <v>6.65</v>
          </cell>
          <cell r="AW37">
            <v>6.86</v>
          </cell>
          <cell r="AX37">
            <v>8.4789999999999992</v>
          </cell>
          <cell r="AY37">
            <v>9.8350000000000026</v>
          </cell>
          <cell r="AZ37">
            <v>8.6879999999999988</v>
          </cell>
          <cell r="BA37">
            <v>10.275</v>
          </cell>
          <cell r="BB37">
            <v>13.766</v>
          </cell>
          <cell r="BC37">
            <v>15.678000000000001</v>
          </cell>
          <cell r="BD37">
            <v>13.545999999999999</v>
          </cell>
          <cell r="BE37">
            <v>14.853</v>
          </cell>
          <cell r="BF37">
            <v>19.302999999999997</v>
          </cell>
          <cell r="BG37">
            <v>21.224</v>
          </cell>
          <cell r="BH37">
            <v>16.739999999999998</v>
          </cell>
          <cell r="BI37">
            <v>23.498000000000001</v>
          </cell>
          <cell r="BJ37">
            <v>30.532999999999998</v>
          </cell>
          <cell r="BK37">
            <v>28.384999999999998</v>
          </cell>
          <cell r="BL37">
            <v>23.973999999999997</v>
          </cell>
          <cell r="BM37">
            <v>27.62</v>
          </cell>
          <cell r="BN37">
            <v>35.622999999999998</v>
          </cell>
          <cell r="BO37">
            <v>24.769000000000002</v>
          </cell>
          <cell r="BP37">
            <v>32.511000000000003</v>
          </cell>
          <cell r="BQ37">
            <v>33.523000000000003</v>
          </cell>
          <cell r="BR37">
            <v>42.476999999999997</v>
          </cell>
          <cell r="BS37">
            <v>30.444999999999997</v>
          </cell>
          <cell r="BT37">
            <v>36.642881435</v>
          </cell>
          <cell r="BU37">
            <v>36.2409672</v>
          </cell>
          <cell r="BV37">
            <v>39.972795030000007</v>
          </cell>
          <cell r="BW37">
            <v>43.091260749999989</v>
          </cell>
          <cell r="BX37">
            <v>44.630547624999998</v>
          </cell>
          <cell r="BY37">
            <v>44.179336574999986</v>
          </cell>
          <cell r="BZ37">
            <v>49.475461462500007</v>
          </cell>
          <cell r="CA37">
            <v>0</v>
          </cell>
          <cell r="CB37">
            <v>0</v>
          </cell>
          <cell r="CC37">
            <v>0</v>
          </cell>
          <cell r="CD37">
            <v>0</v>
          </cell>
          <cell r="CE37">
            <v>0</v>
          </cell>
          <cell r="CF37">
            <v>0</v>
          </cell>
          <cell r="CG37">
            <v>0</v>
          </cell>
          <cell r="CH37">
            <v>0</v>
          </cell>
          <cell r="CI37">
            <v>0</v>
          </cell>
          <cell r="CJ37">
            <v>0</v>
          </cell>
          <cell r="CK37">
            <v>7</v>
          </cell>
          <cell r="CL37">
            <v>13.308</v>
          </cell>
          <cell r="CM37">
            <v>20.853999999999999</v>
          </cell>
          <cell r="CN37">
            <v>42.564</v>
          </cell>
          <cell r="CO37">
            <v>63.379999999999995</v>
          </cell>
          <cell r="CP37">
            <v>91.995000000000005</v>
          </cell>
          <cell r="CQ37">
            <v>115.602</v>
          </cell>
          <cell r="CR37">
            <v>133.28</v>
          </cell>
          <cell r="CS37">
            <v>143.301643665</v>
          </cell>
          <cell r="CT37">
            <v>181.3766064125</v>
          </cell>
          <cell r="CU37">
            <v>0</v>
          </cell>
          <cell r="CV37">
            <v>0</v>
          </cell>
          <cell r="CW37">
            <v>0</v>
          </cell>
          <cell r="CX37">
            <v>0</v>
          </cell>
          <cell r="CY37">
            <v>0</v>
          </cell>
          <cell r="CZ37">
            <v>0</v>
          </cell>
          <cell r="DA37">
            <v>0</v>
          </cell>
          <cell r="DB37">
            <v>0</v>
          </cell>
          <cell r="DC37">
            <v>0</v>
          </cell>
          <cell r="DD37">
            <v>0</v>
          </cell>
          <cell r="DE37">
            <v>0</v>
          </cell>
          <cell r="DF37">
            <v>0</v>
          </cell>
          <cell r="DG37">
            <v>42.564</v>
          </cell>
          <cell r="DH37">
            <v>63.379999999999995</v>
          </cell>
          <cell r="DI37">
            <v>91.995000000000005</v>
          </cell>
          <cell r="DJ37">
            <v>115.602</v>
          </cell>
          <cell r="DK37">
            <v>0</v>
          </cell>
          <cell r="DL37">
            <v>0</v>
          </cell>
          <cell r="DM37">
            <v>0</v>
          </cell>
          <cell r="DN37">
            <v>0</v>
          </cell>
          <cell r="DO37">
            <v>0</v>
          </cell>
          <cell r="DP37">
            <v>0</v>
          </cell>
          <cell r="DQ37">
            <v>0</v>
          </cell>
          <cell r="DR37">
            <v>0</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row>
        <row r="38">
          <cell r="A38" t="str">
            <v>PAYC_ADJ_RD</v>
          </cell>
          <cell r="B38" t="str">
            <v>Research and development</v>
          </cell>
          <cell r="C38">
            <v>1</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0.38</v>
          </cell>
          <cell r="AV38">
            <v>0.54200000000000004</v>
          </cell>
          <cell r="AW38">
            <v>0.36099999999999999</v>
          </cell>
          <cell r="AX38">
            <v>0.34899999999999998</v>
          </cell>
          <cell r="AY38">
            <v>0.13200000000000001</v>
          </cell>
          <cell r="AZ38">
            <v>0.318</v>
          </cell>
          <cell r="BA38">
            <v>0.52700000000000002</v>
          </cell>
          <cell r="BB38">
            <v>0.82399999999999995</v>
          </cell>
          <cell r="BC38">
            <v>0.87999999999999989</v>
          </cell>
          <cell r="BD38">
            <v>0.93300000000000005</v>
          </cell>
          <cell r="BE38">
            <v>1.0569999999999999</v>
          </cell>
          <cell r="BF38">
            <v>1.4380000000000002</v>
          </cell>
          <cell r="BG38">
            <v>1.8620000000000001</v>
          </cell>
          <cell r="BH38">
            <v>1.9060000000000001</v>
          </cell>
          <cell r="BI38">
            <v>2.2200000000000002</v>
          </cell>
          <cell r="BJ38">
            <v>2.5350000000000001</v>
          </cell>
          <cell r="BK38">
            <v>3.8109999999999999</v>
          </cell>
          <cell r="BL38">
            <v>4.0709999999999997</v>
          </cell>
          <cell r="BM38">
            <v>5.7360000000000007</v>
          </cell>
          <cell r="BN38">
            <v>6.5119999999999996</v>
          </cell>
          <cell r="BO38">
            <v>6.6379999999999999</v>
          </cell>
          <cell r="BP38">
            <v>7.4740000000000002</v>
          </cell>
          <cell r="BQ38">
            <v>7.3780000000000001</v>
          </cell>
          <cell r="BR38">
            <v>7.0280000000000005</v>
          </cell>
          <cell r="BS38">
            <v>9.0030000000000001</v>
          </cell>
          <cell r="BT38">
            <v>8.6270411249999999</v>
          </cell>
          <cell r="BU38">
            <v>8.6815475000000006</v>
          </cell>
          <cell r="BV38">
            <v>11.619853325000005</v>
          </cell>
          <cell r="BW38">
            <v>11.950308749999998</v>
          </cell>
          <cell r="BX38">
            <v>13.97895358125</v>
          </cell>
          <cell r="BY38">
            <v>14.125829574999997</v>
          </cell>
          <cell r="BZ38">
            <v>13.692547300000001</v>
          </cell>
          <cell r="CA38">
            <v>0</v>
          </cell>
          <cell r="CB38">
            <v>0</v>
          </cell>
          <cell r="CC38">
            <v>0</v>
          </cell>
          <cell r="CD38">
            <v>0</v>
          </cell>
          <cell r="CE38">
            <v>0</v>
          </cell>
          <cell r="CF38">
            <v>0</v>
          </cell>
          <cell r="CG38">
            <v>0</v>
          </cell>
          <cell r="CH38">
            <v>0</v>
          </cell>
          <cell r="CI38">
            <v>0</v>
          </cell>
          <cell r="CJ38">
            <v>0</v>
          </cell>
          <cell r="CK38">
            <v>6.7039999999999997</v>
          </cell>
          <cell r="CL38">
            <v>13.99</v>
          </cell>
          <cell r="CM38">
            <v>15.687000000000001</v>
          </cell>
          <cell r="CN38">
            <v>1.8010000000000002</v>
          </cell>
          <cell r="CO38">
            <v>4.3079999999999998</v>
          </cell>
          <cell r="CP38">
            <v>8.5229999999999997</v>
          </cell>
          <cell r="CQ38">
            <v>20.13</v>
          </cell>
          <cell r="CR38">
            <v>28.518000000000001</v>
          </cell>
          <cell r="CS38">
            <v>37.931441950000007</v>
          </cell>
          <cell r="CT38">
            <v>53.74763920625</v>
          </cell>
          <cell r="CU38">
            <v>0</v>
          </cell>
          <cell r="CV38">
            <v>0</v>
          </cell>
          <cell r="CW38">
            <v>0</v>
          </cell>
          <cell r="CX38">
            <v>0</v>
          </cell>
          <cell r="CY38">
            <v>0</v>
          </cell>
          <cell r="CZ38">
            <v>0</v>
          </cell>
          <cell r="DA38">
            <v>0</v>
          </cell>
          <cell r="DB38">
            <v>0</v>
          </cell>
          <cell r="DC38">
            <v>0</v>
          </cell>
          <cell r="DD38">
            <v>0</v>
          </cell>
          <cell r="DE38">
            <v>0</v>
          </cell>
          <cell r="DF38">
            <v>0</v>
          </cell>
          <cell r="DG38">
            <v>1.8010000000000002</v>
          </cell>
          <cell r="DH38">
            <v>4.3079999999999998</v>
          </cell>
          <cell r="DI38">
            <v>8.5229999999999997</v>
          </cell>
          <cell r="DJ38">
            <v>20.13</v>
          </cell>
          <cell r="DK38">
            <v>0</v>
          </cell>
          <cell r="DL38">
            <v>0</v>
          </cell>
          <cell r="DM38">
            <v>0</v>
          </cell>
          <cell r="DN38">
            <v>0</v>
          </cell>
          <cell r="DO38">
            <v>0</v>
          </cell>
          <cell r="DP38">
            <v>0</v>
          </cell>
          <cell r="DQ38">
            <v>0</v>
          </cell>
          <cell r="DR38">
            <v>0</v>
          </cell>
          <cell r="DS38">
            <v>0</v>
          </cell>
          <cell r="DT38">
            <v>0</v>
          </cell>
          <cell r="DU38">
            <v>0</v>
          </cell>
          <cell r="DV38">
            <v>0</v>
          </cell>
          <cell r="DW38">
            <v>0</v>
          </cell>
          <cell r="DX38">
            <v>0</v>
          </cell>
          <cell r="DY38">
            <v>0</v>
          </cell>
          <cell r="DZ38">
            <v>0</v>
          </cell>
          <cell r="EA38">
            <v>0</v>
          </cell>
          <cell r="EB38">
            <v>0</v>
          </cell>
          <cell r="EC38">
            <v>0</v>
          </cell>
          <cell r="ED38">
            <v>0</v>
          </cell>
          <cell r="EE38">
            <v>0</v>
          </cell>
          <cell r="EF38">
            <v>0</v>
          </cell>
          <cell r="EG38">
            <v>0</v>
          </cell>
          <cell r="EH38">
            <v>0</v>
          </cell>
          <cell r="EI38">
            <v>0</v>
          </cell>
          <cell r="EJ38">
            <v>0</v>
          </cell>
          <cell r="EK38">
            <v>0</v>
          </cell>
          <cell r="EL38">
            <v>0</v>
          </cell>
          <cell r="EM38">
            <v>0</v>
          </cell>
          <cell r="EN38">
            <v>0</v>
          </cell>
          <cell r="EO38">
            <v>0</v>
          </cell>
        </row>
        <row r="39">
          <cell r="A39" t="str">
            <v>PAYC_ADJ_GA</v>
          </cell>
          <cell r="B39" t="str">
            <v>General and administrative</v>
          </cell>
          <cell r="C39">
            <v>1</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4.335</v>
          </cell>
          <cell r="AV39">
            <v>4.8029999999999999</v>
          </cell>
          <cell r="AW39">
            <v>4.7779999999999996</v>
          </cell>
          <cell r="AX39">
            <v>5.4560000000000004</v>
          </cell>
          <cell r="AY39">
            <v>5.8239999999999998</v>
          </cell>
          <cell r="AZ39">
            <v>5.9569999999999999</v>
          </cell>
          <cell r="BA39">
            <v>6.8150000000000004</v>
          </cell>
          <cell r="BB39">
            <v>9.8800000000000008</v>
          </cell>
          <cell r="BC39">
            <v>9.1839999999999993</v>
          </cell>
          <cell r="BD39">
            <v>8.1259999999999994</v>
          </cell>
          <cell r="BE39">
            <v>8.3309999999999995</v>
          </cell>
          <cell r="BF39">
            <v>9.3640000000000008</v>
          </cell>
          <cell r="BG39">
            <v>11.747</v>
          </cell>
          <cell r="BH39">
            <v>10.064</v>
          </cell>
          <cell r="BI39">
            <v>11.081</v>
          </cell>
          <cell r="BJ39">
            <v>12.821999999999999</v>
          </cell>
          <cell r="BK39">
            <v>14.292</v>
          </cell>
          <cell r="BL39">
            <v>13.175000000000001</v>
          </cell>
          <cell r="BM39">
            <v>13.683000000000002</v>
          </cell>
          <cell r="BN39">
            <v>12.059000000000001</v>
          </cell>
          <cell r="BO39">
            <v>13.304</v>
          </cell>
          <cell r="BP39">
            <v>16.218</v>
          </cell>
          <cell r="BQ39">
            <v>15.980999999999998</v>
          </cell>
          <cell r="BR39">
            <v>17.161999999999999</v>
          </cell>
          <cell r="BS39">
            <v>16.240999999999996</v>
          </cell>
          <cell r="BT39">
            <v>18.309551599999999</v>
          </cell>
          <cell r="BU39">
            <v>17.988319699999998</v>
          </cell>
          <cell r="BV39">
            <v>18.116404455000005</v>
          </cell>
          <cell r="BW39">
            <v>5.9790812499999966</v>
          </cell>
          <cell r="BX39">
            <v>23.807077806249993</v>
          </cell>
          <cell r="BY39">
            <v>22.686132699999995</v>
          </cell>
          <cell r="BZ39">
            <v>21.694138687500001</v>
          </cell>
          <cell r="CA39">
            <v>0</v>
          </cell>
          <cell r="CB39">
            <v>0</v>
          </cell>
          <cell r="CC39">
            <v>0</v>
          </cell>
          <cell r="CD39">
            <v>0</v>
          </cell>
          <cell r="CE39">
            <v>0</v>
          </cell>
          <cell r="CF39">
            <v>0</v>
          </cell>
          <cell r="CG39">
            <v>0</v>
          </cell>
          <cell r="CH39">
            <v>0</v>
          </cell>
          <cell r="CI39">
            <v>0</v>
          </cell>
          <cell r="CJ39">
            <v>0</v>
          </cell>
          <cell r="CK39">
            <v>5.6580000000000004</v>
          </cell>
          <cell r="CL39">
            <v>8.5649999999999995</v>
          </cell>
          <cell r="CM39">
            <v>7.6110000000000007</v>
          </cell>
          <cell r="CN39">
            <v>28.475999999999999</v>
          </cell>
          <cell r="CO39">
            <v>35.004999999999995</v>
          </cell>
          <cell r="CP39">
            <v>45.713999999999999</v>
          </cell>
          <cell r="CQ39">
            <v>53.209000000000003</v>
          </cell>
          <cell r="CR39">
            <v>62.664999999999999</v>
          </cell>
          <cell r="CS39">
            <v>70.655275754999991</v>
          </cell>
          <cell r="CT39">
            <v>74.166430443749988</v>
          </cell>
          <cell r="CU39">
            <v>0</v>
          </cell>
          <cell r="CV39">
            <v>0</v>
          </cell>
          <cell r="CW39">
            <v>0</v>
          </cell>
          <cell r="CX39">
            <v>0</v>
          </cell>
          <cell r="CY39">
            <v>0</v>
          </cell>
          <cell r="CZ39">
            <v>0</v>
          </cell>
          <cell r="DA39">
            <v>0</v>
          </cell>
          <cell r="DB39">
            <v>0</v>
          </cell>
          <cell r="DC39">
            <v>0</v>
          </cell>
          <cell r="DD39">
            <v>0</v>
          </cell>
          <cell r="DE39">
            <v>0</v>
          </cell>
          <cell r="DF39">
            <v>0</v>
          </cell>
          <cell r="DG39">
            <v>28.475999999999999</v>
          </cell>
          <cell r="DH39">
            <v>35.004999999999995</v>
          </cell>
          <cell r="DI39">
            <v>45.713999999999999</v>
          </cell>
          <cell r="DJ39">
            <v>53.209000000000003</v>
          </cell>
          <cell r="DK39">
            <v>0</v>
          </cell>
          <cell r="DL39">
            <v>0</v>
          </cell>
          <cell r="DM39">
            <v>0</v>
          </cell>
          <cell r="DN39">
            <v>0</v>
          </cell>
          <cell r="DO39">
            <v>0</v>
          </cell>
          <cell r="DP39">
            <v>0</v>
          </cell>
          <cell r="DQ39">
            <v>0</v>
          </cell>
          <cell r="DR39">
            <v>0</v>
          </cell>
          <cell r="DS39">
            <v>0</v>
          </cell>
          <cell r="DT39">
            <v>0</v>
          </cell>
          <cell r="DU39">
            <v>0</v>
          </cell>
          <cell r="DV39">
            <v>0</v>
          </cell>
          <cell r="DW39">
            <v>0</v>
          </cell>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row>
        <row r="49">
          <cell r="A49" t="str">
            <v>PAYC_ADJ_OM</v>
          </cell>
          <cell r="B49" t="str">
            <v>Operating Income</v>
          </cell>
          <cell r="C49">
            <v>1</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-1.3060000000000009</v>
          </cell>
          <cell r="AV49">
            <v>-3.1890000000000018</v>
          </cell>
          <cell r="AW49">
            <v>-2.1269999999999971</v>
          </cell>
          <cell r="AX49">
            <v>-2.1399999999999988</v>
          </cell>
          <cell r="AY49">
            <v>6.2609999999999992</v>
          </cell>
          <cell r="AZ49">
            <v>3.3190000000000008</v>
          </cell>
          <cell r="BA49">
            <v>1.9200000000000017</v>
          </cell>
          <cell r="BB49">
            <v>-1.0900000000000034</v>
          </cell>
          <cell r="BC49">
            <v>3.2340000000000089</v>
          </cell>
          <cell r="BD49">
            <v>3.2750000000000021</v>
          </cell>
          <cell r="BE49">
            <v>4.7659999999999982</v>
          </cell>
          <cell r="BF49">
            <v>5.1370000000000005</v>
          </cell>
          <cell r="BG49">
            <v>10.792000000000002</v>
          </cell>
          <cell r="BH49">
            <v>10.843000000000007</v>
          </cell>
          <cell r="BI49">
            <v>8.2869999999999919</v>
          </cell>
          <cell r="BJ49">
            <v>7.5229999999999961</v>
          </cell>
          <cell r="BK49">
            <v>30.056999999999988</v>
          </cell>
          <cell r="BL49">
            <v>19.27300000000001</v>
          </cell>
          <cell r="BM49">
            <v>14.817000000000007</v>
          </cell>
          <cell r="BN49">
            <v>16.370000000000005</v>
          </cell>
          <cell r="BO49">
            <v>55.91599999999999</v>
          </cell>
          <cell r="BP49">
            <v>22.927999999999997</v>
          </cell>
          <cell r="BQ49">
            <v>25.664000000000009</v>
          </cell>
          <cell r="BR49">
            <v>27.765000000000001</v>
          </cell>
          <cell r="BS49">
            <v>73.641000000000005</v>
          </cell>
          <cell r="BT49">
            <v>36.970049990000007</v>
          </cell>
          <cell r="BU49">
            <v>37.672009099999997</v>
          </cell>
          <cell r="BV49">
            <v>43.774743190000009</v>
          </cell>
          <cell r="BW49">
            <v>96.659978249999995</v>
          </cell>
          <cell r="BX49">
            <v>41.628587987499998</v>
          </cell>
          <cell r="BY49">
            <v>45.44212915</v>
          </cell>
          <cell r="BZ49">
            <v>57.765008506249998</v>
          </cell>
          <cell r="CA49">
            <v>0</v>
          </cell>
          <cell r="CB49">
            <v>0</v>
          </cell>
          <cell r="CC49">
            <v>0</v>
          </cell>
          <cell r="CD49">
            <v>0</v>
          </cell>
          <cell r="CE49">
            <v>0</v>
          </cell>
          <cell r="CF49">
            <v>0</v>
          </cell>
          <cell r="CG49">
            <v>0</v>
          </cell>
          <cell r="CH49">
            <v>0</v>
          </cell>
          <cell r="CI49">
            <v>0</v>
          </cell>
          <cell r="CJ49">
            <v>0</v>
          </cell>
          <cell r="CK49">
            <v>-23.914000000000001</v>
          </cell>
          <cell r="CL49">
            <v>-49.082000000000001</v>
          </cell>
          <cell r="CM49">
            <v>-5.110563353103089</v>
          </cell>
          <cell r="CN49">
            <v>10.409999999999998</v>
          </cell>
          <cell r="CO49">
            <v>16.41200000000001</v>
          </cell>
          <cell r="CP49">
            <v>37.444999999999993</v>
          </cell>
          <cell r="CQ49">
            <v>80.51700000000001</v>
          </cell>
          <cell r="CR49">
            <v>132.27300000000002</v>
          </cell>
          <cell r="CS49">
            <v>192.05780228</v>
          </cell>
          <cell r="CT49">
            <v>241.49570389374998</v>
          </cell>
          <cell r="CU49">
            <v>0</v>
          </cell>
          <cell r="CV49">
            <v>0</v>
          </cell>
          <cell r="CW49">
            <v>0</v>
          </cell>
          <cell r="CX49">
            <v>0</v>
          </cell>
          <cell r="CY49">
            <v>0</v>
          </cell>
          <cell r="CZ49">
            <v>0</v>
          </cell>
          <cell r="DA49">
            <v>0</v>
          </cell>
          <cell r="DB49">
            <v>0</v>
          </cell>
          <cell r="DC49">
            <v>0</v>
          </cell>
          <cell r="DD49">
            <v>0</v>
          </cell>
          <cell r="DE49">
            <v>0</v>
          </cell>
          <cell r="DF49">
            <v>0</v>
          </cell>
          <cell r="DG49">
            <v>10.409999999999998</v>
          </cell>
          <cell r="DH49">
            <v>16.41200000000001</v>
          </cell>
          <cell r="DI49">
            <v>37.444999999999993</v>
          </cell>
          <cell r="DJ49">
            <v>80.51700000000001</v>
          </cell>
          <cell r="DK49">
            <v>0</v>
          </cell>
          <cell r="DL49">
            <v>0</v>
          </cell>
          <cell r="DM49">
            <v>0</v>
          </cell>
          <cell r="DN49">
            <v>0</v>
          </cell>
          <cell r="DO49">
            <v>0</v>
          </cell>
          <cell r="DP49">
            <v>0</v>
          </cell>
          <cell r="DQ49">
            <v>0</v>
          </cell>
          <cell r="DR49">
            <v>0</v>
          </cell>
          <cell r="DS49">
            <v>0</v>
          </cell>
          <cell r="DT49">
            <v>0</v>
          </cell>
          <cell r="DU49">
            <v>0</v>
          </cell>
          <cell r="DV49">
            <v>0</v>
          </cell>
          <cell r="DW49">
            <v>0</v>
          </cell>
          <cell r="DX49">
            <v>0</v>
          </cell>
          <cell r="DY49">
            <v>0</v>
          </cell>
          <cell r="DZ49">
            <v>0</v>
          </cell>
          <cell r="EA49">
            <v>0</v>
          </cell>
          <cell r="EB49">
            <v>0</v>
          </cell>
          <cell r="EC49">
            <v>0</v>
          </cell>
          <cell r="ED49">
            <v>0</v>
          </cell>
          <cell r="EE49">
            <v>0</v>
          </cell>
          <cell r="EF49">
            <v>0</v>
          </cell>
          <cell r="EG49">
            <v>0</v>
          </cell>
          <cell r="EH49">
            <v>0</v>
          </cell>
          <cell r="EI49">
            <v>0</v>
          </cell>
          <cell r="EJ49">
            <v>0</v>
          </cell>
          <cell r="EK49">
            <v>0</v>
          </cell>
          <cell r="EL49">
            <v>0</v>
          </cell>
          <cell r="EM49">
            <v>0</v>
          </cell>
          <cell r="EN49">
            <v>0</v>
          </cell>
          <cell r="EO49">
            <v>0</v>
          </cell>
        </row>
        <row r="50">
          <cell r="A50" t="str">
            <v>PAYC_ADJ_OTHERINC</v>
          </cell>
          <cell r="B50" t="str">
            <v>Other income (expense)</v>
          </cell>
          <cell r="C50">
            <v>1</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1.2999999999999999E-2</v>
          </cell>
          <cell r="AV50">
            <v>6.5000000000000002E-2</v>
          </cell>
          <cell r="AW50">
            <v>0.25700000000000001</v>
          </cell>
          <cell r="AX50">
            <v>1.9E-2</v>
          </cell>
          <cell r="AY50">
            <v>0.52499999999999991</v>
          </cell>
          <cell r="AZ50">
            <v>-0.24200000000000005</v>
          </cell>
          <cell r="BA50">
            <v>0.19199999999999995</v>
          </cell>
          <cell r="BB50">
            <v>2.1669999999999998</v>
          </cell>
          <cell r="BC50">
            <v>0.74500000000000011</v>
          </cell>
          <cell r="BD50">
            <v>3.3029999999999999</v>
          </cell>
          <cell r="BE50">
            <v>0.09</v>
          </cell>
          <cell r="BF50">
            <v>0.58099999999999996</v>
          </cell>
          <cell r="BG50">
            <v>0.69000000000000006</v>
          </cell>
          <cell r="BH50">
            <v>0.12000000000000001</v>
          </cell>
          <cell r="BI50">
            <v>0.96699999999999997</v>
          </cell>
          <cell r="BJ50">
            <v>1.244</v>
          </cell>
          <cell r="BK50">
            <v>0.88300000000000001</v>
          </cell>
          <cell r="BL50">
            <v>-1.1419999999999999</v>
          </cell>
          <cell r="BM50">
            <v>-11.684999999999999</v>
          </cell>
          <cell r="BN50">
            <v>-1.1850000000000001</v>
          </cell>
          <cell r="BO50">
            <v>-1.4610000000000001</v>
          </cell>
          <cell r="BP50">
            <v>0.14899999999999999</v>
          </cell>
          <cell r="BQ50">
            <v>0.11799999999999999</v>
          </cell>
          <cell r="BR50">
            <v>-1.429</v>
          </cell>
          <cell r="BS50">
            <v>1.03</v>
          </cell>
          <cell r="BT50">
            <v>1.03</v>
          </cell>
          <cell r="BU50">
            <v>1.03</v>
          </cell>
          <cell r="BV50">
            <v>1.03</v>
          </cell>
          <cell r="BW50">
            <v>1.03</v>
          </cell>
          <cell r="BX50">
            <v>1.03</v>
          </cell>
          <cell r="BY50">
            <v>1.03</v>
          </cell>
          <cell r="BZ50">
            <v>1.03</v>
          </cell>
          <cell r="CA50">
            <v>0</v>
          </cell>
          <cell r="CB50">
            <v>0</v>
          </cell>
          <cell r="CC50">
            <v>0</v>
          </cell>
          <cell r="CD50">
            <v>0</v>
          </cell>
          <cell r="CE50">
            <v>0</v>
          </cell>
          <cell r="CF50">
            <v>0</v>
          </cell>
          <cell r="CG50">
            <v>0</v>
          </cell>
          <cell r="CH50">
            <v>0</v>
          </cell>
          <cell r="CI50">
            <v>0</v>
          </cell>
          <cell r="CJ50">
            <v>0</v>
          </cell>
          <cell r="CK50">
            <v>1E-3</v>
          </cell>
          <cell r="CL50">
            <v>-1E-3</v>
          </cell>
          <cell r="CM50">
            <v>5.3999999999999999E-2</v>
          </cell>
          <cell r="CN50">
            <v>2.6419999999999995</v>
          </cell>
          <cell r="CO50">
            <v>4.7189999999999994</v>
          </cell>
          <cell r="CP50">
            <v>3.0209999999999999</v>
          </cell>
          <cell r="CQ50">
            <v>-13.129</v>
          </cell>
          <cell r="CR50">
            <v>-2.6230000000000002</v>
          </cell>
          <cell r="CS50">
            <v>4.12</v>
          </cell>
          <cell r="CT50">
            <v>4.12</v>
          </cell>
          <cell r="CU50">
            <v>0</v>
          </cell>
          <cell r="CV50">
            <v>0</v>
          </cell>
          <cell r="CW50">
            <v>0</v>
          </cell>
          <cell r="CX50">
            <v>0</v>
          </cell>
          <cell r="CY50">
            <v>0</v>
          </cell>
          <cell r="CZ50">
            <v>0</v>
          </cell>
          <cell r="DA50">
            <v>0</v>
          </cell>
          <cell r="DB50">
            <v>0</v>
          </cell>
          <cell r="DC50">
            <v>0</v>
          </cell>
          <cell r="DD50">
            <v>0</v>
          </cell>
          <cell r="DE50">
            <v>0</v>
          </cell>
          <cell r="DF50">
            <v>0</v>
          </cell>
          <cell r="DG50">
            <v>2.6419999999999995</v>
          </cell>
          <cell r="DH50">
            <v>4.7189999999999994</v>
          </cell>
          <cell r="DI50">
            <v>3.0209999999999999</v>
          </cell>
          <cell r="DJ50">
            <v>-13.129</v>
          </cell>
          <cell r="DK50">
            <v>0</v>
          </cell>
          <cell r="DL50">
            <v>0</v>
          </cell>
          <cell r="DM50">
            <v>0</v>
          </cell>
          <cell r="DN50">
            <v>0</v>
          </cell>
          <cell r="DO50">
            <v>0</v>
          </cell>
          <cell r="DP50">
            <v>0</v>
          </cell>
          <cell r="DQ50">
            <v>0</v>
          </cell>
          <cell r="DR50">
            <v>0</v>
          </cell>
          <cell r="DS50">
            <v>0</v>
          </cell>
          <cell r="DT50">
            <v>0</v>
          </cell>
          <cell r="DU50">
            <v>0</v>
          </cell>
          <cell r="DV50">
            <v>0</v>
          </cell>
          <cell r="DW50">
            <v>0</v>
          </cell>
          <cell r="DX50">
            <v>0</v>
          </cell>
          <cell r="DY50">
            <v>0</v>
          </cell>
          <cell r="DZ50">
            <v>0</v>
          </cell>
          <cell r="EA50">
            <v>0</v>
          </cell>
          <cell r="EB50">
            <v>0</v>
          </cell>
          <cell r="EC50">
            <v>0</v>
          </cell>
          <cell r="ED50">
            <v>0</v>
          </cell>
          <cell r="EE50">
            <v>0</v>
          </cell>
          <cell r="EF50">
            <v>0</v>
          </cell>
          <cell r="EG50">
            <v>0</v>
          </cell>
          <cell r="EH50">
            <v>0</v>
          </cell>
          <cell r="EI50">
            <v>0</v>
          </cell>
          <cell r="EJ50">
            <v>0</v>
          </cell>
          <cell r="EK50">
            <v>0</v>
          </cell>
          <cell r="EL50">
            <v>0</v>
          </cell>
          <cell r="EM50">
            <v>0</v>
          </cell>
          <cell r="EN50">
            <v>0</v>
          </cell>
          <cell r="EO50">
            <v>0</v>
          </cell>
        </row>
        <row r="57">
          <cell r="A57" t="str">
            <v>PAYC_ADJ_TAXES</v>
          </cell>
          <cell r="B57" t="str">
            <v>Provision for income taxes</v>
          </cell>
          <cell r="C57">
            <v>1</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0.82299999999999995</v>
          </cell>
          <cell r="AV57">
            <v>-0.67600000000000005</v>
          </cell>
          <cell r="AW57">
            <v>-0.151</v>
          </cell>
          <cell r="AX57">
            <v>-0.08</v>
          </cell>
          <cell r="AY57">
            <v>1.2409999999999999</v>
          </cell>
          <cell r="AZ57">
            <v>0.16900000000000001</v>
          </cell>
          <cell r="BA57">
            <v>-0.19900000000000001</v>
          </cell>
          <cell r="BB57">
            <v>-0.41899999999999998</v>
          </cell>
          <cell r="BC57">
            <v>0.78300000000000003</v>
          </cell>
          <cell r="BD57">
            <v>-0.44400000000000001</v>
          </cell>
          <cell r="BE57">
            <v>1.6890000000000001</v>
          </cell>
          <cell r="BF57">
            <v>1.9650000000000001</v>
          </cell>
          <cell r="BG57">
            <v>4.2439999999999998</v>
          </cell>
          <cell r="BH57">
            <v>4.4889999999999999</v>
          </cell>
          <cell r="BI57">
            <v>2.7629999999999999</v>
          </cell>
          <cell r="BJ57">
            <v>1.0840000000000001</v>
          </cell>
          <cell r="BK57">
            <v>9.8390000000000004</v>
          </cell>
          <cell r="BL57">
            <v>5.5289999999999999</v>
          </cell>
          <cell r="BM57">
            <v>-6.0810000000000004</v>
          </cell>
          <cell r="BN57">
            <v>4.1159999999999997</v>
          </cell>
          <cell r="BO57">
            <v>12.888999999999999</v>
          </cell>
          <cell r="BP57">
            <v>7.6189999999999989</v>
          </cell>
          <cell r="BQ57">
            <v>8.5640000000000001</v>
          </cell>
          <cell r="BR57">
            <v>9.4050000000000011</v>
          </cell>
          <cell r="BS57">
            <v>18.902999999999999</v>
          </cell>
          <cell r="BT57">
            <v>5.2387444976999999</v>
          </cell>
          <cell r="BU57">
            <v>5.302031093000001</v>
          </cell>
          <cell r="BV57">
            <v>8.5950639337000023</v>
          </cell>
          <cell r="BW57">
            <v>16.538880997500002</v>
          </cell>
          <cell r="BX57">
            <v>5.9600815371249984</v>
          </cell>
          <cell r="BY57">
            <v>6.7292156045000011</v>
          </cell>
          <cell r="BZ57">
            <v>11.641822256437502</v>
          </cell>
          <cell r="CA57">
            <v>0</v>
          </cell>
          <cell r="CB57">
            <v>0</v>
          </cell>
          <cell r="CC57">
            <v>0</v>
          </cell>
          <cell r="CD57">
            <v>0</v>
          </cell>
          <cell r="CE57">
            <v>0</v>
          </cell>
          <cell r="CF57">
            <v>0</v>
          </cell>
          <cell r="CG57">
            <v>0</v>
          </cell>
          <cell r="CH57">
            <v>0</v>
          </cell>
          <cell r="CI57">
            <v>0</v>
          </cell>
          <cell r="CJ57">
            <v>0</v>
          </cell>
          <cell r="CK57">
            <v>0</v>
          </cell>
          <cell r="CL57">
            <v>0</v>
          </cell>
          <cell r="CM57">
            <v>2.7E-2</v>
          </cell>
          <cell r="CN57">
            <v>0.79199999999999982</v>
          </cell>
          <cell r="CO57">
            <v>3.9930000000000003</v>
          </cell>
          <cell r="CP57">
            <v>12.58</v>
          </cell>
          <cell r="CQ57">
            <v>13.402999999999999</v>
          </cell>
          <cell r="CR57">
            <v>38.477000000000004</v>
          </cell>
          <cell r="CS57">
            <v>38.038839524400004</v>
          </cell>
          <cell r="CT57">
            <v>40.870000395562506</v>
          </cell>
          <cell r="CU57">
            <v>0</v>
          </cell>
          <cell r="CV57">
            <v>0</v>
          </cell>
          <cell r="CW57">
            <v>0</v>
          </cell>
          <cell r="CX57">
            <v>0</v>
          </cell>
          <cell r="CY57">
            <v>0</v>
          </cell>
          <cell r="CZ57">
            <v>0</v>
          </cell>
          <cell r="DA57">
            <v>0</v>
          </cell>
          <cell r="DB57">
            <v>0</v>
          </cell>
          <cell r="DC57">
            <v>0</v>
          </cell>
          <cell r="DD57">
            <v>0</v>
          </cell>
          <cell r="DE57">
            <v>0</v>
          </cell>
          <cell r="DF57">
            <v>0</v>
          </cell>
          <cell r="DG57">
            <v>0.79199999999999982</v>
          </cell>
          <cell r="DH57">
            <v>3.9930000000000003</v>
          </cell>
          <cell r="DI57">
            <v>12.58</v>
          </cell>
          <cell r="DJ57">
            <v>13.402999999999999</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cell r="EG57">
            <v>0</v>
          </cell>
          <cell r="EH57">
            <v>0</v>
          </cell>
          <cell r="EI57">
            <v>0</v>
          </cell>
          <cell r="EJ57">
            <v>0</v>
          </cell>
          <cell r="EK57">
            <v>0</v>
          </cell>
          <cell r="EL57">
            <v>0</v>
          </cell>
          <cell r="EM57">
            <v>0</v>
          </cell>
          <cell r="EN57">
            <v>0</v>
          </cell>
          <cell r="EO57">
            <v>0</v>
          </cell>
        </row>
        <row r="59">
          <cell r="A59" t="str">
            <v>PAYC_ADJ_EPS</v>
          </cell>
          <cell r="B59" t="str">
            <v>Earnings per Share (U.S.$)</v>
          </cell>
          <cell r="C59">
            <v>1</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t="e">
            <v>#DIV/0!</v>
          </cell>
          <cell r="AV59" t="e">
            <v>#DIV/0!</v>
          </cell>
          <cell r="AW59" t="e">
            <v>#DIV/0!</v>
          </cell>
          <cell r="AX59" t="e">
            <v>#DIV/0!</v>
          </cell>
          <cell r="AY59">
            <v>5.2754120612892752E-2</v>
          </cell>
          <cell r="AZ59">
            <v>9.4378492004204024E-3</v>
          </cell>
          <cell r="BA59">
            <v>-6.563430899604414E-5</v>
          </cell>
          <cell r="BB59">
            <v>-3.1075022362064895E-3</v>
          </cell>
          <cell r="BC59">
            <v>2.5115760382069911E-2</v>
          </cell>
          <cell r="BD59">
            <v>4.0616576078118548E-2</v>
          </cell>
          <cell r="BE59">
            <v>5.1738407666223896E-2</v>
          </cell>
          <cell r="BF59">
            <v>5.6837141387764668E-2</v>
          </cell>
          <cell r="BG59">
            <v>0.11760408514019528</v>
          </cell>
          <cell r="BH59">
            <v>0.10359936612332937</v>
          </cell>
          <cell r="BI59">
            <v>8.0797932696829694E-2</v>
          </cell>
          <cell r="BJ59">
            <v>0.10338283756145543</v>
          </cell>
          <cell r="BK59">
            <v>0.33304181964852486</v>
          </cell>
          <cell r="BL59">
            <v>0.2117987545885687</v>
          </cell>
          <cell r="BM59">
            <v>0.15212041445267174</v>
          </cell>
          <cell r="BN59">
            <v>0.18283725721289262</v>
          </cell>
          <cell r="BO59">
            <v>0.70582329420199375</v>
          </cell>
          <cell r="BP59">
            <v>0.25804009021831004</v>
          </cell>
          <cell r="BQ59">
            <v>0.28872072193021586</v>
          </cell>
          <cell r="BR59">
            <v>0.28509639318398383</v>
          </cell>
          <cell r="BS59">
            <v>0.94942464879902433</v>
          </cell>
          <cell r="BT59">
            <v>0.55303860137148131</v>
          </cell>
          <cell r="BU59">
            <v>0.5591008862893172</v>
          </cell>
          <cell r="BV59">
            <v>0.60110294579739842</v>
          </cell>
          <cell r="BW59">
            <v>1.3360683468416825</v>
          </cell>
          <cell r="BX59">
            <v>0.59926953501217173</v>
          </cell>
          <cell r="BY59">
            <v>0.6437274018763457</v>
          </cell>
          <cell r="BZ59">
            <v>0.75761804160490454</v>
          </cell>
          <cell r="CA59">
            <v>0</v>
          </cell>
          <cell r="CB59">
            <v>0</v>
          </cell>
          <cell r="CC59">
            <v>0</v>
          </cell>
          <cell r="CD59">
            <v>0</v>
          </cell>
          <cell r="CE59">
            <v>0</v>
          </cell>
          <cell r="CF59">
            <v>0</v>
          </cell>
          <cell r="CG59">
            <v>0</v>
          </cell>
          <cell r="CH59">
            <v>0</v>
          </cell>
          <cell r="CI59">
            <v>0</v>
          </cell>
          <cell r="CJ59">
            <v>0</v>
          </cell>
          <cell r="CK59">
            <v>-1.4582875960482986</v>
          </cell>
          <cell r="CL59">
            <v>-2.7519062570082982</v>
          </cell>
          <cell r="CM59">
            <v>-0.26147327194234588</v>
          </cell>
          <cell r="CN59">
            <v>5.9018833268110617E-2</v>
          </cell>
          <cell r="CO59">
            <v>0.17430788551417703</v>
          </cell>
          <cell r="CP59">
            <v>0.40538422152180981</v>
          </cell>
          <cell r="CQ59">
            <v>0.87979824590265787</v>
          </cell>
          <cell r="CR59">
            <v>1.5376804995345035</v>
          </cell>
          <cell r="CS59">
            <v>2.6626670822572214</v>
          </cell>
          <cell r="CT59">
            <v>3.3366833253351045</v>
          </cell>
          <cell r="CU59">
            <v>0</v>
          </cell>
          <cell r="CV59">
            <v>0</v>
          </cell>
          <cell r="CW59">
            <v>0</v>
          </cell>
          <cell r="CX59">
            <v>0</v>
          </cell>
          <cell r="CY59">
            <v>0</v>
          </cell>
          <cell r="CZ59">
            <v>0</v>
          </cell>
          <cell r="DA59">
            <v>0</v>
          </cell>
          <cell r="DB59">
            <v>0</v>
          </cell>
          <cell r="DC59">
            <v>0</v>
          </cell>
          <cell r="DD59">
            <v>0</v>
          </cell>
          <cell r="DE59">
            <v>0</v>
          </cell>
          <cell r="DF59">
            <v>0</v>
          </cell>
          <cell r="DG59">
            <v>6.0463966313322702E-2</v>
          </cell>
          <cell r="DH59">
            <v>0.17430788551417703</v>
          </cell>
          <cell r="DI59">
            <v>0.40538422152180981</v>
          </cell>
          <cell r="DJ59">
            <v>0.87979824590265787</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row>
        <row r="61">
          <cell r="A61" t="str">
            <v>PAYC_DIL_SHA</v>
          </cell>
          <cell r="B61" t="str">
            <v>Diluted Shares O/S</v>
          </cell>
          <cell r="C61">
            <v>2</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47.958339000000002</v>
          </cell>
          <cell r="AZ61">
            <v>47.998224</v>
          </cell>
          <cell r="BA61">
            <v>45.707802000000001</v>
          </cell>
          <cell r="BB61">
            <v>46.017665999999998</v>
          </cell>
          <cell r="BC61">
            <v>41.249000000000002</v>
          </cell>
          <cell r="BD61">
            <v>52.269300000000001</v>
          </cell>
          <cell r="BE61">
            <v>52.978051000000001</v>
          </cell>
          <cell r="BF61">
            <v>53.855629</v>
          </cell>
          <cell r="BG61">
            <v>56.562660999999999</v>
          </cell>
          <cell r="BH61">
            <v>58.369083000000003</v>
          </cell>
          <cell r="BI61">
            <v>58.367829999999998</v>
          </cell>
          <cell r="BJ61">
            <v>58.365586999999998</v>
          </cell>
          <cell r="BK61">
            <v>58.36204</v>
          </cell>
          <cell r="BL61">
            <v>58.697229</v>
          </cell>
          <cell r="BM61">
            <v>58.907280999999998</v>
          </cell>
          <cell r="BN61">
            <v>58.882966000000003</v>
          </cell>
          <cell r="BO61">
            <v>58.525979999999997</v>
          </cell>
          <cell r="BP61">
            <v>58.816442000000002</v>
          </cell>
          <cell r="BQ61">
            <v>58.873502000000002</v>
          </cell>
          <cell r="BR61">
            <v>58.850270999999999</v>
          </cell>
          <cell r="BS61">
            <v>58.738731999999999</v>
          </cell>
          <cell r="BT61">
            <v>59.238731999999999</v>
          </cell>
          <cell r="BU61">
            <v>59.738731999999999</v>
          </cell>
          <cell r="BV61">
            <v>60.238731999999999</v>
          </cell>
          <cell r="BW61">
            <v>60.738731999999999</v>
          </cell>
          <cell r="BX61">
            <v>61.238731999999999</v>
          </cell>
          <cell r="BY61">
            <v>61.738731999999999</v>
          </cell>
          <cell r="BZ61">
            <v>62.238731999999999</v>
          </cell>
          <cell r="CA61">
            <v>0</v>
          </cell>
          <cell r="CB61">
            <v>0</v>
          </cell>
          <cell r="CC61">
            <v>0</v>
          </cell>
          <cell r="CD61">
            <v>0</v>
          </cell>
          <cell r="CE61">
            <v>0</v>
          </cell>
          <cell r="CF61">
            <v>0</v>
          </cell>
          <cell r="CG61">
            <v>0</v>
          </cell>
          <cell r="CH61">
            <v>0</v>
          </cell>
          <cell r="CI61">
            <v>0</v>
          </cell>
          <cell r="CJ61">
            <v>0</v>
          </cell>
          <cell r="CK61">
            <v>16.398</v>
          </cell>
          <cell r="CL61">
            <v>17.835999999999999</v>
          </cell>
          <cell r="CM61">
            <v>19.442</v>
          </cell>
          <cell r="CN61">
            <v>46.920507749999999</v>
          </cell>
          <cell r="CO61">
            <v>50.087994999999999</v>
          </cell>
          <cell r="CP61">
            <v>57.916290250000003</v>
          </cell>
          <cell r="CQ61">
            <v>58.712378999999999</v>
          </cell>
          <cell r="CR61">
            <v>58.766548749999998</v>
          </cell>
          <cell r="CS61">
            <v>59.488731999999999</v>
          </cell>
          <cell r="CT61">
            <v>61.488731999999999</v>
          </cell>
          <cell r="CU61">
            <v>0</v>
          </cell>
          <cell r="CV61">
            <v>0</v>
          </cell>
          <cell r="CW61">
            <v>0</v>
          </cell>
          <cell r="CX61">
            <v>0</v>
          </cell>
          <cell r="CY61">
            <v>0</v>
          </cell>
          <cell r="CZ61">
            <v>0</v>
          </cell>
          <cell r="DA61">
            <v>0</v>
          </cell>
          <cell r="DB61">
            <v>0</v>
          </cell>
          <cell r="DC61">
            <v>0</v>
          </cell>
          <cell r="DD61">
            <v>0</v>
          </cell>
          <cell r="DE61">
            <v>0</v>
          </cell>
          <cell r="DF61">
            <v>0</v>
          </cell>
          <cell r="DG61">
            <v>46.920507749999999</v>
          </cell>
          <cell r="DH61">
            <v>50.087994999999999</v>
          </cell>
          <cell r="DI61">
            <v>57.916290250000003</v>
          </cell>
          <cell r="DJ61">
            <v>58.712378999999999</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row>
        <row r="163">
          <cell r="A163" t="str">
            <v>PAYC_CAPEX</v>
          </cell>
          <cell r="B163" t="str">
            <v>Cap Ex</v>
          </cell>
          <cell r="C163">
            <v>1</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-1.2270000000000001</v>
          </cell>
          <cell r="AZ163">
            <v>-1.6119999999999999</v>
          </cell>
          <cell r="BA163">
            <v>-3.4039999999999999</v>
          </cell>
          <cell r="BB163">
            <v>-10.932999999999998</v>
          </cell>
          <cell r="BC163">
            <v>-5.16</v>
          </cell>
          <cell r="BD163">
            <v>-4.1180000000000003</v>
          </cell>
          <cell r="BE163">
            <v>-2.67</v>
          </cell>
          <cell r="BF163">
            <v>-2.3219999999999992</v>
          </cell>
          <cell r="BG163">
            <v>-2.5019999999999998</v>
          </cell>
          <cell r="BH163">
            <v>-2.42</v>
          </cell>
          <cell r="BI163">
            <v>-5.2280000000000006</v>
          </cell>
          <cell r="BJ163">
            <v>-6.3989999999999982</v>
          </cell>
          <cell r="BK163">
            <v>-8.3629999999999995</v>
          </cell>
          <cell r="BL163">
            <v>-15.977</v>
          </cell>
          <cell r="BM163">
            <v>-7.7900000000000027</v>
          </cell>
          <cell r="BN163">
            <v>-11.675000000000001</v>
          </cell>
          <cell r="BO163">
            <v>-9.1359999999999992</v>
          </cell>
          <cell r="BP163">
            <v>-12.773</v>
          </cell>
          <cell r="BQ163">
            <v>-21.017000000000003</v>
          </cell>
          <cell r="BR163">
            <v>-16.463000000000001</v>
          </cell>
          <cell r="BS163">
            <v>-18.707999999999998</v>
          </cell>
          <cell r="BT163">
            <v>-8.6894650500000008</v>
          </cell>
          <cell r="BU163">
            <v>-8.8563510000000001</v>
          </cell>
          <cell r="BV163">
            <v>-9.9298321500000029</v>
          </cell>
          <cell r="BW163">
            <v>-13.4605415</v>
          </cell>
          <cell r="BX163">
            <v>-10.8539521125</v>
          </cell>
          <cell r="BY163">
            <v>-11.062924949999999</v>
          </cell>
          <cell r="BZ163">
            <v>-12.402361387500003</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-17.175999999999998</v>
          </cell>
          <cell r="CO163">
            <v>-14.27</v>
          </cell>
          <cell r="CP163">
            <v>-16.548999999999999</v>
          </cell>
          <cell r="CQ163">
            <v>-43.805000000000007</v>
          </cell>
          <cell r="CR163">
            <v>-59.389000000000003</v>
          </cell>
          <cell r="CS163">
            <v>-38.148599650000008</v>
          </cell>
          <cell r="CT163">
            <v>-47.653319262499998</v>
          </cell>
          <cell r="CU163">
            <v>0</v>
          </cell>
          <cell r="CV163">
            <v>0</v>
          </cell>
          <cell r="CW163">
            <v>0</v>
          </cell>
          <cell r="CX163">
            <v>0</v>
          </cell>
          <cell r="CY163">
            <v>0</v>
          </cell>
          <cell r="CZ163">
            <v>0</v>
          </cell>
          <cell r="DA163">
            <v>0</v>
          </cell>
          <cell r="DB163">
            <v>0</v>
          </cell>
          <cell r="DC163">
            <v>0</v>
          </cell>
          <cell r="DD163">
            <v>0</v>
          </cell>
          <cell r="DE163">
            <v>0</v>
          </cell>
          <cell r="DF163">
            <v>0</v>
          </cell>
          <cell r="DG163">
            <v>-6.2430000000000003</v>
          </cell>
          <cell r="DH163">
            <v>-17.175999999999998</v>
          </cell>
          <cell r="DI163">
            <v>-14.27</v>
          </cell>
          <cell r="DJ163">
            <v>-16.548999999999999</v>
          </cell>
          <cell r="DK163">
            <v>0</v>
          </cell>
          <cell r="DL163">
            <v>0</v>
          </cell>
          <cell r="DM163">
            <v>0</v>
          </cell>
          <cell r="DN163">
            <v>0</v>
          </cell>
          <cell r="DO163">
            <v>0</v>
          </cell>
          <cell r="DP163">
            <v>0</v>
          </cell>
          <cell r="DQ163">
            <v>0</v>
          </cell>
          <cell r="DR163">
            <v>0</v>
          </cell>
          <cell r="DS163">
            <v>0</v>
          </cell>
          <cell r="DT163">
            <v>0</v>
          </cell>
          <cell r="DU163">
            <v>0</v>
          </cell>
          <cell r="DV163">
            <v>0</v>
          </cell>
          <cell r="DW163">
            <v>0</v>
          </cell>
          <cell r="DX163">
            <v>0</v>
          </cell>
          <cell r="DY163">
            <v>0</v>
          </cell>
          <cell r="DZ163">
            <v>0</v>
          </cell>
          <cell r="EA163">
            <v>0</v>
          </cell>
          <cell r="EB163">
            <v>0</v>
          </cell>
          <cell r="EC163">
            <v>0</v>
          </cell>
          <cell r="ED163">
            <v>0</v>
          </cell>
          <cell r="EE163">
            <v>0</v>
          </cell>
          <cell r="EF163">
            <v>0</v>
          </cell>
          <cell r="EG163">
            <v>0</v>
          </cell>
          <cell r="EH163">
            <v>0</v>
          </cell>
          <cell r="EI163">
            <v>0</v>
          </cell>
          <cell r="EJ163">
            <v>0</v>
          </cell>
          <cell r="EK163">
            <v>0</v>
          </cell>
          <cell r="EL163">
            <v>0</v>
          </cell>
          <cell r="EM163">
            <v>0</v>
          </cell>
          <cell r="EN163">
            <v>0</v>
          </cell>
          <cell r="EO163">
            <v>0</v>
          </cell>
        </row>
        <row r="164">
          <cell r="A164" t="str">
            <v>PAYC_FCF</v>
          </cell>
          <cell r="B164" t="str">
            <v>FCF</v>
          </cell>
          <cell r="C164">
            <v>1</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-3.2520000000000011</v>
          </cell>
          <cell r="AV164">
            <v>-3.4480000000000022</v>
          </cell>
          <cell r="AW164">
            <v>-2.7189999999999968</v>
          </cell>
          <cell r="AX164">
            <v>-4.7699999999999978</v>
          </cell>
          <cell r="AY164">
            <v>1.9583789893617018</v>
          </cell>
          <cell r="AZ164">
            <v>-2.7166151797603186</v>
          </cell>
          <cell r="BA164">
            <v>-3.1958663594469838</v>
          </cell>
          <cell r="BB164">
            <v>-18.879865718799387</v>
          </cell>
          <cell r="BC164">
            <v>-6.6542677824267438</v>
          </cell>
          <cell r="BD164">
            <v>8.8545677419354636</v>
          </cell>
          <cell r="BE164">
            <v>4.0023207171314432</v>
          </cell>
          <cell r="BF164">
            <v>5.4437952008928745</v>
          </cell>
          <cell r="BG164">
            <v>10.693120358744327</v>
          </cell>
          <cell r="BH164">
            <v>10.550216441207169</v>
          </cell>
          <cell r="BI164">
            <v>3.6898150600381543</v>
          </cell>
          <cell r="BJ164">
            <v>4.2827028666586555</v>
          </cell>
          <cell r="BK164">
            <v>23.036254791210993</v>
          </cell>
          <cell r="BL164">
            <v>3.20638516786385</v>
          </cell>
          <cell r="BM164">
            <v>-6.9350468749999958</v>
          </cell>
          <cell r="BN164">
            <v>-21.80526152398885</v>
          </cell>
          <cell r="BO164">
            <v>69.966072419646537</v>
          </cell>
          <cell r="BP164">
            <v>2.2949999999999982</v>
          </cell>
          <cell r="BQ164">
            <v>16.110000000000007</v>
          </cell>
          <cell r="BR164">
            <v>21.716999999999992</v>
          </cell>
          <cell r="BS164">
            <v>38.955999999999996</v>
          </cell>
          <cell r="BT164">
            <v>22.105709744473913</v>
          </cell>
          <cell r="BU164">
            <v>37.106433002478255</v>
          </cell>
          <cell r="BV164">
            <v>43.336605454097096</v>
          </cell>
          <cell r="BW164">
            <v>85.75868637664648</v>
          </cell>
          <cell r="BX164">
            <v>26.495146073752299</v>
          </cell>
          <cell r="BY164">
            <v>50.051342350263894</v>
          </cell>
          <cell r="BZ164">
            <v>61.538108405518507</v>
          </cell>
          <cell r="CA164">
            <v>0</v>
          </cell>
          <cell r="CB164">
            <v>0</v>
          </cell>
          <cell r="CC164">
            <v>0</v>
          </cell>
          <cell r="CD164">
            <v>0</v>
          </cell>
          <cell r="CE164">
            <v>0</v>
          </cell>
          <cell r="CF164">
            <v>0</v>
          </cell>
          <cell r="CG164">
            <v>0</v>
          </cell>
          <cell r="CH164">
            <v>0</v>
          </cell>
          <cell r="CI164">
            <v>0</v>
          </cell>
          <cell r="CJ164">
            <v>0</v>
          </cell>
          <cell r="CK164">
            <v>0</v>
          </cell>
          <cell r="CL164">
            <v>0</v>
          </cell>
          <cell r="CM164">
            <v>-14.188999999999998</v>
          </cell>
          <cell r="CN164">
            <v>-22.833968268644988</v>
          </cell>
          <cell r="CO164">
            <v>11.646415877533038</v>
          </cell>
          <cell r="CP164">
            <v>11.646415877533038</v>
          </cell>
          <cell r="CQ164">
            <v>-2.4976684399140048</v>
          </cell>
          <cell r="CR164">
            <v>110.08807241964652</v>
          </cell>
          <cell r="CS164">
            <v>141.50474820104927</v>
          </cell>
          <cell r="CT164">
            <v>188.30743457769574</v>
          </cell>
          <cell r="CU164">
            <v>0</v>
          </cell>
          <cell r="CV164">
            <v>0</v>
          </cell>
          <cell r="CW164">
            <v>0</v>
          </cell>
          <cell r="CX164">
            <v>0</v>
          </cell>
          <cell r="CY164">
            <v>0</v>
          </cell>
          <cell r="CZ164">
            <v>0</v>
          </cell>
          <cell r="DA164">
            <v>0</v>
          </cell>
          <cell r="DB164">
            <v>0</v>
          </cell>
          <cell r="DC164">
            <v>0</v>
          </cell>
          <cell r="DD164">
            <v>0</v>
          </cell>
          <cell r="DE164">
            <v>0</v>
          </cell>
          <cell r="DF164">
            <v>0</v>
          </cell>
          <cell r="DG164">
            <v>-8.7241025498455986</v>
          </cell>
          <cell r="DH164">
            <v>-22.833968268644988</v>
          </cell>
          <cell r="DI164">
            <v>11.646415877533038</v>
          </cell>
          <cell r="DJ164">
            <v>29.215854726648306</v>
          </cell>
          <cell r="DK164">
            <v>0</v>
          </cell>
          <cell r="DL164">
            <v>0</v>
          </cell>
          <cell r="DM164">
            <v>0</v>
          </cell>
          <cell r="DN164">
            <v>0</v>
          </cell>
          <cell r="DO164">
            <v>0</v>
          </cell>
          <cell r="DP164">
            <v>0</v>
          </cell>
          <cell r="DQ164">
            <v>0</v>
          </cell>
          <cell r="DR164">
            <v>0</v>
          </cell>
          <cell r="DS164">
            <v>0</v>
          </cell>
          <cell r="DT164">
            <v>0</v>
          </cell>
          <cell r="DU164">
            <v>0</v>
          </cell>
          <cell r="DV164">
            <v>0</v>
          </cell>
          <cell r="DW164">
            <v>0</v>
          </cell>
          <cell r="DX164">
            <v>0</v>
          </cell>
          <cell r="DY164">
            <v>0</v>
          </cell>
          <cell r="DZ164">
            <v>0</v>
          </cell>
          <cell r="EA164">
            <v>0</v>
          </cell>
          <cell r="EB164">
            <v>0</v>
          </cell>
          <cell r="EC164">
            <v>0</v>
          </cell>
          <cell r="ED164">
            <v>0</v>
          </cell>
          <cell r="EE164">
            <v>0</v>
          </cell>
          <cell r="EF164">
            <v>0</v>
          </cell>
          <cell r="EG164">
            <v>0</v>
          </cell>
          <cell r="EH164">
            <v>0</v>
          </cell>
          <cell r="EI164">
            <v>0</v>
          </cell>
          <cell r="EJ164">
            <v>0</v>
          </cell>
          <cell r="EK164">
            <v>0</v>
          </cell>
          <cell r="EL164">
            <v>0</v>
          </cell>
          <cell r="EM164">
            <v>0</v>
          </cell>
          <cell r="EN164">
            <v>0</v>
          </cell>
          <cell r="EO164">
            <v>0</v>
          </cell>
        </row>
        <row r="165">
          <cell r="A165" t="str">
            <v>PAYC_FCF_PS</v>
          </cell>
          <cell r="B165" t="str">
            <v>FCF/Share</v>
          </cell>
          <cell r="C165">
            <v>1</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t="e">
            <v>#DIV/0!</v>
          </cell>
          <cell r="AV165" t="e">
            <v>#DIV/0!</v>
          </cell>
          <cell r="AW165" t="e">
            <v>#DIV/0!</v>
          </cell>
          <cell r="AX165" t="e">
            <v>#DIV/0!</v>
          </cell>
          <cell r="AY165">
            <v>4.3286804956827817E-2</v>
          </cell>
          <cell r="AZ165">
            <v>-5.9546338167484038E-2</v>
          </cell>
          <cell r="BA165">
            <v>-6.9919493382048517E-2</v>
          </cell>
          <cell r="BB165">
            <v>-0.41027430028283896</v>
          </cell>
          <cell r="BC165">
            <v>-0.13858560488457203</v>
          </cell>
          <cell r="BD165">
            <v>0.17608988937625306</v>
          </cell>
          <cell r="BE165">
            <v>7.8390091290137631E-2</v>
          </cell>
          <cell r="BF165">
            <v>0.10465067487985337</v>
          </cell>
          <cell r="BG165">
            <v>0.19530830920276671</v>
          </cell>
          <cell r="BH165">
            <v>0.18496813627540074</v>
          </cell>
          <cell r="BI165">
            <v>6.4676088020928099E-2</v>
          </cell>
          <cell r="BJ165">
            <v>7.4990436727969415E-2</v>
          </cell>
          <cell r="BK165">
            <v>0.4032046537523758</v>
          </cell>
          <cell r="BL165">
            <v>5.5674570901745567E-2</v>
          </cell>
          <cell r="BM165">
            <v>-0.11994255931720468</v>
          </cell>
          <cell r="BN165">
            <v>-0.37821863404381761</v>
          </cell>
          <cell r="BO165">
            <v>1.2208952503574557</v>
          </cell>
          <cell r="BP165">
            <v>3.9638049169626884E-2</v>
          </cell>
          <cell r="BQ165">
            <v>0.27774319157649563</v>
          </cell>
          <cell r="BR165">
            <v>0.3737856677490678</v>
          </cell>
          <cell r="BS165">
            <v>0.67406060416670011</v>
          </cell>
          <cell r="BT165">
            <v>0.37921707619235862</v>
          </cell>
          <cell r="BU165">
            <v>0.63113667420160136</v>
          </cell>
          <cell r="BV165">
            <v>0.73088878356053966</v>
          </cell>
          <cell r="BW165">
            <v>1.4342590836500519</v>
          </cell>
          <cell r="BX165">
            <v>0.43943966906008841</v>
          </cell>
          <cell r="BY165">
            <v>0.82330734482909163</v>
          </cell>
          <cell r="BZ165">
            <v>1.0039985857039309</v>
          </cell>
          <cell r="CA165">
            <v>0</v>
          </cell>
          <cell r="CB165">
            <v>0</v>
          </cell>
          <cell r="CC165">
            <v>0</v>
          </cell>
          <cell r="CD165">
            <v>0</v>
          </cell>
          <cell r="CE165">
            <v>0</v>
          </cell>
          <cell r="CF165">
            <v>0</v>
          </cell>
          <cell r="CG165">
            <v>0</v>
          </cell>
          <cell r="CH165">
            <v>0</v>
          </cell>
          <cell r="CI165">
            <v>0</v>
          </cell>
          <cell r="CJ165">
            <v>0</v>
          </cell>
          <cell r="CK165">
            <v>0</v>
          </cell>
          <cell r="CL165">
            <v>0</v>
          </cell>
          <cell r="CM165" t="e">
            <v>#VALUE!</v>
          </cell>
          <cell r="CN165">
            <v>-0.49645332687554367</v>
          </cell>
          <cell r="CO165">
            <v>0.22054505066167202</v>
          </cell>
          <cell r="CP165">
            <v>0.51994297022706493</v>
          </cell>
          <cell r="CQ165">
            <v>-3.9281968706900927E-2</v>
          </cell>
          <cell r="CR165">
            <v>1.9120621588526461</v>
          </cell>
          <cell r="CS165">
            <v>3.005769038894186</v>
          </cell>
          <cell r="CT165">
            <v>3.7122028195858956</v>
          </cell>
          <cell r="CU165">
            <v>0</v>
          </cell>
          <cell r="CV165">
            <v>0</v>
          </cell>
          <cell r="CW165">
            <v>0</v>
          </cell>
          <cell r="CX165">
            <v>0</v>
          </cell>
          <cell r="CY165">
            <v>0</v>
          </cell>
          <cell r="CZ165">
            <v>0</v>
          </cell>
          <cell r="DA165">
            <v>0</v>
          </cell>
          <cell r="DB165">
            <v>0</v>
          </cell>
          <cell r="DC165">
            <v>0</v>
          </cell>
          <cell r="DD165">
            <v>0</v>
          </cell>
          <cell r="DE165">
            <v>0</v>
          </cell>
          <cell r="DF165">
            <v>0</v>
          </cell>
          <cell r="DG165" t="e">
            <v>#DIV/0!</v>
          </cell>
          <cell r="DH165">
            <v>-0.49645332687554367</v>
          </cell>
          <cell r="DI165">
            <v>0.22054505066167202</v>
          </cell>
          <cell r="DJ165">
            <v>0.51994297022706493</v>
          </cell>
          <cell r="DK165">
            <v>0</v>
          </cell>
          <cell r="DL165">
            <v>0</v>
          </cell>
          <cell r="DM165">
            <v>0</v>
          </cell>
          <cell r="DN165">
            <v>0</v>
          </cell>
          <cell r="DO165">
            <v>0</v>
          </cell>
          <cell r="DP165">
            <v>0</v>
          </cell>
          <cell r="DQ165">
            <v>0</v>
          </cell>
          <cell r="DR165">
            <v>0</v>
          </cell>
          <cell r="DS165">
            <v>0</v>
          </cell>
          <cell r="DT165">
            <v>0</v>
          </cell>
          <cell r="DU165">
            <v>0</v>
          </cell>
          <cell r="DV165">
            <v>0</v>
          </cell>
          <cell r="DW165">
            <v>0</v>
          </cell>
          <cell r="DX165">
            <v>0</v>
          </cell>
          <cell r="DY165">
            <v>0</v>
          </cell>
          <cell r="DZ165">
            <v>0</v>
          </cell>
          <cell r="EA165">
            <v>0</v>
          </cell>
          <cell r="EB165">
            <v>0</v>
          </cell>
          <cell r="EC165">
            <v>0</v>
          </cell>
          <cell r="ED165">
            <v>0</v>
          </cell>
          <cell r="EE165">
            <v>0</v>
          </cell>
          <cell r="EF165">
            <v>0</v>
          </cell>
          <cell r="EG165">
            <v>0</v>
          </cell>
          <cell r="EH165">
            <v>0</v>
          </cell>
          <cell r="EI165">
            <v>0</v>
          </cell>
          <cell r="EJ165">
            <v>0</v>
          </cell>
          <cell r="EK165">
            <v>0</v>
          </cell>
          <cell r="EL165">
            <v>0</v>
          </cell>
          <cell r="EM165">
            <v>0</v>
          </cell>
          <cell r="EN165">
            <v>0</v>
          </cell>
          <cell r="EO165">
            <v>0</v>
          </cell>
        </row>
        <row r="185">
          <cell r="A185" t="str">
            <v>OPWR_DSO</v>
          </cell>
          <cell r="B185" t="str">
            <v>DSO (based on recognized rev.)</v>
          </cell>
          <cell r="C185">
            <v>2</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44.305157929319009</v>
          </cell>
          <cell r="AY185">
            <v>0</v>
          </cell>
          <cell r="AZ185">
            <v>0</v>
          </cell>
          <cell r="BA185">
            <v>0</v>
          </cell>
          <cell r="BB185">
            <v>5.0677014531043598</v>
          </cell>
          <cell r="BC185">
            <v>1.8133567662565901</v>
          </cell>
          <cell r="BD185">
            <v>2.5026121419564049</v>
          </cell>
          <cell r="BE185">
            <v>3.6902562981583698</v>
          </cell>
          <cell r="BF185">
            <v>5.7098092643051768</v>
          </cell>
          <cell r="BG185">
            <v>2.7750534207381112</v>
          </cell>
          <cell r="BH185">
            <v>4.8129377412043368</v>
          </cell>
          <cell r="BI185">
            <v>5.6473436935309005</v>
          </cell>
          <cell r="BJ185">
            <v>3.2896280598298482</v>
          </cell>
          <cell r="BK185">
            <v>2.6050196391718266</v>
          </cell>
          <cell r="BL185">
            <v>3.4556036816459117</v>
          </cell>
          <cell r="BM185">
            <v>1.759689621726479</v>
          </cell>
          <cell r="BN185">
            <v>1.3723949436282883</v>
          </cell>
          <cell r="BO185">
            <v>1.4064079392174582</v>
          </cell>
          <cell r="BP185">
            <v>1.6887006627505674</v>
          </cell>
          <cell r="BQ185">
            <v>1.3115997117102884</v>
          </cell>
          <cell r="BR185">
            <v>1.2439377329532997</v>
          </cell>
          <cell r="BS185">
            <v>1.3893942150263783</v>
          </cell>
          <cell r="BT185">
            <v>1</v>
          </cell>
          <cell r="BU185">
            <v>1</v>
          </cell>
          <cell r="BV185">
            <v>1</v>
          </cell>
          <cell r="BW185">
            <v>1</v>
          </cell>
          <cell r="BX185">
            <v>1</v>
          </cell>
          <cell r="BY185">
            <v>1</v>
          </cell>
          <cell r="BZ185">
            <v>1</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3.4290086176691355</v>
          </cell>
          <cell r="CP185">
            <v>4.1312407288257988</v>
          </cell>
          <cell r="CQ185">
            <v>2.2981769715431266</v>
          </cell>
          <cell r="CR185">
            <v>1.4126615116579033</v>
          </cell>
          <cell r="CS185">
            <v>1.0973485537565946</v>
          </cell>
          <cell r="CT185">
            <v>1</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v>0</v>
          </cell>
          <cell r="DU185">
            <v>0</v>
          </cell>
          <cell r="DV185">
            <v>0</v>
          </cell>
          <cell r="DW185">
            <v>0</v>
          </cell>
          <cell r="DX185">
            <v>0</v>
          </cell>
          <cell r="DY185">
            <v>0</v>
          </cell>
          <cell r="DZ185">
            <v>0</v>
          </cell>
          <cell r="EA185">
            <v>0</v>
          </cell>
          <cell r="EB185">
            <v>0</v>
          </cell>
          <cell r="EC185">
            <v>0</v>
          </cell>
          <cell r="ED185">
            <v>0</v>
          </cell>
          <cell r="EE185">
            <v>0</v>
          </cell>
          <cell r="EF185">
            <v>0</v>
          </cell>
          <cell r="EG185">
            <v>0</v>
          </cell>
          <cell r="EH185">
            <v>0</v>
          </cell>
          <cell r="EI185">
            <v>0</v>
          </cell>
          <cell r="EJ185">
            <v>0</v>
          </cell>
          <cell r="EK185">
            <v>0</v>
          </cell>
          <cell r="EL185">
            <v>0</v>
          </cell>
          <cell r="EM185">
            <v>0</v>
          </cell>
          <cell r="EN185">
            <v>0</v>
          </cell>
          <cell r="EO185">
            <v>0</v>
          </cell>
        </row>
        <row r="191">
          <cell r="A191" t="str">
            <v>OPWR_DEF_REV</v>
          </cell>
          <cell r="B191" t="str">
            <v>Deferred Revenues</v>
          </cell>
          <cell r="C191">
            <v>1</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32.395000000000003</v>
          </cell>
          <cell r="AY191">
            <v>0</v>
          </cell>
          <cell r="AZ191">
            <v>0</v>
          </cell>
          <cell r="BA191">
            <v>0</v>
          </cell>
          <cell r="BB191">
            <v>12.572000000000001</v>
          </cell>
          <cell r="BC191">
            <v>13.946</v>
          </cell>
          <cell r="BD191">
            <v>15.291</v>
          </cell>
          <cell r="BE191">
            <v>17.234000000000002</v>
          </cell>
          <cell r="BF191">
            <v>19.337</v>
          </cell>
          <cell r="BG191">
            <v>20.776</v>
          </cell>
          <cell r="BH191">
            <v>23.035000000000004</v>
          </cell>
          <cell r="BI191">
            <v>25.986000000000001</v>
          </cell>
          <cell r="BJ191">
            <v>29.035999999999998</v>
          </cell>
          <cell r="BK191">
            <v>30.818999999999999</v>
          </cell>
          <cell r="BL191">
            <v>33.710999999999999</v>
          </cell>
          <cell r="BM191">
            <v>36.884999999999998</v>
          </cell>
          <cell r="BN191">
            <v>39.710999999999999</v>
          </cell>
          <cell r="BO191">
            <v>42.165999999999997</v>
          </cell>
          <cell r="BP191">
            <v>45.003999999999998</v>
          </cell>
          <cell r="BQ191">
            <v>48.367000000000004</v>
          </cell>
          <cell r="BR191">
            <v>51.624000000000002</v>
          </cell>
          <cell r="BS191">
            <v>53.776999999999994</v>
          </cell>
          <cell r="BT191">
            <v>59.154700000000005</v>
          </cell>
          <cell r="BU191">
            <v>65.070170000000005</v>
          </cell>
          <cell r="BV191">
            <v>70.92648530000001</v>
          </cell>
          <cell r="BW191">
            <v>77.309868977000022</v>
          </cell>
          <cell r="BX191">
            <v>84.267757184930034</v>
          </cell>
          <cell r="BY191">
            <v>91.851855331573745</v>
          </cell>
          <cell r="BZ191">
            <v>100.11852231141539</v>
          </cell>
          <cell r="CA191">
            <v>0</v>
          </cell>
          <cell r="CB191">
            <v>0</v>
          </cell>
          <cell r="CC191">
            <v>0</v>
          </cell>
          <cell r="CD191">
            <v>0</v>
          </cell>
          <cell r="CE191">
            <v>0</v>
          </cell>
          <cell r="CF191">
            <v>0</v>
          </cell>
          <cell r="CG191">
            <v>0</v>
          </cell>
          <cell r="CH191">
            <v>0</v>
          </cell>
          <cell r="CI191">
            <v>0</v>
          </cell>
          <cell r="CJ191">
            <v>0</v>
          </cell>
          <cell r="CK191">
            <v>0</v>
          </cell>
          <cell r="CL191">
            <v>0</v>
          </cell>
          <cell r="CM191">
            <v>32.395000000000003</v>
          </cell>
          <cell r="CN191">
            <v>12.572000000000001</v>
          </cell>
          <cell r="CO191">
            <v>19.337</v>
          </cell>
          <cell r="CP191">
            <v>29.035999999999998</v>
          </cell>
          <cell r="CQ191">
            <v>39.710999999999999</v>
          </cell>
          <cell r="CR191">
            <v>51.624000000000002</v>
          </cell>
          <cell r="CS191">
            <v>70.92648530000001</v>
          </cell>
          <cell r="CT191">
            <v>100.11852231141539</v>
          </cell>
          <cell r="CU191">
            <v>0</v>
          </cell>
          <cell r="CV191">
            <v>0</v>
          </cell>
          <cell r="CW191">
            <v>0</v>
          </cell>
          <cell r="CX191">
            <v>0</v>
          </cell>
          <cell r="CY191">
            <v>0</v>
          </cell>
          <cell r="CZ191">
            <v>0</v>
          </cell>
          <cell r="DA191">
            <v>0</v>
          </cell>
          <cell r="DB191">
            <v>0</v>
          </cell>
          <cell r="DC191">
            <v>0</v>
          </cell>
          <cell r="DD191">
            <v>0</v>
          </cell>
          <cell r="DE191">
            <v>0</v>
          </cell>
          <cell r="DF191">
            <v>0</v>
          </cell>
          <cell r="DG191">
            <v>12.572000000000001</v>
          </cell>
          <cell r="DH191">
            <v>65.808000000000007</v>
          </cell>
          <cell r="DI191">
            <v>98.833000000000013</v>
          </cell>
          <cell r="DJ191">
            <v>141.12599999999998</v>
          </cell>
          <cell r="DK191">
            <v>0</v>
          </cell>
          <cell r="DL191">
            <v>0</v>
          </cell>
          <cell r="DM191">
            <v>0</v>
          </cell>
          <cell r="DN191">
            <v>0</v>
          </cell>
          <cell r="DO191">
            <v>0</v>
          </cell>
          <cell r="DP191">
            <v>0</v>
          </cell>
          <cell r="DQ191">
            <v>0</v>
          </cell>
          <cell r="DR191">
            <v>0</v>
          </cell>
          <cell r="DS191">
            <v>0</v>
          </cell>
          <cell r="DT191">
            <v>0</v>
          </cell>
          <cell r="DU191">
            <v>0</v>
          </cell>
          <cell r="DV191">
            <v>0</v>
          </cell>
          <cell r="DW191">
            <v>0</v>
          </cell>
          <cell r="DX191">
            <v>0</v>
          </cell>
          <cell r="DY191">
            <v>0</v>
          </cell>
          <cell r="DZ191">
            <v>0</v>
          </cell>
          <cell r="EA191">
            <v>0</v>
          </cell>
          <cell r="EB191">
            <v>0</v>
          </cell>
          <cell r="EC191">
            <v>0</v>
          </cell>
          <cell r="ED191">
            <v>0</v>
          </cell>
          <cell r="EE191">
            <v>0</v>
          </cell>
          <cell r="EF191">
            <v>0</v>
          </cell>
          <cell r="EG191">
            <v>0</v>
          </cell>
          <cell r="EH191">
            <v>0</v>
          </cell>
          <cell r="EI191">
            <v>0</v>
          </cell>
          <cell r="EJ191">
            <v>0</v>
          </cell>
          <cell r="EK191">
            <v>0</v>
          </cell>
          <cell r="EL191">
            <v>0</v>
          </cell>
          <cell r="EM191">
            <v>0</v>
          </cell>
          <cell r="EN191">
            <v>0</v>
          </cell>
          <cell r="EO191">
            <v>0</v>
          </cell>
        </row>
        <row r="192">
          <cell r="A192" t="str">
            <v>OPWR_BOOKINGS</v>
          </cell>
          <cell r="B192" t="str">
            <v>Bookings</v>
          </cell>
          <cell r="C192">
            <v>1</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19.843</v>
          </cell>
          <cell r="AV192">
            <v>17.091999999999999</v>
          </cell>
          <cell r="AW192">
            <v>18.568000000000001</v>
          </cell>
          <cell r="AX192">
            <v>53.701999999999998</v>
          </cell>
          <cell r="AY192">
            <v>-4.8180000000000014</v>
          </cell>
          <cell r="AZ192">
            <v>23.913999999999998</v>
          </cell>
          <cell r="BA192">
            <v>25.830000000000002</v>
          </cell>
          <cell r="BB192">
            <v>42.851999999999997</v>
          </cell>
          <cell r="BC192">
            <v>38.359000000000009</v>
          </cell>
          <cell r="BD192">
            <v>34.650999999999996</v>
          </cell>
          <cell r="BE192">
            <v>38.540999999999997</v>
          </cell>
          <cell r="BF192">
            <v>46.143000000000001</v>
          </cell>
          <cell r="BG192">
            <v>56.661000000000001</v>
          </cell>
          <cell r="BH192">
            <v>51.231999999999999</v>
          </cell>
          <cell r="BI192">
            <v>58.290999999999997</v>
          </cell>
          <cell r="BJ192">
            <v>68.167999999999992</v>
          </cell>
          <cell r="BK192">
            <v>91.908999999999992</v>
          </cell>
          <cell r="BL192">
            <v>76.772000000000006</v>
          </cell>
          <cell r="BM192">
            <v>80.498999999999995</v>
          </cell>
          <cell r="BN192">
            <v>90.635999999999996</v>
          </cell>
          <cell r="BO192">
            <v>121.96299999999999</v>
          </cell>
          <cell r="BP192">
            <v>101.065</v>
          </cell>
          <cell r="BQ192">
            <v>104.65</v>
          </cell>
          <cell r="BR192">
            <v>117.28200000000001</v>
          </cell>
          <cell r="BS192">
            <v>156.06899999999999</v>
          </cell>
          <cell r="BT192">
            <v>129.51291500000002</v>
          </cell>
          <cell r="BU192">
            <v>132.43477000000001</v>
          </cell>
          <cell r="BV192">
            <v>147.71106030000004</v>
          </cell>
          <cell r="BW192">
            <v>198.67683367699999</v>
          </cell>
          <cell r="BX192">
            <v>162.01434695793</v>
          </cell>
          <cell r="BY192">
            <v>165.62588314664367</v>
          </cell>
          <cell r="BZ192">
            <v>185.44325822984166</v>
          </cell>
          <cell r="CA192">
            <v>0</v>
          </cell>
          <cell r="CB192">
            <v>0</v>
          </cell>
          <cell r="CC192">
            <v>0</v>
          </cell>
          <cell r="CD192">
            <v>0</v>
          </cell>
          <cell r="CE192">
            <v>0</v>
          </cell>
          <cell r="CF192">
            <v>0</v>
          </cell>
          <cell r="CG192">
            <v>0</v>
          </cell>
          <cell r="CH192">
            <v>0</v>
          </cell>
          <cell r="CI192">
            <v>0</v>
          </cell>
          <cell r="CJ192">
            <v>0</v>
          </cell>
          <cell r="CK192">
            <v>0</v>
          </cell>
          <cell r="CL192">
            <v>0</v>
          </cell>
          <cell r="CM192">
            <v>109.20500000000001</v>
          </cell>
          <cell r="CN192">
            <v>87.777999999999992</v>
          </cell>
          <cell r="CO192">
            <v>157.69399999999999</v>
          </cell>
          <cell r="CP192">
            <v>234.35199999999998</v>
          </cell>
          <cell r="CQ192">
            <v>339.81600000000003</v>
          </cell>
          <cell r="CR192">
            <v>444.96000000000004</v>
          </cell>
          <cell r="CS192">
            <v>565.72774530000004</v>
          </cell>
          <cell r="CT192">
            <v>711.76032201141538</v>
          </cell>
          <cell r="CU192">
            <v>0</v>
          </cell>
          <cell r="CV192">
            <v>0</v>
          </cell>
          <cell r="CW192">
            <v>0</v>
          </cell>
          <cell r="CX192">
            <v>0</v>
          </cell>
          <cell r="CY192">
            <v>0</v>
          </cell>
          <cell r="CZ192">
            <v>0</v>
          </cell>
          <cell r="DA192">
            <v>0</v>
          </cell>
          <cell r="DB192">
            <v>0</v>
          </cell>
          <cell r="DC192">
            <v>0</v>
          </cell>
          <cell r="DD192">
            <v>0</v>
          </cell>
          <cell r="DE192">
            <v>0</v>
          </cell>
          <cell r="DF192">
            <v>0</v>
          </cell>
          <cell r="DG192">
            <v>87.777999999999992</v>
          </cell>
          <cell r="DH192">
            <v>157.69400000000002</v>
          </cell>
          <cell r="DI192">
            <v>234.35199999999998</v>
          </cell>
          <cell r="DJ192">
            <v>339.81599999999997</v>
          </cell>
          <cell r="DK192">
            <v>0</v>
          </cell>
          <cell r="DL192">
            <v>0</v>
          </cell>
          <cell r="DM192">
            <v>0</v>
          </cell>
          <cell r="DN192">
            <v>0</v>
          </cell>
          <cell r="DO192">
            <v>0</v>
          </cell>
          <cell r="DP192">
            <v>0</v>
          </cell>
          <cell r="DQ192">
            <v>0</v>
          </cell>
          <cell r="DR192">
            <v>0</v>
          </cell>
          <cell r="DS192">
            <v>0</v>
          </cell>
          <cell r="DT192">
            <v>0</v>
          </cell>
          <cell r="DU192">
            <v>0</v>
          </cell>
          <cell r="DV192">
            <v>0</v>
          </cell>
          <cell r="DW192">
            <v>0</v>
          </cell>
          <cell r="DX192">
            <v>0</v>
          </cell>
          <cell r="DY192">
            <v>0</v>
          </cell>
          <cell r="DZ192">
            <v>0</v>
          </cell>
          <cell r="EA192">
            <v>0</v>
          </cell>
          <cell r="EB192">
            <v>0</v>
          </cell>
          <cell r="EC192">
            <v>0</v>
          </cell>
          <cell r="ED192">
            <v>0</v>
          </cell>
          <cell r="EE192">
            <v>0</v>
          </cell>
          <cell r="EF192">
            <v>0</v>
          </cell>
          <cell r="EG192">
            <v>0</v>
          </cell>
          <cell r="EH192">
            <v>0</v>
          </cell>
          <cell r="EI192">
            <v>0</v>
          </cell>
          <cell r="EJ192">
            <v>0</v>
          </cell>
          <cell r="EK192">
            <v>0</v>
          </cell>
          <cell r="EL192">
            <v>0</v>
          </cell>
          <cell r="EM192">
            <v>0</v>
          </cell>
          <cell r="EN192">
            <v>0</v>
          </cell>
          <cell r="EO192">
            <v>0</v>
          </cell>
        </row>
        <row r="194">
          <cell r="A194" t="str">
            <v>OPWR_CFO</v>
          </cell>
          <cell r="B194" t="str">
            <v>Cash Flow From Operations</v>
          </cell>
          <cell r="C194">
            <v>1</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4.524</v>
          </cell>
          <cell r="AZ194">
            <v>4.3819999999999997</v>
          </cell>
          <cell r="BA194">
            <v>3.1899999999999995</v>
          </cell>
          <cell r="BB194">
            <v>4.8879999999999999</v>
          </cell>
          <cell r="BC194">
            <v>1.7309999999999999</v>
          </cell>
          <cell r="BD194">
            <v>4.161999999999999</v>
          </cell>
          <cell r="BE194">
            <v>7.4080000000000004</v>
          </cell>
          <cell r="BF194">
            <v>9.0359999999999978</v>
          </cell>
          <cell r="BG194">
            <v>13.136000000000001</v>
          </cell>
          <cell r="BH194">
            <v>9.6429999999999971</v>
          </cell>
          <cell r="BI194">
            <v>11.350000000000001</v>
          </cell>
          <cell r="BJ194">
            <v>8.8929999999999989</v>
          </cell>
          <cell r="BK194">
            <v>29.947999999999993</v>
          </cell>
          <cell r="BL194">
            <v>24.606000000000009</v>
          </cell>
          <cell r="BM194">
            <v>19.880999999999993</v>
          </cell>
          <cell r="BN194">
            <v>24.518000000000004</v>
          </cell>
          <cell r="BO194">
            <v>40.224999999999994</v>
          </cell>
          <cell r="BP194">
            <v>15.067999999999998</v>
          </cell>
          <cell r="BQ194">
            <v>37.12700000000001</v>
          </cell>
          <cell r="BR194">
            <v>38.179999999999993</v>
          </cell>
          <cell r="BS194">
            <v>57.663999999999994</v>
          </cell>
          <cell r="BT194">
            <v>30.795174794473915</v>
          </cell>
          <cell r="BU194">
            <v>45.962784002478259</v>
          </cell>
          <cell r="BV194">
            <v>53.266437604097099</v>
          </cell>
          <cell r="BW194">
            <v>99.219227876646485</v>
          </cell>
          <cell r="BX194">
            <v>37.349098186252299</v>
          </cell>
          <cell r="BY194">
            <v>61.11426730026389</v>
          </cell>
          <cell r="BZ194">
            <v>73.940469793018508</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16.983999999999998</v>
          </cell>
          <cell r="CO194">
            <v>22.336999999999996</v>
          </cell>
          <cell r="CP194">
            <v>43.021999999999998</v>
          </cell>
          <cell r="CQ194">
            <v>98.953000000000003</v>
          </cell>
          <cell r="CR194">
            <v>130.6</v>
          </cell>
          <cell r="CS194">
            <v>187.68839640104926</v>
          </cell>
          <cell r="CT194">
            <v>271.62306315618116</v>
          </cell>
          <cell r="CU194">
            <v>0</v>
          </cell>
          <cell r="CV194">
            <v>0</v>
          </cell>
          <cell r="CW194">
            <v>0</v>
          </cell>
          <cell r="CX194">
            <v>0</v>
          </cell>
          <cell r="CY194">
            <v>0</v>
          </cell>
          <cell r="CZ194">
            <v>0</v>
          </cell>
          <cell r="DA194">
            <v>0</v>
          </cell>
          <cell r="DB194">
            <v>0</v>
          </cell>
          <cell r="DC194">
            <v>0</v>
          </cell>
          <cell r="DD194">
            <v>0</v>
          </cell>
          <cell r="DE194">
            <v>0</v>
          </cell>
          <cell r="DF194">
            <v>0</v>
          </cell>
          <cell r="DG194">
            <v>16.983999999999998</v>
          </cell>
          <cell r="DH194">
            <v>22.336999999999996</v>
          </cell>
          <cell r="DI194">
            <v>43.021999999999998</v>
          </cell>
          <cell r="DJ194">
            <v>98.953000000000003</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row>
        <row r="195">
          <cell r="A195" t="str">
            <v>OPWR_CFO_PS</v>
          </cell>
          <cell r="B195" t="str">
            <v xml:space="preserve">     Cash Flow From Ops/Share</v>
          </cell>
          <cell r="C195">
            <v>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t="e">
            <v>#DIV/0!</v>
          </cell>
          <cell r="AW195" t="e">
            <v>#DIV/0!</v>
          </cell>
          <cell r="AX195" t="e">
            <v>#DIV/0!</v>
          </cell>
          <cell r="AY195">
            <v>9.9995714153630774E-2</v>
          </cell>
          <cell r="AZ195">
            <v>9.6050429149459632E-2</v>
          </cell>
          <cell r="BA195">
            <v>6.9791148565840011E-2</v>
          </cell>
          <cell r="BB195">
            <v>0.10622007643760116</v>
          </cell>
          <cell r="BC195">
            <v>3.6050800764093699E-2</v>
          </cell>
          <cell r="BD195">
            <v>8.2769271289551194E-2</v>
          </cell>
          <cell r="BE195">
            <v>0.14509426838075853</v>
          </cell>
          <cell r="BF195">
            <v>0.17370666296543569</v>
          </cell>
          <cell r="BG195">
            <v>0.23992715536859568</v>
          </cell>
          <cell r="BH195">
            <v>0.16906266786500179</v>
          </cell>
          <cell r="BI195">
            <v>0.19894590571429435</v>
          </cell>
          <cell r="BJ195">
            <v>0.15571707274246097</v>
          </cell>
          <cell r="BK195">
            <v>0.52418125602531451</v>
          </cell>
          <cell r="BL195">
            <v>0.42725013368279213</v>
          </cell>
          <cell r="BM195">
            <v>0.34384454276458615</v>
          </cell>
          <cell r="BN195">
            <v>0.42527187574817837</v>
          </cell>
          <cell r="BO195">
            <v>0.70191894081278139</v>
          </cell>
          <cell r="BP195">
            <v>0.26024667751108421</v>
          </cell>
          <cell r="BQ195">
            <v>0.64008513182250482</v>
          </cell>
          <cell r="BR195">
            <v>0.65714126235941484</v>
          </cell>
          <cell r="BS195">
            <v>0.99776749868232362</v>
          </cell>
          <cell r="BT195">
            <v>0.52828234340281022</v>
          </cell>
          <cell r="BU195">
            <v>0.7817727624326829</v>
          </cell>
          <cell r="BV195">
            <v>0.89835928257692477</v>
          </cell>
          <cell r="BW195">
            <v>1.6593780160044171</v>
          </cell>
          <cell r="BX195">
            <v>0.61945970408968054</v>
          </cell>
          <cell r="BY195">
            <v>1.0052842297423488</v>
          </cell>
          <cell r="BZ195">
            <v>1.2063439878470101</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0.37205736830653158</v>
          </cell>
          <cell r="CO195">
            <v>0.43762100339983911</v>
          </cell>
          <cell r="CP195">
            <v>0.76365280169035277</v>
          </cell>
          <cell r="CQ195">
            <v>1.7205478082208712</v>
          </cell>
          <cell r="CR195">
            <v>2.2593920125057854</v>
          </cell>
          <cell r="CS195">
            <v>3.6576313396132552</v>
          </cell>
          <cell r="CT195">
            <v>4.4995666391787106</v>
          </cell>
          <cell r="CU195">
            <v>0</v>
          </cell>
          <cell r="CV195">
            <v>0</v>
          </cell>
          <cell r="CW195">
            <v>0</v>
          </cell>
          <cell r="CX195">
            <v>0</v>
          </cell>
          <cell r="CY195">
            <v>0</v>
          </cell>
          <cell r="CZ195">
            <v>0</v>
          </cell>
          <cell r="DA195">
            <v>0</v>
          </cell>
          <cell r="DB195">
            <v>0</v>
          </cell>
          <cell r="DC195">
            <v>0</v>
          </cell>
          <cell r="DD195">
            <v>0</v>
          </cell>
          <cell r="DE195">
            <v>0</v>
          </cell>
          <cell r="DF195">
            <v>0</v>
          </cell>
          <cell r="DG195">
            <v>0.37205736830653158</v>
          </cell>
          <cell r="DH195">
            <v>0.43762100339983911</v>
          </cell>
          <cell r="DI195">
            <v>0.76365280169035277</v>
          </cell>
          <cell r="DJ195">
            <v>1.7205478082208712</v>
          </cell>
          <cell r="DK195">
            <v>0</v>
          </cell>
          <cell r="DL195">
            <v>0</v>
          </cell>
          <cell r="DM195">
            <v>0</v>
          </cell>
          <cell r="DN195">
            <v>0</v>
          </cell>
          <cell r="DO195">
            <v>0</v>
          </cell>
          <cell r="DP195">
            <v>0</v>
          </cell>
          <cell r="DQ195">
            <v>0</v>
          </cell>
          <cell r="DR195">
            <v>0</v>
          </cell>
          <cell r="DS195">
            <v>0</v>
          </cell>
          <cell r="DT195">
            <v>0</v>
          </cell>
          <cell r="DU195">
            <v>0</v>
          </cell>
          <cell r="DV195">
            <v>0</v>
          </cell>
          <cell r="DW195">
            <v>0</v>
          </cell>
          <cell r="DX195">
            <v>0</v>
          </cell>
          <cell r="DY195">
            <v>0</v>
          </cell>
          <cell r="DZ195">
            <v>0</v>
          </cell>
          <cell r="EA195">
            <v>0</v>
          </cell>
          <cell r="EB195">
            <v>0</v>
          </cell>
          <cell r="EC195">
            <v>0</v>
          </cell>
          <cell r="ED195">
            <v>0</v>
          </cell>
          <cell r="EE195">
            <v>0</v>
          </cell>
          <cell r="EF195">
            <v>0</v>
          </cell>
          <cell r="EG195">
            <v>0</v>
          </cell>
          <cell r="EH195">
            <v>0</v>
          </cell>
          <cell r="EI195">
            <v>0</v>
          </cell>
          <cell r="EJ195">
            <v>0</v>
          </cell>
          <cell r="EK195">
            <v>0</v>
          </cell>
          <cell r="EL195">
            <v>0</v>
          </cell>
          <cell r="EM195">
            <v>0</v>
          </cell>
          <cell r="EN195">
            <v>0</v>
          </cell>
          <cell r="EO195">
            <v>0</v>
          </cell>
        </row>
        <row r="266">
          <cell r="A266" t="str">
            <v>OPWR_ADJ_GM_PC</v>
          </cell>
          <cell r="B266" t="str">
            <v>Gross Margin</v>
          </cell>
          <cell r="C266">
            <v>2</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0.59854860656150777</v>
          </cell>
          <cell r="AV266">
            <v>0.58612216241516502</v>
          </cell>
          <cell r="AW266">
            <v>0.57674493752692813</v>
          </cell>
          <cell r="AX266">
            <v>0.60942413291406583</v>
          </cell>
          <cell r="AY266">
            <v>0.83170758240562781</v>
          </cell>
          <cell r="AZ266">
            <v>0.80099523291795593</v>
          </cell>
          <cell r="BA266">
            <v>0.79349593495934967</v>
          </cell>
          <cell r="BB266">
            <v>0.80402906208718616</v>
          </cell>
          <cell r="BC266">
            <v>0.81295119643098557</v>
          </cell>
          <cell r="BD266">
            <v>0.80922356332192402</v>
          </cell>
          <cell r="BE266">
            <v>0.82425269140390178</v>
          </cell>
          <cell r="BF266">
            <v>0.82783832879200725</v>
          </cell>
          <cell r="BG266">
            <v>0.85016841114048747</v>
          </cell>
          <cell r="BH266">
            <v>0.83623629346782924</v>
          </cell>
          <cell r="BI266">
            <v>0.84103722443079143</v>
          </cell>
          <cell r="BJ266">
            <v>0.84417518965570193</v>
          </cell>
          <cell r="BK266">
            <v>0.86842864434236511</v>
          </cell>
          <cell r="BL266">
            <v>0.84347590687601515</v>
          </cell>
          <cell r="BM266">
            <v>0.82622696411251217</v>
          </cell>
          <cell r="BN266">
            <v>0.82929051360892847</v>
          </cell>
          <cell r="BO266">
            <v>0.86063694480704223</v>
          </cell>
          <cell r="BP266">
            <v>0.83043358750648999</v>
          </cell>
          <cell r="BQ266">
            <v>0.83869598270261736</v>
          </cell>
          <cell r="BR266">
            <v>0.83837754878316162</v>
          </cell>
          <cell r="BS266">
            <v>0.86527066711712886</v>
          </cell>
          <cell r="BT266">
            <v>0.84</v>
          </cell>
          <cell r="BU266">
            <v>0.82499999999999996</v>
          </cell>
          <cell r="BV266">
            <v>0.83</v>
          </cell>
          <cell r="BW266">
            <v>0.84</v>
          </cell>
          <cell r="BX266">
            <v>0.83000000000000007</v>
          </cell>
          <cell r="BY266">
            <v>0.83</v>
          </cell>
          <cell r="BZ266">
            <v>0.83</v>
          </cell>
          <cell r="CA266">
            <v>0</v>
          </cell>
          <cell r="CB266">
            <v>0</v>
          </cell>
          <cell r="CC266">
            <v>0</v>
          </cell>
          <cell r="CD266">
            <v>0</v>
          </cell>
          <cell r="CE266">
            <v>0</v>
          </cell>
          <cell r="CF266">
            <v>0</v>
          </cell>
          <cell r="CG266">
            <v>0</v>
          </cell>
          <cell r="CH266">
            <v>0</v>
          </cell>
          <cell r="CI266">
            <v>0</v>
          </cell>
          <cell r="CJ266">
            <v>0</v>
          </cell>
          <cell r="CK266">
            <v>0</v>
          </cell>
          <cell r="CL266">
            <v>0</v>
          </cell>
          <cell r="CM266">
            <v>0.56156016985935309</v>
          </cell>
          <cell r="CN266">
            <v>0.80792000074348747</v>
          </cell>
          <cell r="CO266">
            <v>0.81921300744058467</v>
          </cell>
          <cell r="CP266">
            <v>0.84314476103145752</v>
          </cell>
          <cell r="CQ266">
            <v>0.84247176741882668</v>
          </cell>
          <cell r="CR266">
            <v>0.84279304555856516</v>
          </cell>
          <cell r="CS266">
            <v>0.84104904200439046</v>
          </cell>
          <cell r="CT266">
            <v>0.83281720458195618</v>
          </cell>
          <cell r="CU266">
            <v>0</v>
          </cell>
          <cell r="CV266">
            <v>0</v>
          </cell>
          <cell r="CW266">
            <v>0</v>
          </cell>
          <cell r="CX266">
            <v>0</v>
          </cell>
          <cell r="CY266">
            <v>0</v>
          </cell>
          <cell r="CZ266">
            <v>0</v>
          </cell>
          <cell r="DA266">
            <v>0</v>
          </cell>
          <cell r="DB266">
            <v>0</v>
          </cell>
          <cell r="DC266">
            <v>0</v>
          </cell>
          <cell r="DD266">
            <v>0</v>
          </cell>
          <cell r="DE266">
            <v>0</v>
          </cell>
          <cell r="DF266">
            <v>0</v>
          </cell>
          <cell r="DG266">
            <v>0.80792000074348747</v>
          </cell>
          <cell r="DH266">
            <v>0.81921300744058467</v>
          </cell>
          <cell r="DI266">
            <v>0.84314476103145752</v>
          </cell>
          <cell r="DJ266">
            <v>0.84247176741882668</v>
          </cell>
          <cell r="DK266">
            <v>0</v>
          </cell>
          <cell r="DL266">
            <v>0</v>
          </cell>
          <cell r="DM266">
            <v>0</v>
          </cell>
          <cell r="DN266">
            <v>0</v>
          </cell>
          <cell r="DO266">
            <v>0</v>
          </cell>
          <cell r="DP266">
            <v>0</v>
          </cell>
          <cell r="DQ266">
            <v>0</v>
          </cell>
          <cell r="DR266">
            <v>0</v>
          </cell>
          <cell r="DS266">
            <v>0</v>
          </cell>
          <cell r="DT266">
            <v>0</v>
          </cell>
          <cell r="DU266">
            <v>0</v>
          </cell>
          <cell r="DV266">
            <v>0</v>
          </cell>
          <cell r="DW266">
            <v>0</v>
          </cell>
          <cell r="DX266">
            <v>0</v>
          </cell>
          <cell r="DY266">
            <v>0</v>
          </cell>
          <cell r="DZ266">
            <v>0</v>
          </cell>
          <cell r="EA266">
            <v>0</v>
          </cell>
          <cell r="EB266">
            <v>0</v>
          </cell>
          <cell r="EC266">
            <v>0</v>
          </cell>
          <cell r="ED266">
            <v>0</v>
          </cell>
          <cell r="EE266">
            <v>0</v>
          </cell>
          <cell r="EF266">
            <v>0</v>
          </cell>
          <cell r="EG266">
            <v>0</v>
          </cell>
          <cell r="EH266">
            <v>0</v>
          </cell>
          <cell r="EI266">
            <v>0</v>
          </cell>
          <cell r="EJ266">
            <v>0</v>
          </cell>
          <cell r="EK266">
            <v>0</v>
          </cell>
          <cell r="EL266">
            <v>0</v>
          </cell>
          <cell r="EM266">
            <v>0</v>
          </cell>
          <cell r="EN266">
            <v>0</v>
          </cell>
          <cell r="EO266">
            <v>0</v>
          </cell>
        </row>
        <row r="269">
          <cell r="A269" t="str">
            <v>OPWR_ADJ_SM_PC</v>
          </cell>
          <cell r="B269" t="str">
            <v>Sales and marketing</v>
          </cell>
          <cell r="C269">
            <v>2</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0.3661744695862521</v>
          </cell>
          <cell r="AV269">
            <v>0.38907091036742342</v>
          </cell>
          <cell r="AW269">
            <v>0.36945282205945712</v>
          </cell>
          <cell r="AX269">
            <v>0.39794433754165298</v>
          </cell>
          <cell r="AY269">
            <v>0.35663777785836032</v>
          </cell>
          <cell r="AZ269">
            <v>0.36330183156310109</v>
          </cell>
          <cell r="BA269">
            <v>0.39779326364692219</v>
          </cell>
          <cell r="BB269">
            <v>0.45462351387054167</v>
          </cell>
          <cell r="BC269">
            <v>0.42390158172231979</v>
          </cell>
          <cell r="BD269">
            <v>0.40671350507416082</v>
          </cell>
          <cell r="BE269">
            <v>0.40584184928138151</v>
          </cell>
          <cell r="BF269">
            <v>0.43830608537693</v>
          </cell>
          <cell r="BG269">
            <v>0.38433957480714209</v>
          </cell>
          <cell r="BH269">
            <v>0.34182100341004223</v>
          </cell>
          <cell r="BI269">
            <v>0.42461149259125414</v>
          </cell>
          <cell r="BJ269">
            <v>0.46888725083694216</v>
          </cell>
          <cell r="BK269">
            <v>0.31494796174244949</v>
          </cell>
          <cell r="BL269">
            <v>0.32449918787222515</v>
          </cell>
          <cell r="BM269">
            <v>0.35719366311024897</v>
          </cell>
          <cell r="BN269">
            <v>0.40568272406331851</v>
          </cell>
          <cell r="BO269">
            <v>0.20725809150851829</v>
          </cell>
          <cell r="BP269">
            <v>0.33097824427092348</v>
          </cell>
          <cell r="BQ269">
            <v>0.33097041081283879</v>
          </cell>
          <cell r="BR269">
            <v>0.372523569392677</v>
          </cell>
          <cell r="BS269">
            <v>0.19780269757530081</v>
          </cell>
          <cell r="BT269">
            <v>0.309</v>
          </cell>
          <cell r="BU269">
            <v>0.30399999999999999</v>
          </cell>
          <cell r="BV269">
            <v>0.29399999999999998</v>
          </cell>
          <cell r="BW269">
            <v>0.23499999999999999</v>
          </cell>
          <cell r="BX269">
            <v>0.3</v>
          </cell>
          <cell r="BY269">
            <v>0.29499999999999998</v>
          </cell>
          <cell r="BZ269">
            <v>0.28999999999999998</v>
          </cell>
          <cell r="CA269">
            <v>0</v>
          </cell>
          <cell r="CB269">
            <v>0</v>
          </cell>
          <cell r="CC269">
            <v>0</v>
          </cell>
          <cell r="CD269">
            <v>0</v>
          </cell>
          <cell r="CE269">
            <v>0</v>
          </cell>
          <cell r="CF269">
            <v>0</v>
          </cell>
          <cell r="CG269">
            <v>0</v>
          </cell>
          <cell r="CH269">
            <v>0</v>
          </cell>
          <cell r="CI269">
            <v>0</v>
          </cell>
          <cell r="CJ269">
            <v>0</v>
          </cell>
          <cell r="CK269">
            <v>0</v>
          </cell>
          <cell r="CL269">
            <v>0</v>
          </cell>
          <cell r="CM269">
            <v>0.27150110662674132</v>
          </cell>
          <cell r="CN269">
            <v>0.39557253185379321</v>
          </cell>
          <cell r="CO269">
            <v>0.41993255106705796</v>
          </cell>
          <cell r="CP269">
            <v>0.40949820389667624</v>
          </cell>
          <cell r="CQ269">
            <v>0.35122333589555843</v>
          </cell>
          <cell r="CR269">
            <v>0.30777259743168756</v>
          </cell>
          <cell r="CS269">
            <v>0.26225296331469011</v>
          </cell>
          <cell r="CT269">
            <v>0.26572668317353776</v>
          </cell>
          <cell r="CU269">
            <v>0</v>
          </cell>
          <cell r="CV269">
            <v>0</v>
          </cell>
          <cell r="CW269">
            <v>0</v>
          </cell>
          <cell r="CX269">
            <v>0</v>
          </cell>
          <cell r="CY269">
            <v>0</v>
          </cell>
          <cell r="CZ269">
            <v>0</v>
          </cell>
          <cell r="DA269">
            <v>0</v>
          </cell>
          <cell r="DB269">
            <v>0</v>
          </cell>
          <cell r="DC269">
            <v>0</v>
          </cell>
          <cell r="DD269">
            <v>0</v>
          </cell>
          <cell r="DE269">
            <v>0</v>
          </cell>
          <cell r="DF269">
            <v>0</v>
          </cell>
          <cell r="DG269">
            <v>0.39557253185379321</v>
          </cell>
          <cell r="DH269">
            <v>0.41993255106705796</v>
          </cell>
          <cell r="DI269">
            <v>0.40949820389667624</v>
          </cell>
          <cell r="DJ269">
            <v>0.35122333589555843</v>
          </cell>
          <cell r="DK269">
            <v>0</v>
          </cell>
          <cell r="DL269">
            <v>0</v>
          </cell>
          <cell r="DM269">
            <v>0</v>
          </cell>
          <cell r="DN269">
            <v>0</v>
          </cell>
          <cell r="DO269">
            <v>0</v>
          </cell>
          <cell r="DP269">
            <v>0</v>
          </cell>
          <cell r="DQ269">
            <v>0</v>
          </cell>
          <cell r="DR269">
            <v>0</v>
          </cell>
          <cell r="DS269">
            <v>0</v>
          </cell>
          <cell r="DT269">
            <v>0</v>
          </cell>
          <cell r="DU269">
            <v>0</v>
          </cell>
          <cell r="DV269">
            <v>0</v>
          </cell>
          <cell r="DW269">
            <v>0</v>
          </cell>
          <cell r="DX269">
            <v>0</v>
          </cell>
          <cell r="DY269">
            <v>0</v>
          </cell>
          <cell r="DZ269">
            <v>0</v>
          </cell>
          <cell r="EA269">
            <v>0</v>
          </cell>
          <cell r="EB269">
            <v>0</v>
          </cell>
          <cell r="EC269">
            <v>0</v>
          </cell>
          <cell r="ED269">
            <v>0</v>
          </cell>
          <cell r="EE269">
            <v>0</v>
          </cell>
          <cell r="EF269">
            <v>0</v>
          </cell>
          <cell r="EG269">
            <v>0</v>
          </cell>
          <cell r="EH269">
            <v>0</v>
          </cell>
          <cell r="EI269">
            <v>0</v>
          </cell>
          <cell r="EJ269">
            <v>0</v>
          </cell>
          <cell r="EK269">
            <v>0</v>
          </cell>
          <cell r="EL269">
            <v>0</v>
          </cell>
          <cell r="EM269">
            <v>0</v>
          </cell>
          <cell r="EN269">
            <v>0</v>
          </cell>
          <cell r="EO269">
            <v>0</v>
          </cell>
        </row>
        <row r="270">
          <cell r="A270" t="str">
            <v>OPWR_ADJ_RD_PC</v>
          </cell>
          <cell r="B270" t="str">
            <v>Research and development</v>
          </cell>
          <cell r="C270">
            <v>2</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1.9150330091216045E-2</v>
          </cell>
          <cell r="AV270">
            <v>3.1710741867540373E-2</v>
          </cell>
          <cell r="AW270">
            <v>1.9442050840155104E-2</v>
          </cell>
          <cell r="AX270">
            <v>1.6379593560801615E-2</v>
          </cell>
          <cell r="AY270">
            <v>4.7865975269246108E-3</v>
          </cell>
          <cell r="AZ270">
            <v>1.3297649912185332E-2</v>
          </cell>
          <cell r="BA270">
            <v>2.0402632597754548E-2</v>
          </cell>
          <cell r="BB270">
            <v>2.7212681638044914E-2</v>
          </cell>
          <cell r="BC270">
            <v>2.3793429768825192E-2</v>
          </cell>
          <cell r="BD270">
            <v>2.8012970635921459E-2</v>
          </cell>
          <cell r="BE270">
            <v>2.8881359637138639E-2</v>
          </cell>
          <cell r="BF270">
            <v>3.2652134423251593E-2</v>
          </cell>
          <cell r="BG270">
            <v>3.3718445547064574E-2</v>
          </cell>
          <cell r="BH270">
            <v>3.8919404569865028E-2</v>
          </cell>
          <cell r="BI270">
            <v>4.011564871702205E-2</v>
          </cell>
          <cell r="BJ270">
            <v>3.8929328296323604E-2</v>
          </cell>
          <cell r="BK270">
            <v>4.2285245101302625E-2</v>
          </cell>
          <cell r="BL270">
            <v>5.5102869518137511E-2</v>
          </cell>
          <cell r="BM270">
            <v>7.4180407371484E-2</v>
          </cell>
          <cell r="BN270">
            <v>7.4160118437535588E-2</v>
          </cell>
          <cell r="BO270">
            <v>5.5544398701342174E-2</v>
          </cell>
          <cell r="BP270">
            <v>7.6089059016360067E-2</v>
          </cell>
          <cell r="BQ270">
            <v>7.2842516808672389E-2</v>
          </cell>
          <cell r="BR270">
            <v>6.1635606226704671E-2</v>
          </cell>
          <cell r="BS270">
            <v>5.849294420333169E-2</v>
          </cell>
          <cell r="BT270">
            <v>7.4999999999999997E-2</v>
          </cell>
          <cell r="BU270">
            <v>7.4999999999999997E-2</v>
          </cell>
          <cell r="BV270">
            <v>8.5000000000000006E-2</v>
          </cell>
          <cell r="BW270">
            <v>7.4999999999999997E-2</v>
          </cell>
          <cell r="BX270">
            <v>9.5000000000000001E-2</v>
          </cell>
          <cell r="BY270">
            <v>9.5000000000000001E-2</v>
          </cell>
          <cell r="BZ270">
            <v>0.08</v>
          </cell>
          <cell r="CA270">
            <v>0</v>
          </cell>
          <cell r="CB270">
            <v>0</v>
          </cell>
          <cell r="CC270">
            <v>0</v>
          </cell>
          <cell r="CD270">
            <v>0</v>
          </cell>
          <cell r="CE270">
            <v>0</v>
          </cell>
          <cell r="CF270">
            <v>0</v>
          </cell>
          <cell r="CG270">
            <v>0</v>
          </cell>
          <cell r="CH270">
            <v>0</v>
          </cell>
          <cell r="CI270">
            <v>0</v>
          </cell>
          <cell r="CJ270">
            <v>0</v>
          </cell>
          <cell r="CK270">
            <v>0</v>
          </cell>
          <cell r="CL270">
            <v>0</v>
          </cell>
          <cell r="CM270">
            <v>0.20423121989324308</v>
          </cell>
          <cell r="CN270">
            <v>1.6737762660198326E-2</v>
          </cell>
          <cell r="CO270">
            <v>2.8543222309827799E-2</v>
          </cell>
          <cell r="CP270">
            <v>3.7938509612602547E-2</v>
          </cell>
          <cell r="CQ270">
            <v>6.1159199248954091E-2</v>
          </cell>
          <cell r="CR270">
            <v>6.5854283715162554E-2</v>
          </cell>
          <cell r="CS270">
            <v>6.9417438626464684E-2</v>
          </cell>
          <cell r="CT270">
            <v>7.87432413538669E-2</v>
          </cell>
          <cell r="CU270">
            <v>0</v>
          </cell>
          <cell r="CV270">
            <v>0</v>
          </cell>
          <cell r="CW270">
            <v>0</v>
          </cell>
          <cell r="CX270">
            <v>0</v>
          </cell>
          <cell r="CY270">
            <v>0</v>
          </cell>
          <cell r="CZ270">
            <v>0</v>
          </cell>
          <cell r="DA270">
            <v>0</v>
          </cell>
          <cell r="DB270">
            <v>0</v>
          </cell>
          <cell r="DC270">
            <v>0</v>
          </cell>
          <cell r="DD270">
            <v>0</v>
          </cell>
          <cell r="DE270">
            <v>0</v>
          </cell>
          <cell r="DF270">
            <v>0</v>
          </cell>
          <cell r="DG270">
            <v>1.6737762660198326E-2</v>
          </cell>
          <cell r="DH270">
            <v>2.8543222309827799E-2</v>
          </cell>
          <cell r="DI270">
            <v>3.7938509612602547E-2</v>
          </cell>
          <cell r="DJ270">
            <v>6.1159199248954091E-2</v>
          </cell>
          <cell r="DK270">
            <v>0</v>
          </cell>
          <cell r="DL270">
            <v>0</v>
          </cell>
          <cell r="DM270">
            <v>0</v>
          </cell>
          <cell r="DN270">
            <v>0</v>
          </cell>
          <cell r="DO270">
            <v>0</v>
          </cell>
          <cell r="DP270">
            <v>0</v>
          </cell>
          <cell r="DQ270">
            <v>0</v>
          </cell>
          <cell r="DR270">
            <v>0</v>
          </cell>
          <cell r="DS270">
            <v>0</v>
          </cell>
          <cell r="DT270">
            <v>0</v>
          </cell>
          <cell r="DU270">
            <v>0</v>
          </cell>
          <cell r="DV270">
            <v>0</v>
          </cell>
          <cell r="DW270">
            <v>0</v>
          </cell>
          <cell r="DX270">
            <v>0</v>
          </cell>
          <cell r="DY270">
            <v>0</v>
          </cell>
          <cell r="DZ270">
            <v>0</v>
          </cell>
          <cell r="EA270">
            <v>0</v>
          </cell>
          <cell r="EB270">
            <v>0</v>
          </cell>
          <cell r="EC270">
            <v>0</v>
          </cell>
          <cell r="ED270">
            <v>0</v>
          </cell>
          <cell r="EE270">
            <v>0</v>
          </cell>
          <cell r="EF270">
            <v>0</v>
          </cell>
          <cell r="EG270">
            <v>0</v>
          </cell>
          <cell r="EH270">
            <v>0</v>
          </cell>
          <cell r="EI270">
            <v>0</v>
          </cell>
          <cell r="EJ270">
            <v>0</v>
          </cell>
          <cell r="EK270">
            <v>0</v>
          </cell>
          <cell r="EL270">
            <v>0</v>
          </cell>
          <cell r="EM270">
            <v>0</v>
          </cell>
          <cell r="EN270">
            <v>0</v>
          </cell>
          <cell r="EO270">
            <v>0</v>
          </cell>
        </row>
        <row r="271">
          <cell r="A271" t="str">
            <v>OPWR_ADJ_GA_PC</v>
          </cell>
          <cell r="B271" t="str">
            <v>General and administrative</v>
          </cell>
          <cell r="C271">
            <v>2</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0.21846494985637252</v>
          </cell>
          <cell r="AV271">
            <v>0.28100865902176458</v>
          </cell>
          <cell r="AW271">
            <v>0.25732442912537695</v>
          </cell>
          <cell r="AX271">
            <v>0.25606608156943733</v>
          </cell>
          <cell r="AY271">
            <v>0.2111904848243101</v>
          </cell>
          <cell r="AZ271">
            <v>0.24910094505310698</v>
          </cell>
          <cell r="BA271">
            <v>0.26384049554781264</v>
          </cell>
          <cell r="BB271">
            <v>0.32628797886393662</v>
          </cell>
          <cell r="BC271">
            <v>0.24831688522373929</v>
          </cell>
          <cell r="BD271">
            <v>0.2439800636521948</v>
          </cell>
          <cell r="BE271">
            <v>0.22763538991201704</v>
          </cell>
          <cell r="BF271">
            <v>0.21262488646684835</v>
          </cell>
          <cell r="BG271">
            <v>0.21272319003295787</v>
          </cell>
          <cell r="BH271">
            <v>0.20550099034161681</v>
          </cell>
          <cell r="BI271">
            <v>0.20023491145645103</v>
          </cell>
          <cell r="BJ271">
            <v>0.19690408182069474</v>
          </cell>
          <cell r="BK271">
            <v>0.158577990812862</v>
          </cell>
          <cell r="BL271">
            <v>0.17832972387655657</v>
          </cell>
          <cell r="BM271">
            <v>0.17695441319107663</v>
          </cell>
          <cell r="BN271">
            <v>0.13733060015943516</v>
          </cell>
          <cell r="BO271">
            <v>0.11132309134116546</v>
          </cell>
          <cell r="BP271">
            <v>0.16510735337534485</v>
          </cell>
          <cell r="BQ271">
            <v>0.15777937938728562</v>
          </cell>
          <cell r="BR271">
            <v>0.15051085288313965</v>
          </cell>
          <cell r="BS271">
            <v>0.10551859455807061</v>
          </cell>
          <cell r="BT271">
            <v>0.24</v>
          </cell>
          <cell r="BU271">
            <v>0.22900000000000001</v>
          </cell>
          <cell r="BV271">
            <v>0.159</v>
          </cell>
          <cell r="BW271">
            <v>0.125</v>
          </cell>
          <cell r="BX271">
            <v>0.23499999999999999</v>
          </cell>
          <cell r="BY271">
            <v>0.22</v>
          </cell>
          <cell r="BZ271">
            <v>0.15</v>
          </cell>
          <cell r="CA271">
            <v>0</v>
          </cell>
          <cell r="CB271">
            <v>0</v>
          </cell>
          <cell r="CC271">
            <v>0</v>
          </cell>
          <cell r="CD271">
            <v>0</v>
          </cell>
          <cell r="CE271">
            <v>0</v>
          </cell>
          <cell r="CF271">
            <v>0</v>
          </cell>
          <cell r="CG271">
            <v>0</v>
          </cell>
          <cell r="CH271">
            <v>0</v>
          </cell>
          <cell r="CI271">
            <v>0</v>
          </cell>
          <cell r="CJ271">
            <v>0</v>
          </cell>
          <cell r="CK271">
            <v>0</v>
          </cell>
          <cell r="CL271">
            <v>0</v>
          </cell>
          <cell r="CM271">
            <v>9.9088660330686112E-2</v>
          </cell>
          <cell r="CN271">
            <v>0.26464438062843282</v>
          </cell>
          <cell r="CO271">
            <v>0.23193024534714995</v>
          </cell>
          <cell r="CP271">
            <v>0.20348715574686294</v>
          </cell>
          <cell r="CQ271">
            <v>0.16166020033967204</v>
          </cell>
          <cell r="CR271">
            <v>0.14470715649802446</v>
          </cell>
          <cell r="CS271">
            <v>0.1293045562260427</v>
          </cell>
          <cell r="CT271">
            <v>0.10865789119362614</v>
          </cell>
          <cell r="CU271">
            <v>0</v>
          </cell>
          <cell r="CV271">
            <v>0</v>
          </cell>
          <cell r="CW271">
            <v>0</v>
          </cell>
          <cell r="CX271">
            <v>0</v>
          </cell>
          <cell r="CY271">
            <v>0</v>
          </cell>
          <cell r="CZ271">
            <v>0</v>
          </cell>
          <cell r="DA271">
            <v>0</v>
          </cell>
          <cell r="DB271">
            <v>0</v>
          </cell>
          <cell r="DC271">
            <v>0</v>
          </cell>
          <cell r="DD271">
            <v>0</v>
          </cell>
          <cell r="DE271">
            <v>0</v>
          </cell>
          <cell r="DF271">
            <v>0</v>
          </cell>
          <cell r="DG271">
            <v>0.26464438062843282</v>
          </cell>
          <cell r="DH271">
            <v>0.23193024534714995</v>
          </cell>
          <cell r="DI271">
            <v>0.20348715574686294</v>
          </cell>
          <cell r="DJ271">
            <v>0.16166020033967204</v>
          </cell>
          <cell r="DK271">
            <v>0</v>
          </cell>
          <cell r="DL271">
            <v>0</v>
          </cell>
          <cell r="DM271">
            <v>0</v>
          </cell>
          <cell r="DN271">
            <v>0</v>
          </cell>
          <cell r="DO271">
            <v>0</v>
          </cell>
          <cell r="DP271">
            <v>0</v>
          </cell>
          <cell r="DQ271">
            <v>0</v>
          </cell>
          <cell r="DR271">
            <v>0</v>
          </cell>
          <cell r="DS271">
            <v>0</v>
          </cell>
          <cell r="DT271">
            <v>0</v>
          </cell>
          <cell r="DU271">
            <v>0</v>
          </cell>
          <cell r="DV271">
            <v>0</v>
          </cell>
          <cell r="DW271">
            <v>0</v>
          </cell>
          <cell r="DX271">
            <v>0</v>
          </cell>
          <cell r="DY271">
            <v>0</v>
          </cell>
          <cell r="DZ271">
            <v>0</v>
          </cell>
          <cell r="EA271">
            <v>0</v>
          </cell>
          <cell r="EB271">
            <v>0</v>
          </cell>
          <cell r="EC271">
            <v>0</v>
          </cell>
          <cell r="ED271">
            <v>0</v>
          </cell>
          <cell r="EE271">
            <v>0</v>
          </cell>
          <cell r="EF271">
            <v>0</v>
          </cell>
          <cell r="EG271">
            <v>0</v>
          </cell>
          <cell r="EH271">
            <v>0</v>
          </cell>
          <cell r="EI271">
            <v>0</v>
          </cell>
          <cell r="EJ271">
            <v>0</v>
          </cell>
          <cell r="EK271">
            <v>0</v>
          </cell>
          <cell r="EL271">
            <v>0</v>
          </cell>
          <cell r="EM271">
            <v>0</v>
          </cell>
          <cell r="EN271">
            <v>0</v>
          </cell>
          <cell r="EO271">
            <v>0</v>
          </cell>
        </row>
        <row r="281">
          <cell r="A281" t="str">
            <v>OPWR_ADJ_OM_PC</v>
          </cell>
          <cell r="B281" t="str">
            <v>Operating Income</v>
          </cell>
          <cell r="C281">
            <v>2</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t="str">
            <v>NA</v>
          </cell>
          <cell r="AV281" t="str">
            <v>NA</v>
          </cell>
          <cell r="AW281" t="str">
            <v>NA</v>
          </cell>
          <cell r="AX281" t="str">
            <v>NA</v>
          </cell>
          <cell r="AY281">
            <v>0.22703702360662867</v>
          </cell>
          <cell r="AZ281">
            <v>0.13878899389478971</v>
          </cell>
          <cell r="BA281">
            <v>7.4332171893147558E-2</v>
          </cell>
          <cell r="BB281" t="str">
            <v>NA</v>
          </cell>
          <cell r="BC281">
            <v>8.7440854400432838E-2</v>
          </cell>
          <cell r="BD281">
            <v>9.8330631117516429E-2</v>
          </cell>
          <cell r="BE281">
            <v>0.13022569539319084</v>
          </cell>
          <cell r="BF281">
            <v>0.11664396003633062</v>
          </cell>
          <cell r="BG281">
            <v>0.19542935786461921</v>
          </cell>
          <cell r="BH281">
            <v>0.22140771445490387</v>
          </cell>
          <cell r="BI281">
            <v>0.14974701843151414</v>
          </cell>
          <cell r="BJ281">
            <v>0.11552873245492792</v>
          </cell>
          <cell r="BK281">
            <v>0.33349976699287653</v>
          </cell>
          <cell r="BL281">
            <v>0.26086897671900389</v>
          </cell>
          <cell r="BM281">
            <v>0.19161978661493703</v>
          </cell>
          <cell r="BN281">
            <v>0.18642523630565999</v>
          </cell>
          <cell r="BO281">
            <v>0.46788499514676835</v>
          </cell>
          <cell r="BP281">
            <v>0.23341851018559048</v>
          </cell>
          <cell r="BQ281">
            <v>0.2533790121140917</v>
          </cell>
          <cell r="BR281">
            <v>0.24349923262442447</v>
          </cell>
          <cell r="BS281">
            <v>0.47844928402505266</v>
          </cell>
          <cell r="BT281">
            <v>0.29782080765719871</v>
          </cell>
          <cell r="BU281">
            <v>0.2977570149376419</v>
          </cell>
          <cell r="BV281">
            <v>0.30858850149848704</v>
          </cell>
          <cell r="BW281">
            <v>0.50266911457462538</v>
          </cell>
          <cell r="BX281">
            <v>0.26847374384203138</v>
          </cell>
          <cell r="BY281">
            <v>0.28753237094860706</v>
          </cell>
          <cell r="BZ281">
            <v>0.32603070246871557</v>
          </cell>
          <cell r="CA281">
            <v>0</v>
          </cell>
          <cell r="CB281">
            <v>0</v>
          </cell>
          <cell r="CC281">
            <v>0</v>
          </cell>
          <cell r="CD281">
            <v>0</v>
          </cell>
          <cell r="CE281">
            <v>0</v>
          </cell>
          <cell r="CF281">
            <v>0</v>
          </cell>
          <cell r="CG281">
            <v>0</v>
          </cell>
          <cell r="CH281">
            <v>0</v>
          </cell>
          <cell r="CI281">
            <v>0</v>
          </cell>
          <cell r="CJ281">
            <v>0</v>
          </cell>
          <cell r="CK281">
            <v>0</v>
          </cell>
          <cell r="CL281">
            <v>0</v>
          </cell>
          <cell r="CM281" t="str">
            <v>NA</v>
          </cell>
          <cell r="CN281">
            <v>9.6746312766609957E-2</v>
          </cell>
          <cell r="CO281">
            <v>0.1087398710652029</v>
          </cell>
          <cell r="CP281">
            <v>0.16667927870983248</v>
          </cell>
          <cell r="CQ281">
            <v>0.244627682361055</v>
          </cell>
          <cell r="CR281">
            <v>0.30544721473650671</v>
          </cell>
          <cell r="CS281">
            <v>0.35148046098747343</v>
          </cell>
          <cell r="CT281">
            <v>0.35380446059510368</v>
          </cell>
          <cell r="CU281">
            <v>0</v>
          </cell>
          <cell r="CV281">
            <v>0</v>
          </cell>
          <cell r="CW281">
            <v>0</v>
          </cell>
          <cell r="CX281">
            <v>0</v>
          </cell>
          <cell r="CY281">
            <v>0</v>
          </cell>
          <cell r="CZ281">
            <v>0</v>
          </cell>
          <cell r="DA281">
            <v>0</v>
          </cell>
          <cell r="DB281">
            <v>0</v>
          </cell>
          <cell r="DC281">
            <v>0</v>
          </cell>
          <cell r="DD281">
            <v>0</v>
          </cell>
          <cell r="DE281">
            <v>0</v>
          </cell>
          <cell r="DF281">
            <v>0</v>
          </cell>
          <cell r="DG281">
            <v>9.6746312766609957E-2</v>
          </cell>
          <cell r="DH281">
            <v>0.1087398710652029</v>
          </cell>
          <cell r="DI281">
            <v>0.16667927870983248</v>
          </cell>
          <cell r="DJ281">
            <v>0.244627682361055</v>
          </cell>
          <cell r="DK281">
            <v>0</v>
          </cell>
          <cell r="DL281">
            <v>0</v>
          </cell>
          <cell r="DM281">
            <v>0</v>
          </cell>
          <cell r="DN281">
            <v>0</v>
          </cell>
          <cell r="DO281">
            <v>0</v>
          </cell>
          <cell r="DP281">
            <v>0</v>
          </cell>
          <cell r="DQ281">
            <v>0</v>
          </cell>
          <cell r="DR281">
            <v>0</v>
          </cell>
          <cell r="DS281">
            <v>0</v>
          </cell>
          <cell r="DT281">
            <v>0</v>
          </cell>
          <cell r="DU281">
            <v>0</v>
          </cell>
          <cell r="DV281">
            <v>0</v>
          </cell>
          <cell r="DW281">
            <v>0</v>
          </cell>
          <cell r="DX281">
            <v>0</v>
          </cell>
          <cell r="DY281">
            <v>0</v>
          </cell>
          <cell r="DZ281">
            <v>0</v>
          </cell>
          <cell r="EA281">
            <v>0</v>
          </cell>
          <cell r="EB281">
            <v>0</v>
          </cell>
          <cell r="EC281">
            <v>0</v>
          </cell>
          <cell r="ED281">
            <v>0</v>
          </cell>
          <cell r="EE281">
            <v>0</v>
          </cell>
          <cell r="EF281">
            <v>0</v>
          </cell>
          <cell r="EG281">
            <v>0</v>
          </cell>
          <cell r="EH281">
            <v>0</v>
          </cell>
          <cell r="EI281">
            <v>0</v>
          </cell>
          <cell r="EJ281">
            <v>0</v>
          </cell>
          <cell r="EK281">
            <v>0</v>
          </cell>
          <cell r="EL281">
            <v>0</v>
          </cell>
          <cell r="EM281">
            <v>0</v>
          </cell>
          <cell r="EN281">
            <v>0</v>
          </cell>
          <cell r="EO281">
            <v>0</v>
          </cell>
        </row>
        <row r="291">
          <cell r="A291" t="str">
            <v>OPWR_ADJ_TAXRATE</v>
          </cell>
          <cell r="B291" t="str">
            <v>Tax Rate</v>
          </cell>
          <cell r="C291">
            <v>2</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-0.57592722183344947</v>
          </cell>
          <cell r="AV291">
            <v>0.21638924455825853</v>
          </cell>
          <cell r="AW291">
            <v>8.0748663101604404E-2</v>
          </cell>
          <cell r="AX291">
            <v>3.7718057520037741E-2</v>
          </cell>
          <cell r="AY291">
            <v>0.27504432624113467</v>
          </cell>
          <cell r="AZ291">
            <v>0.22503328894806901</v>
          </cell>
          <cell r="BA291">
            <v>0.91705069124424687</v>
          </cell>
          <cell r="BB291">
            <v>0.3309636650868869</v>
          </cell>
          <cell r="BC291">
            <v>0.40951882845188098</v>
          </cell>
          <cell r="BD291">
            <v>-0.23870967741935456</v>
          </cell>
          <cell r="BE291">
            <v>0.37383798140770269</v>
          </cell>
          <cell r="BF291">
            <v>0.36551339285714285</v>
          </cell>
          <cell r="BG291">
            <v>0.38062780269058294</v>
          </cell>
          <cell r="BH291">
            <v>0.42465235077097691</v>
          </cell>
          <cell r="BI291">
            <v>0.31006621030187431</v>
          </cell>
          <cell r="BJ291">
            <v>0.12894016890686338</v>
          </cell>
          <cell r="BK291">
            <v>0.32123151261876015</v>
          </cell>
          <cell r="BL291">
            <v>0.30783363955236331</v>
          </cell>
          <cell r="BM291">
            <v>-2.111458333333327</v>
          </cell>
          <cell r="BN291">
            <v>0.2765757290686735</v>
          </cell>
          <cell r="BO291">
            <v>0.23781320343924131</v>
          </cell>
          <cell r="BP291">
            <v>0.33422530268468148</v>
          </cell>
          <cell r="BQ291">
            <v>0.33502855801580461</v>
          </cell>
          <cell r="BR291">
            <v>0.35920253599663904</v>
          </cell>
          <cell r="BS291">
            <v>0.25315048680210517</v>
          </cell>
          <cell r="BT291">
            <v>0.16800000000000001</v>
          </cell>
          <cell r="BU291">
            <v>0.16800000000000001</v>
          </cell>
          <cell r="BV291">
            <v>0.16800000000000001</v>
          </cell>
          <cell r="BW291">
            <v>0.16800000000000001</v>
          </cell>
          <cell r="BX291">
            <v>0.16800000000000001</v>
          </cell>
          <cell r="BY291">
            <v>0.16800000000000001</v>
          </cell>
          <cell r="BZ291">
            <v>0.16800000000000001</v>
          </cell>
          <cell r="CA291">
            <v>0</v>
          </cell>
          <cell r="CB291">
            <v>0</v>
          </cell>
          <cell r="CC291">
            <v>0</v>
          </cell>
          <cell r="CD291">
            <v>0</v>
          </cell>
          <cell r="CE291">
            <v>0</v>
          </cell>
          <cell r="CF291">
            <v>0</v>
          </cell>
          <cell r="CG291">
            <v>0</v>
          </cell>
          <cell r="CH291">
            <v>0</v>
          </cell>
          <cell r="CI291">
            <v>0</v>
          </cell>
          <cell r="CJ291">
            <v>0</v>
          </cell>
          <cell r="CK291">
            <v>0</v>
          </cell>
          <cell r="CL291">
            <v>0</v>
          </cell>
          <cell r="CM291">
            <v>-5.3395949214066034E-3</v>
          </cell>
          <cell r="CN291">
            <v>0.2095238095238095</v>
          </cell>
          <cell r="CO291">
            <v>0.29218498463339654</v>
          </cell>
          <cell r="CP291">
            <v>0.32224186070339922</v>
          </cell>
          <cell r="CQ291">
            <v>0.20199843260188086</v>
          </cell>
          <cell r="CR291">
            <v>0.2988760204755358</v>
          </cell>
          <cell r="CS291">
            <v>0.19389981477164298</v>
          </cell>
          <cell r="CT291">
            <v>0.16639815674506836</v>
          </cell>
          <cell r="CU291">
            <v>0</v>
          </cell>
          <cell r="CV291">
            <v>0</v>
          </cell>
          <cell r="CW291">
            <v>0</v>
          </cell>
          <cell r="CX291">
            <v>0</v>
          </cell>
          <cell r="CY291">
            <v>0</v>
          </cell>
          <cell r="CZ291">
            <v>0</v>
          </cell>
          <cell r="DA291">
            <v>0</v>
          </cell>
          <cell r="DB291">
            <v>0</v>
          </cell>
          <cell r="DC291">
            <v>0</v>
          </cell>
          <cell r="DD291">
            <v>0</v>
          </cell>
          <cell r="DE291">
            <v>0</v>
          </cell>
          <cell r="DF291">
            <v>0</v>
          </cell>
          <cell r="DG291">
            <v>0.2095238095238095</v>
          </cell>
          <cell r="DH291">
            <v>0.29218498463339654</v>
          </cell>
          <cell r="DI291">
            <v>0.32224186070339922</v>
          </cell>
          <cell r="DJ291">
            <v>0.20199843260188086</v>
          </cell>
          <cell r="DK291">
            <v>0</v>
          </cell>
          <cell r="DL291">
            <v>0</v>
          </cell>
          <cell r="DM291">
            <v>0</v>
          </cell>
          <cell r="DN291">
            <v>0</v>
          </cell>
          <cell r="DO291">
            <v>0</v>
          </cell>
          <cell r="DP291">
            <v>0</v>
          </cell>
          <cell r="DQ291">
            <v>0</v>
          </cell>
          <cell r="DR291">
            <v>0</v>
          </cell>
          <cell r="DS291">
            <v>0</v>
          </cell>
          <cell r="DT291">
            <v>0</v>
          </cell>
          <cell r="DU291">
            <v>0</v>
          </cell>
          <cell r="DV291">
            <v>0</v>
          </cell>
          <cell r="DW291">
            <v>0</v>
          </cell>
          <cell r="DX291">
            <v>0</v>
          </cell>
          <cell r="DY291">
            <v>0</v>
          </cell>
          <cell r="DZ291">
            <v>0</v>
          </cell>
          <cell r="EA291">
            <v>0</v>
          </cell>
          <cell r="EB291">
            <v>0</v>
          </cell>
          <cell r="EC291">
            <v>0</v>
          </cell>
          <cell r="ED291">
            <v>0</v>
          </cell>
          <cell r="EE291">
            <v>0</v>
          </cell>
          <cell r="EF291">
            <v>0</v>
          </cell>
          <cell r="EG291">
            <v>0</v>
          </cell>
          <cell r="EH291">
            <v>0</v>
          </cell>
          <cell r="EI291">
            <v>0</v>
          </cell>
          <cell r="EJ291">
            <v>0</v>
          </cell>
          <cell r="EK291">
            <v>0</v>
          </cell>
          <cell r="EL291">
            <v>0</v>
          </cell>
          <cell r="EM291">
            <v>0</v>
          </cell>
          <cell r="EN291">
            <v>0</v>
          </cell>
          <cell r="EO291">
            <v>0</v>
          </cell>
        </row>
        <row r="310">
          <cell r="A310" t="str">
            <v>PAYC_REV_GR</v>
          </cell>
          <cell r="B310" t="str">
            <v>Total Revenue</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t="str">
            <v>NA</v>
          </cell>
          <cell r="AV310" t="str">
            <v>NA</v>
          </cell>
          <cell r="AW310" t="str">
            <v>NA</v>
          </cell>
          <cell r="AX310" t="str">
            <v>NA</v>
          </cell>
          <cell r="AY310">
            <v>0.38975961296174977</v>
          </cell>
          <cell r="AZ310">
            <v>0.39913409782354314</v>
          </cell>
          <cell r="BA310">
            <v>0.3911029728565274</v>
          </cell>
          <cell r="BB310">
            <v>0.42112920636410567</v>
          </cell>
          <cell r="BC310">
            <v>0.34115386010080884</v>
          </cell>
          <cell r="BD310">
            <v>0.39274065401020319</v>
          </cell>
          <cell r="BE310">
            <v>0.41687959736740221</v>
          </cell>
          <cell r="BF310">
            <v>0.45442536327608996</v>
          </cell>
          <cell r="BG310">
            <v>0.49309179397052838</v>
          </cell>
          <cell r="BH310">
            <v>0.47039572449408529</v>
          </cell>
          <cell r="BI310">
            <v>0.51210448658396635</v>
          </cell>
          <cell r="BJ310">
            <v>0.47861035422343323</v>
          </cell>
          <cell r="BK310">
            <v>0.63206692984680002</v>
          </cell>
          <cell r="BL310">
            <v>0.50858636391481049</v>
          </cell>
          <cell r="BM310">
            <v>0.39727141308276126</v>
          </cell>
          <cell r="BN310">
            <v>0.34847507601584837</v>
          </cell>
          <cell r="BO310">
            <v>0.32601025231342806</v>
          </cell>
          <cell r="BP310">
            <v>0.32954791553871132</v>
          </cell>
          <cell r="BQ310">
            <v>0.30988684125444554</v>
          </cell>
          <cell r="BR310">
            <v>0.29854230725429898</v>
          </cell>
          <cell r="BS310">
            <v>0.28791377983063904</v>
          </cell>
          <cell r="BT310">
            <v>0.26375858979710265</v>
          </cell>
          <cell r="BU310">
            <v>0.24911686593541127</v>
          </cell>
          <cell r="BV310">
            <v>0.24406704670028523</v>
          </cell>
          <cell r="BW310">
            <v>0.2493402245380596</v>
          </cell>
          <cell r="BX310">
            <v>0.24909324682766276</v>
          </cell>
          <cell r="BY310">
            <v>0.24915159189151348</v>
          </cell>
          <cell r="BZ310">
            <v>0.24900010394435501</v>
          </cell>
          <cell r="CA310">
            <v>0</v>
          </cell>
          <cell r="CB310">
            <v>0</v>
          </cell>
          <cell r="CC310">
            <v>0</v>
          </cell>
          <cell r="CD310">
            <v>0</v>
          </cell>
          <cell r="CE310">
            <v>0</v>
          </cell>
          <cell r="CF310">
            <v>0</v>
          </cell>
          <cell r="CG310">
            <v>0</v>
          </cell>
          <cell r="CH310">
            <v>0</v>
          </cell>
          <cell r="CI310">
            <v>0</v>
          </cell>
          <cell r="CJ310">
            <v>0</v>
          </cell>
          <cell r="CK310">
            <v>0</v>
          </cell>
          <cell r="CL310">
            <v>0</v>
          </cell>
          <cell r="CM310" t="str">
            <v>NA</v>
          </cell>
          <cell r="CN310">
            <v>0.40087228225491467</v>
          </cell>
          <cell r="CO310">
            <v>0.4026728376130333</v>
          </cell>
          <cell r="CP310">
            <v>0.48846808764385896</v>
          </cell>
          <cell r="CQ310">
            <v>0.46510841163928385</v>
          </cell>
          <cell r="CR310">
            <v>0.31568841317247021</v>
          </cell>
          <cell r="CS310">
            <v>0.26181513784877852</v>
          </cell>
          <cell r="CT310">
            <v>0.24915214388148899</v>
          </cell>
          <cell r="CU310">
            <v>0</v>
          </cell>
          <cell r="CV310">
            <v>0</v>
          </cell>
          <cell r="CW310">
            <v>0</v>
          </cell>
          <cell r="CX310">
            <v>0</v>
          </cell>
          <cell r="CY310">
            <v>0</v>
          </cell>
          <cell r="CZ310">
            <v>0</v>
          </cell>
          <cell r="DA310">
            <v>0</v>
          </cell>
          <cell r="DB310">
            <v>0</v>
          </cell>
          <cell r="DC310">
            <v>0</v>
          </cell>
          <cell r="DD310">
            <v>0</v>
          </cell>
          <cell r="DE310">
            <v>0</v>
          </cell>
          <cell r="DF310">
            <v>0</v>
          </cell>
          <cell r="DG310" t="str">
            <v>NA</v>
          </cell>
          <cell r="DH310">
            <v>0.4026728376130333</v>
          </cell>
          <cell r="DI310">
            <v>0.48846808764385896</v>
          </cell>
          <cell r="DJ310">
            <v>0.46510841163928385</v>
          </cell>
          <cell r="DK310">
            <v>0</v>
          </cell>
          <cell r="DL310">
            <v>0</v>
          </cell>
          <cell r="DM310">
            <v>0</v>
          </cell>
          <cell r="DN310">
            <v>0</v>
          </cell>
          <cell r="DO310">
            <v>0</v>
          </cell>
          <cell r="DP310">
            <v>0</v>
          </cell>
          <cell r="DQ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row>
      </sheetData>
      <sheetData sheetId="4"/>
      <sheetData sheetId="5"/>
      <sheetData sheetId="6"/>
      <sheetData sheetId="7"/>
      <sheetData sheetId="8"/>
      <sheetData sheetId="9"/>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Prod'n"/>
      <sheetName val="Pubfin"/>
      <sheetName val="FrancoSummary"/>
      <sheetName val="Model"/>
      <sheetName val="NEM-NDY-FN"/>
      <sheetName val="Valuation"/>
      <sheetName val="Nevada Operations"/>
      <sheetName val="Mesquite"/>
      <sheetName val="Yanacocha"/>
      <sheetName val="Zarafshan"/>
      <sheetName val="Minahasa"/>
      <sheetName val="La Herradura"/>
      <sheetName val="Batu Hijau"/>
      <sheetName val="Pheonix"/>
      <sheetName val="Llallagua"/>
      <sheetName val="VeraNancy"/>
      <sheetName val="Holloway"/>
      <sheetName val="Kori Kollo"/>
      <sheetName val="Golden Giant"/>
      <sheetName val="Crown Jewel"/>
      <sheetName val="Boddington"/>
      <sheetName val="DS_Key_Information"/>
      <sheetName val="DS_Valuation_Measures"/>
      <sheetName val="DS_Quarterly_Estimates_Data"/>
      <sheetName val="DS_Income_Statement"/>
      <sheetName val="DS_Cash_Flow"/>
      <sheetName val="DS_Balance_Sheet"/>
      <sheetName val="DS_Industry_Specif"/>
      <sheetName val="RBCGold"/>
    </sheetNames>
    <sheetDataSet>
      <sheetData sheetId="0" refreshError="1"/>
      <sheetData sheetId="1" refreshError="1"/>
      <sheetData sheetId="2" refreshError="1"/>
      <sheetData sheetId="3" refreshError="1"/>
      <sheetData sheetId="4" refreshError="1">
        <row r="9">
          <cell r="I9">
            <v>279.03025000000002</v>
          </cell>
        </row>
      </sheetData>
      <sheetData sheetId="5" refreshError="1"/>
      <sheetData sheetId="6" refreshError="1">
        <row r="40">
          <cell r="E40">
            <v>8.4527389918465197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ssumptions"/>
      <sheetName val="Income Statement"/>
      <sheetName val="Balance Sheet"/>
      <sheetName val="Quickview"/>
      <sheetName val="Estimate Changes"/>
      <sheetName val="Report Statistics"/>
      <sheetName val="Universe"/>
      <sheetName val="Competitors"/>
      <sheetName val="Calculations"/>
      <sheetName val="Macros"/>
    </sheetNames>
    <sheetDataSet>
      <sheetData sheetId="0"/>
      <sheetData sheetId="1"/>
      <sheetData sheetId="2">
        <row r="3">
          <cell r="D3" t="str">
            <v>N</v>
          </cell>
          <cell r="E3" t="str">
            <v>N</v>
          </cell>
          <cell r="F3" t="str">
            <v>N</v>
          </cell>
          <cell r="G3" t="str">
            <v>N</v>
          </cell>
          <cell r="H3" t="str">
            <v>N</v>
          </cell>
          <cell r="I3" t="str">
            <v>N</v>
          </cell>
          <cell r="J3" t="str">
            <v>N</v>
          </cell>
          <cell r="K3" t="str">
            <v>N</v>
          </cell>
          <cell r="L3" t="str">
            <v>T</v>
          </cell>
          <cell r="M3" t="str">
            <v>N</v>
          </cell>
          <cell r="N3" t="str">
            <v>N</v>
          </cell>
          <cell r="O3" t="str">
            <v>N</v>
          </cell>
          <cell r="P3" t="str">
            <v>N</v>
          </cell>
          <cell r="Q3" t="str">
            <v>N</v>
          </cell>
          <cell r="R3" t="str">
            <v>N</v>
          </cell>
          <cell r="S3" t="str">
            <v>N</v>
          </cell>
          <cell r="T3" t="str">
            <v>N</v>
          </cell>
          <cell r="U3" t="str">
            <v>T</v>
          </cell>
          <cell r="V3" t="str">
            <v>N</v>
          </cell>
          <cell r="W3" t="str">
            <v>N</v>
          </cell>
          <cell r="X3" t="str">
            <v>N</v>
          </cell>
          <cell r="Y3" t="str">
            <v>N</v>
          </cell>
          <cell r="Z3" t="str">
            <v>N</v>
          </cell>
          <cell r="AA3" t="str">
            <v>N</v>
          </cell>
          <cell r="AB3" t="str">
            <v>N</v>
          </cell>
          <cell r="AC3" t="str">
            <v>Y</v>
          </cell>
          <cell r="AD3" t="str">
            <v>T</v>
          </cell>
          <cell r="AE3" t="str">
            <v>N</v>
          </cell>
          <cell r="AF3" t="str">
            <v>P</v>
          </cell>
          <cell r="AG3" t="str">
            <v>N</v>
          </cell>
          <cell r="AH3" t="str">
            <v>P</v>
          </cell>
          <cell r="AI3" t="str">
            <v>N</v>
          </cell>
          <cell r="AJ3" t="str">
            <v>P</v>
          </cell>
          <cell r="AK3" t="str">
            <v>N</v>
          </cell>
          <cell r="AL3" t="str">
            <v>P</v>
          </cell>
          <cell r="AM3" t="str">
            <v>T</v>
          </cell>
          <cell r="AN3" t="str">
            <v>N</v>
          </cell>
          <cell r="AO3" t="str">
            <v>P</v>
          </cell>
          <cell r="AP3" t="str">
            <v>N</v>
          </cell>
          <cell r="AQ3" t="str">
            <v>P</v>
          </cell>
          <cell r="AR3" t="str">
            <v>N</v>
          </cell>
          <cell r="AS3" t="str">
            <v>P</v>
          </cell>
          <cell r="AT3" t="str">
            <v>N</v>
          </cell>
          <cell r="AU3" t="str">
            <v>P</v>
          </cell>
          <cell r="AV3" t="str">
            <v>T</v>
          </cell>
          <cell r="AW3" t="str">
            <v>N</v>
          </cell>
          <cell r="AX3" t="str">
            <v>P</v>
          </cell>
          <cell r="AY3" t="str">
            <v>N</v>
          </cell>
          <cell r="AZ3" t="str">
            <v>P</v>
          </cell>
          <cell r="BA3" t="str">
            <v>N</v>
          </cell>
          <cell r="BB3" t="str">
            <v>P</v>
          </cell>
          <cell r="BC3" t="str">
            <v>N</v>
          </cell>
          <cell r="BD3" t="str">
            <v>P</v>
          </cell>
          <cell r="BE3" t="str">
            <v>T</v>
          </cell>
        </row>
        <row r="4">
          <cell r="D4" t="str">
            <v>Y1Q1E</v>
          </cell>
          <cell r="E4" t="str">
            <v>Y1Q1A</v>
          </cell>
          <cell r="F4" t="str">
            <v>Y1Q2E</v>
          </cell>
          <cell r="G4" t="str">
            <v>Y1Q2A</v>
          </cell>
          <cell r="H4" t="str">
            <v>Y1Q3E</v>
          </cell>
          <cell r="I4" t="str">
            <v>Y1Q3A</v>
          </cell>
          <cell r="J4" t="str">
            <v>Y1Q4E</v>
          </cell>
          <cell r="K4" t="str">
            <v>Y1Q4A</v>
          </cell>
          <cell r="L4" t="str">
            <v>Y1T</v>
          </cell>
          <cell r="M4" t="str">
            <v>Y2Q1E</v>
          </cell>
          <cell r="N4" t="str">
            <v>Y2Q1A</v>
          </cell>
          <cell r="O4" t="str">
            <v>Y2Q2E</v>
          </cell>
          <cell r="P4" t="str">
            <v>Y2Q2A</v>
          </cell>
          <cell r="Q4" t="str">
            <v>Y2Q3E</v>
          </cell>
          <cell r="R4" t="str">
            <v>Y2Q3A</v>
          </cell>
          <cell r="S4" t="str">
            <v>Y2Q4E</v>
          </cell>
          <cell r="T4" t="str">
            <v>Y2Q4A</v>
          </cell>
          <cell r="U4" t="str">
            <v>Y2T</v>
          </cell>
          <cell r="V4" t="str">
            <v>Y3Q1E</v>
          </cell>
          <cell r="W4" t="str">
            <v>Y3Q1A</v>
          </cell>
          <cell r="X4" t="str">
            <v>Y3Q2E</v>
          </cell>
          <cell r="Y4" t="str">
            <v>Y3Q2A</v>
          </cell>
          <cell r="Z4" t="str">
            <v>Y3Q3E</v>
          </cell>
          <cell r="AA4" t="str">
            <v>Y3Q3A</v>
          </cell>
          <cell r="AB4" t="str">
            <v>Y3Q4E</v>
          </cell>
          <cell r="AC4" t="str">
            <v>Y3Q4A</v>
          </cell>
          <cell r="AD4" t="str">
            <v>Y3T</v>
          </cell>
          <cell r="AE4" t="str">
            <v>Y4Q1E</v>
          </cell>
          <cell r="AF4" t="str">
            <v>Y4Q1A</v>
          </cell>
          <cell r="AG4" t="str">
            <v>Y4Q2E</v>
          </cell>
          <cell r="AH4" t="str">
            <v>Y4Q2A</v>
          </cell>
          <cell r="AI4" t="str">
            <v>Y4Q3E</v>
          </cell>
          <cell r="AJ4" t="str">
            <v>Y4Q3A</v>
          </cell>
          <cell r="AK4" t="str">
            <v>Y4Q4E</v>
          </cell>
          <cell r="AL4" t="str">
            <v>Y4Q4A</v>
          </cell>
          <cell r="AM4" t="str">
            <v>Y4T</v>
          </cell>
          <cell r="AN4" t="str">
            <v>Y5Q1E</v>
          </cell>
          <cell r="AO4" t="str">
            <v>Y5Q1A</v>
          </cell>
          <cell r="AP4" t="str">
            <v>Y5Q2E</v>
          </cell>
          <cell r="AQ4" t="str">
            <v>Y5Q2A</v>
          </cell>
          <cell r="AR4" t="str">
            <v>Y5Q3E</v>
          </cell>
          <cell r="AS4" t="str">
            <v>Y5Q3A</v>
          </cell>
          <cell r="AT4" t="str">
            <v>Y5Q4E</v>
          </cell>
          <cell r="AU4" t="str">
            <v>Y5Q4A</v>
          </cell>
          <cell r="AV4" t="str">
            <v>Y5T</v>
          </cell>
          <cell r="AW4" t="str">
            <v>Y6Q1E</v>
          </cell>
          <cell r="AX4" t="str">
            <v>Y6Q1A</v>
          </cell>
          <cell r="AY4" t="str">
            <v>Y6Q2E</v>
          </cell>
          <cell r="AZ4" t="str">
            <v>Y6Q2A</v>
          </cell>
          <cell r="BA4" t="str">
            <v>Y6Q3E</v>
          </cell>
          <cell r="BB4" t="str">
            <v>Y6Q3A</v>
          </cell>
          <cell r="BC4" t="str">
            <v>Y6Q4E</v>
          </cell>
          <cell r="BD4" t="str">
            <v>Y6Q4A</v>
          </cell>
          <cell r="BE4" t="str">
            <v>Y6T</v>
          </cell>
        </row>
        <row r="6">
          <cell r="D6">
            <v>35885</v>
          </cell>
          <cell r="E6">
            <v>35885</v>
          </cell>
          <cell r="F6">
            <v>35976</v>
          </cell>
          <cell r="G6">
            <v>35976</v>
          </cell>
          <cell r="H6">
            <v>36068</v>
          </cell>
          <cell r="I6">
            <v>36068</v>
          </cell>
          <cell r="J6">
            <v>36160</v>
          </cell>
          <cell r="K6">
            <v>36160</v>
          </cell>
          <cell r="L6">
            <v>36160</v>
          </cell>
          <cell r="M6">
            <v>36250</v>
          </cell>
          <cell r="N6">
            <v>36250</v>
          </cell>
          <cell r="O6">
            <v>36341</v>
          </cell>
          <cell r="P6">
            <v>36341</v>
          </cell>
          <cell r="Q6">
            <v>36433</v>
          </cell>
          <cell r="R6">
            <v>36433</v>
          </cell>
          <cell r="S6">
            <v>36525</v>
          </cell>
          <cell r="T6">
            <v>36525</v>
          </cell>
          <cell r="U6">
            <v>36525</v>
          </cell>
          <cell r="V6">
            <v>36616</v>
          </cell>
          <cell r="W6">
            <v>36616</v>
          </cell>
          <cell r="X6">
            <v>36707</v>
          </cell>
          <cell r="Y6">
            <v>36707</v>
          </cell>
          <cell r="Z6">
            <v>36799</v>
          </cell>
          <cell r="AA6">
            <v>36799</v>
          </cell>
          <cell r="AB6">
            <v>36891</v>
          </cell>
          <cell r="AC6">
            <v>36891</v>
          </cell>
          <cell r="AD6">
            <v>36891</v>
          </cell>
          <cell r="AE6">
            <v>36981</v>
          </cell>
          <cell r="AF6">
            <v>36981</v>
          </cell>
          <cell r="AG6">
            <v>37072</v>
          </cell>
          <cell r="AH6">
            <v>37072</v>
          </cell>
          <cell r="AI6">
            <v>37164</v>
          </cell>
          <cell r="AJ6">
            <v>37164</v>
          </cell>
          <cell r="AK6">
            <v>37256</v>
          </cell>
          <cell r="AL6">
            <v>37256</v>
          </cell>
          <cell r="AM6">
            <v>37256</v>
          </cell>
          <cell r="AN6">
            <v>37346</v>
          </cell>
          <cell r="AO6">
            <v>37346</v>
          </cell>
          <cell r="AP6">
            <v>37437</v>
          </cell>
          <cell r="AQ6">
            <v>37437</v>
          </cell>
          <cell r="AR6">
            <v>37529</v>
          </cell>
          <cell r="AS6">
            <v>37529</v>
          </cell>
          <cell r="AT6">
            <v>37621</v>
          </cell>
          <cell r="AU6">
            <v>37621</v>
          </cell>
          <cell r="AV6">
            <v>37621</v>
          </cell>
          <cell r="AW6">
            <v>37711</v>
          </cell>
          <cell r="AX6">
            <v>37711</v>
          </cell>
          <cell r="AY6">
            <v>37802</v>
          </cell>
          <cell r="AZ6">
            <v>37802</v>
          </cell>
          <cell r="BA6">
            <v>37894</v>
          </cell>
          <cell r="BB6">
            <v>37894</v>
          </cell>
          <cell r="BC6">
            <v>37986</v>
          </cell>
          <cell r="BD6">
            <v>37986</v>
          </cell>
          <cell r="BE6">
            <v>37986</v>
          </cell>
        </row>
      </sheetData>
      <sheetData sheetId="3"/>
      <sheetData sheetId="4"/>
      <sheetData sheetId="5"/>
      <sheetData sheetId="6"/>
      <sheetData sheetId="7"/>
      <sheetData sheetId="8"/>
      <sheetData sheetId="9" refreshError="1"/>
      <sheetData sheetId="1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Upside_Downside"/>
      <sheetName val="Earnings Cheat Sheet"/>
      <sheetName val="QUICK SUMMARY"/>
      <sheetName val="economic indicators"/>
      <sheetName val="guidance"/>
      <sheetName val="BMTemplate"/>
      <sheetName val="Job Postings"/>
      <sheetName val="SENSITIVITY"/>
      <sheetName val="MULTIPLES PIVOT"/>
      <sheetName val="WACC"/>
      <sheetName val="DCF"/>
      <sheetName val="LINKS&amp;INPUTS"/>
      <sheetName val="customers"/>
      <sheetName val="Fund Ownership"/>
      <sheetName val="RBC ADSK Model"/>
    </sheetNames>
    <sheetDataSet>
      <sheetData sheetId="0"/>
      <sheetData sheetId="1" refreshError="1">
        <row r="13">
          <cell r="A13" t="str">
            <v>S&amp;M</v>
          </cell>
          <cell r="R13">
            <v>128</v>
          </cell>
          <cell r="S13">
            <v>134.6</v>
          </cell>
          <cell r="T13">
            <v>136.9</v>
          </cell>
          <cell r="U13">
            <v>156.5</v>
          </cell>
          <cell r="V13">
            <v>161.30000000000001</v>
          </cell>
          <cell r="W13">
            <v>157.9</v>
          </cell>
          <cell r="X13">
            <v>161.69999999999999</v>
          </cell>
          <cell r="Y13">
            <v>207.40000000000015</v>
          </cell>
          <cell r="Z13">
            <v>181.6</v>
          </cell>
          <cell r="AA13">
            <v>189.8</v>
          </cell>
          <cell r="AB13">
            <v>192.7</v>
          </cell>
          <cell r="AC13">
            <v>231.4</v>
          </cell>
          <cell r="AD13">
            <v>215</v>
          </cell>
          <cell r="AE13">
            <v>220.2</v>
          </cell>
          <cell r="AF13">
            <v>216.9</v>
          </cell>
          <cell r="AG13">
            <v>209.4</v>
          </cell>
          <cell r="AH13">
            <v>174.4</v>
          </cell>
          <cell r="AI13">
            <v>166.9</v>
          </cell>
          <cell r="AJ13">
            <v>166.8</v>
          </cell>
          <cell r="AK13">
            <v>182.7</v>
          </cell>
          <cell r="AL13">
            <v>175.9</v>
          </cell>
          <cell r="AM13">
            <v>168.3</v>
          </cell>
          <cell r="AN13">
            <v>177.5</v>
          </cell>
          <cell r="AO13">
            <v>218.8</v>
          </cell>
          <cell r="AP13">
            <v>190.1</v>
          </cell>
          <cell r="AQ13">
            <v>189.7</v>
          </cell>
          <cell r="AR13">
            <v>194.5</v>
          </cell>
          <cell r="AS13">
            <v>220</v>
          </cell>
          <cell r="AT13">
            <v>208.6</v>
          </cell>
          <cell r="AU13">
            <v>196.3</v>
          </cell>
          <cell r="AV13">
            <v>187.2</v>
          </cell>
          <cell r="AW13">
            <v>219.1</v>
          </cell>
          <cell r="AX13">
            <v>194.6</v>
          </cell>
          <cell r="AY13">
            <v>189</v>
          </cell>
          <cell r="AZ13">
            <v>190.00000000000003</v>
          </cell>
          <cell r="BA13">
            <v>204.99999999999994</v>
          </cell>
          <cell r="BB13">
            <v>199.99999999999994</v>
          </cell>
          <cell r="BC13">
            <v>208</v>
          </cell>
          <cell r="BD13">
            <v>209.00000000000003</v>
          </cell>
          <cell r="BE13">
            <v>234.80436760000003</v>
          </cell>
          <cell r="BF13">
            <v>237.54759488535461</v>
          </cell>
          <cell r="BG13">
            <v>241.15900974371209</v>
          </cell>
          <cell r="BH13">
            <v>247.58324411764713</v>
          </cell>
          <cell r="BI13">
            <v>268.90032111627897</v>
          </cell>
          <cell r="BJ13">
            <v>261.13506813882628</v>
          </cell>
          <cell r="BK13">
            <v>265.09351476971574</v>
          </cell>
          <cell r="BL13">
            <v>272.09383591176487</v>
          </cell>
          <cell r="BM13">
            <v>295.87932476651162</v>
          </cell>
          <cell r="BN13">
            <v>287.20876151342065</v>
          </cell>
          <cell r="BO13">
            <v>291.54984006881295</v>
          </cell>
          <cell r="BP13">
            <v>299.18174089617662</v>
          </cell>
          <cell r="BQ13">
            <v>325.72557641291161</v>
          </cell>
          <cell r="BR13">
            <v>0</v>
          </cell>
          <cell r="BS13">
            <v>0</v>
          </cell>
          <cell r="BT13">
            <v>0</v>
          </cell>
          <cell r="BU13">
            <v>0</v>
          </cell>
          <cell r="BV13">
            <v>556</v>
          </cell>
          <cell r="BW13">
            <v>688.30000000000018</v>
          </cell>
          <cell r="BX13">
            <v>795.49999999999989</v>
          </cell>
          <cell r="BY13">
            <v>861.5</v>
          </cell>
          <cell r="BZ13">
            <v>690.8</v>
          </cell>
          <cell r="CA13">
            <v>740.5</v>
          </cell>
          <cell r="CB13">
            <v>794.3</v>
          </cell>
          <cell r="CC13">
            <v>811.19999999999993</v>
          </cell>
          <cell r="CD13">
            <v>778.59999999999991</v>
          </cell>
          <cell r="CE13">
            <v>851.80436759999998</v>
          </cell>
          <cell r="CF13">
            <v>995.19016986299278</v>
          </cell>
          <cell r="CG13">
            <v>1094.2017435868186</v>
          </cell>
          <cell r="CH13">
            <v>1203.6659188913218</v>
          </cell>
        </row>
      </sheetData>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wards"/>
      <sheetName val="Input Foward"/>
      <sheetName val="Input"/>
      <sheetName val="rethink"/>
      <sheetName val="Goldsys Links"/>
      <sheetName val="Precious Metals"/>
      <sheetName val="Interest Rates"/>
      <sheetName val="Currencies"/>
      <sheetName val="Major Base Metals"/>
      <sheetName val="Other Metals"/>
      <sheetName val="Fertilizers"/>
      <sheetName val="Other Commodites"/>
      <sheetName val="Commodites Not Covered"/>
      <sheetName val="Official"/>
      <sheetName val="PRICES2"/>
    </sheetNames>
    <sheetDataSet>
      <sheetData sheetId="0" refreshError="1"/>
      <sheetData sheetId="1" refreshError="1"/>
      <sheetData sheetId="2" refreshError="1">
        <row r="1">
          <cell r="AF1" t="str">
            <v>Q2/02</v>
          </cell>
          <cell r="AG1" t="str">
            <v>Q3/02</v>
          </cell>
          <cell r="AH1" t="str">
            <v>Q4/02</v>
          </cell>
        </row>
        <row r="2">
          <cell r="AF2">
            <v>312.78466666666662</v>
          </cell>
          <cell r="AG2">
            <v>314.22733333333332</v>
          </cell>
          <cell r="AH2">
            <v>322.51433333333335</v>
          </cell>
        </row>
        <row r="3">
          <cell r="AF3">
            <v>4.7240866666666674</v>
          </cell>
          <cell r="AG3">
            <v>4.6719999999999997</v>
          </cell>
          <cell r="AH3">
            <v>4.5679999999999996</v>
          </cell>
        </row>
        <row r="4">
          <cell r="A4" t="str">
            <v>PLATINUM</v>
          </cell>
          <cell r="B4">
            <v>38084</v>
          </cell>
          <cell r="C4">
            <v>387.53</v>
          </cell>
          <cell r="D4">
            <v>388.25</v>
          </cell>
          <cell r="E4">
            <v>372.48</v>
          </cell>
          <cell r="F4">
            <v>347.01</v>
          </cell>
          <cell r="G4">
            <v>387.89</v>
          </cell>
          <cell r="H4">
            <v>359.745</v>
          </cell>
          <cell r="I4">
            <v>373.8175</v>
          </cell>
          <cell r="J4">
            <v>363.2</v>
          </cell>
          <cell r="K4">
            <v>356.7</v>
          </cell>
          <cell r="L4">
            <v>356.7</v>
          </cell>
          <cell r="M4">
            <v>431.6</v>
          </cell>
          <cell r="N4">
            <v>359.95</v>
          </cell>
          <cell r="O4">
            <v>394.15</v>
          </cell>
          <cell r="P4">
            <v>377.04999999999995</v>
          </cell>
          <cell r="Q4">
            <v>465.36900000000003</v>
          </cell>
          <cell r="R4">
            <v>522.08799999999997</v>
          </cell>
          <cell r="S4">
            <v>579.94399999999996</v>
          </cell>
          <cell r="T4">
            <v>595.95000000000005</v>
          </cell>
          <cell r="U4">
            <v>493.7285</v>
          </cell>
          <cell r="V4">
            <v>587.947</v>
          </cell>
          <cell r="W4">
            <v>540.83775000000003</v>
          </cell>
          <cell r="X4">
            <v>599.25300000000004</v>
          </cell>
          <cell r="Y4">
            <v>597.27800000000002</v>
          </cell>
          <cell r="Z4">
            <v>480.95100000000002</v>
          </cell>
          <cell r="AA4">
            <v>443.28199999999998</v>
          </cell>
          <cell r="AB4">
            <v>598.26549999999997</v>
          </cell>
          <cell r="AC4">
            <v>462.11649999999997</v>
          </cell>
          <cell r="AD4">
            <v>530.19100000000003</v>
          </cell>
          <cell r="AE4">
            <v>486.42866666666669</v>
          </cell>
          <cell r="AF4">
            <v>544.2163333333333</v>
          </cell>
          <cell r="AG4">
            <v>542.52</v>
          </cell>
          <cell r="AH4">
            <v>588.47699999999998</v>
          </cell>
          <cell r="AI4">
            <v>515.32249999999999</v>
          </cell>
          <cell r="AJ4">
            <v>565.49849999999992</v>
          </cell>
          <cell r="AK4">
            <v>540.41049999999996</v>
          </cell>
          <cell r="AL4">
            <v>656.06</v>
          </cell>
          <cell r="AM4">
            <v>643.87900000000002</v>
          </cell>
          <cell r="AN4">
            <v>696.56933333333325</v>
          </cell>
          <cell r="AO4">
            <v>767.93</v>
          </cell>
          <cell r="AP4">
            <v>649.96949999999993</v>
          </cell>
          <cell r="AQ4">
            <v>732.2496666666666</v>
          </cell>
          <cell r="AR4">
            <v>691.10958333333326</v>
          </cell>
          <cell r="AS4">
            <v>866.75833333333321</v>
          </cell>
          <cell r="AT4">
            <v>833</v>
          </cell>
          <cell r="AU4">
            <v>835</v>
          </cell>
          <cell r="AV4">
            <v>849.71</v>
          </cell>
          <cell r="AW4">
            <v>849.87916666666661</v>
          </cell>
          <cell r="AX4">
            <v>842.35500000000002</v>
          </cell>
          <cell r="AY4">
            <v>846.11708333333331</v>
          </cell>
          <cell r="AZ4">
            <v>863.99</v>
          </cell>
          <cell r="BA4">
            <v>871.7</v>
          </cell>
          <cell r="BB4">
            <v>896.91</v>
          </cell>
          <cell r="BC4">
            <v>950</v>
          </cell>
          <cell r="BD4">
            <v>867.84500000000003</v>
          </cell>
          <cell r="BE4">
            <v>923.45499999999993</v>
          </cell>
          <cell r="BF4">
            <v>895.65</v>
          </cell>
          <cell r="BG4">
            <v>950</v>
          </cell>
          <cell r="BH4">
            <v>925</v>
          </cell>
          <cell r="BI4">
            <v>900</v>
          </cell>
          <cell r="BJ4">
            <v>875</v>
          </cell>
          <cell r="BK4">
            <v>937.5</v>
          </cell>
          <cell r="BL4">
            <v>887.5</v>
          </cell>
          <cell r="BM4">
            <v>912.5</v>
          </cell>
          <cell r="BN4">
            <v>850</v>
          </cell>
          <cell r="BO4">
            <v>825</v>
          </cell>
          <cell r="BP4">
            <v>775</v>
          </cell>
          <cell r="BQ4">
            <v>750</v>
          </cell>
          <cell r="BT4">
            <v>800</v>
          </cell>
          <cell r="BU4">
            <v>750</v>
          </cell>
          <cell r="BV4">
            <v>725</v>
          </cell>
          <cell r="BW4">
            <v>725</v>
          </cell>
          <cell r="BX4">
            <v>700</v>
          </cell>
          <cell r="CA4">
            <v>725</v>
          </cell>
          <cell r="CB4">
            <v>700</v>
          </cell>
          <cell r="CC4">
            <v>700</v>
          </cell>
          <cell r="CD4">
            <v>700</v>
          </cell>
          <cell r="CE4">
            <v>700</v>
          </cell>
          <cell r="CH4">
            <v>700</v>
          </cell>
          <cell r="CO4">
            <v>700</v>
          </cell>
        </row>
        <row r="5">
          <cell r="A5" t="str">
            <v>PALLADIUM</v>
          </cell>
          <cell r="B5">
            <v>38084</v>
          </cell>
          <cell r="C5">
            <v>242</v>
          </cell>
          <cell r="D5">
            <v>321</v>
          </cell>
          <cell r="E5">
            <v>292.38</v>
          </cell>
          <cell r="F5">
            <v>284.45999999999998</v>
          </cell>
          <cell r="G5">
            <v>281.5</v>
          </cell>
          <cell r="H5">
            <v>288.41999999999996</v>
          </cell>
          <cell r="I5">
            <v>284.95999999999998</v>
          </cell>
          <cell r="J5">
            <v>341.3</v>
          </cell>
          <cell r="K5">
            <v>342</v>
          </cell>
          <cell r="L5">
            <v>344.7</v>
          </cell>
          <cell r="M5">
            <v>405.6</v>
          </cell>
          <cell r="N5">
            <v>341.65</v>
          </cell>
          <cell r="O5">
            <v>375.15</v>
          </cell>
          <cell r="P5">
            <v>358.4</v>
          </cell>
          <cell r="Q5">
            <v>584.745</v>
          </cell>
          <cell r="R5">
            <v>603.35400000000004</v>
          </cell>
          <cell r="S5">
            <v>734.03700000000003</v>
          </cell>
          <cell r="T5">
            <v>818.91899999999998</v>
          </cell>
          <cell r="U5">
            <v>594.04950000000008</v>
          </cell>
          <cell r="V5">
            <v>776.47800000000007</v>
          </cell>
          <cell r="W5">
            <v>685.26375000000007</v>
          </cell>
          <cell r="X5">
            <v>931.29700000000003</v>
          </cell>
          <cell r="Y5">
            <v>656.774</v>
          </cell>
          <cell r="Z5">
            <v>472.952</v>
          </cell>
          <cell r="AA5">
            <v>356.75700000000001</v>
          </cell>
          <cell r="AB5">
            <v>794.03549999999996</v>
          </cell>
          <cell r="AC5">
            <v>414.85450000000003</v>
          </cell>
          <cell r="AD5">
            <v>604.44500000000005</v>
          </cell>
          <cell r="AE5">
            <v>388.35500000000002</v>
          </cell>
          <cell r="AF5">
            <v>354.49799999999999</v>
          </cell>
          <cell r="AG5">
            <v>325.81200000000001</v>
          </cell>
          <cell r="AH5">
            <v>284.42099999999999</v>
          </cell>
          <cell r="AI5">
            <v>371.42650000000003</v>
          </cell>
          <cell r="AJ5">
            <v>305.11649999999997</v>
          </cell>
          <cell r="AK5">
            <v>338.2715</v>
          </cell>
          <cell r="AL5">
            <v>245.40066666666667</v>
          </cell>
          <cell r="AM5">
            <v>171.38800000000001</v>
          </cell>
          <cell r="AN5">
            <v>192.68133333333333</v>
          </cell>
          <cell r="AO5">
            <v>202.57366666666667</v>
          </cell>
          <cell r="AP5">
            <v>208.39433333333335</v>
          </cell>
          <cell r="AQ5">
            <v>197.6275</v>
          </cell>
          <cell r="AR5">
            <v>203.01091666666667</v>
          </cell>
          <cell r="AS5">
            <v>244.98466666666664</v>
          </cell>
          <cell r="AT5">
            <v>257</v>
          </cell>
          <cell r="AU5">
            <v>216</v>
          </cell>
          <cell r="AV5">
            <v>208.18</v>
          </cell>
          <cell r="AW5">
            <v>250.99233333333331</v>
          </cell>
          <cell r="AX5">
            <v>212.09</v>
          </cell>
          <cell r="AY5">
            <v>231.54116666666664</v>
          </cell>
          <cell r="AZ5">
            <v>189.7</v>
          </cell>
          <cell r="BA5">
            <v>191.65</v>
          </cell>
          <cell r="BB5">
            <v>187.5</v>
          </cell>
          <cell r="BC5">
            <v>245</v>
          </cell>
          <cell r="BD5">
            <v>190.67500000000001</v>
          </cell>
          <cell r="BE5">
            <v>216.25</v>
          </cell>
          <cell r="BF5">
            <v>203.46250000000001</v>
          </cell>
          <cell r="BG5">
            <v>265</v>
          </cell>
          <cell r="BH5">
            <v>270</v>
          </cell>
          <cell r="BI5">
            <v>280</v>
          </cell>
          <cell r="BJ5">
            <v>290</v>
          </cell>
          <cell r="BK5">
            <v>275</v>
          </cell>
          <cell r="BL5">
            <v>275</v>
          </cell>
          <cell r="BM5">
            <v>276.25</v>
          </cell>
          <cell r="BN5">
            <v>325</v>
          </cell>
          <cell r="BO5">
            <v>325</v>
          </cell>
          <cell r="BP5">
            <v>325</v>
          </cell>
          <cell r="BQ5">
            <v>325</v>
          </cell>
          <cell r="BT5">
            <v>325</v>
          </cell>
          <cell r="BU5">
            <v>350</v>
          </cell>
          <cell r="BV5">
            <v>350</v>
          </cell>
          <cell r="BW5">
            <v>350</v>
          </cell>
          <cell r="BX5">
            <v>350</v>
          </cell>
          <cell r="CA5">
            <v>350</v>
          </cell>
          <cell r="CB5">
            <v>375</v>
          </cell>
          <cell r="CC5">
            <v>375</v>
          </cell>
          <cell r="CD5">
            <v>375</v>
          </cell>
          <cell r="CE5">
            <v>375</v>
          </cell>
          <cell r="CH5">
            <v>375</v>
          </cell>
          <cell r="CO5">
            <v>375</v>
          </cell>
        </row>
        <row r="6">
          <cell r="AF6">
            <v>839.75</v>
          </cell>
          <cell r="AG6">
            <v>717.58333333333337</v>
          </cell>
          <cell r="AH6">
            <v>636</v>
          </cell>
        </row>
        <row r="8">
          <cell r="AF8">
            <v>4.2500000000000003E-2</v>
          </cell>
          <cell r="AG8">
            <v>4.2500000000000003E-2</v>
          </cell>
          <cell r="AH8">
            <v>4.4999999999999998E-2</v>
          </cell>
        </row>
        <row r="9">
          <cell r="AF9">
            <v>4.0399999999999998E-2</v>
          </cell>
          <cell r="AG9">
            <v>4.4999999999999998E-2</v>
          </cell>
          <cell r="AH9">
            <v>4.4999999999999998E-2</v>
          </cell>
        </row>
        <row r="10">
          <cell r="AF10">
            <v>4.2500000000000003E-2</v>
          </cell>
          <cell r="AG10">
            <v>4.2500000000000003E-2</v>
          </cell>
          <cell r="AH10">
            <v>4.4999999999999998E-2</v>
          </cell>
        </row>
        <row r="11">
          <cell r="AF11">
            <v>0</v>
          </cell>
          <cell r="AG11">
            <v>0</v>
          </cell>
          <cell r="AH11">
            <v>0</v>
          </cell>
        </row>
        <row r="12">
          <cell r="AF12">
            <v>4.7500000000000001E-2</v>
          </cell>
          <cell r="AG12">
            <v>4.7500000000000001E-2</v>
          </cell>
          <cell r="AH12">
            <v>4.4200000000000003E-2</v>
          </cell>
        </row>
        <row r="14">
          <cell r="AF14">
            <v>0.55166785243741756</v>
          </cell>
          <cell r="AG14">
            <v>0.54763061986322858</v>
          </cell>
          <cell r="AH14">
            <v>0.55789999999999995</v>
          </cell>
        </row>
        <row r="15">
          <cell r="AF15">
            <v>0.64350220886134546</v>
          </cell>
          <cell r="AG15">
            <v>0.63975548304983232</v>
          </cell>
          <cell r="AH15">
            <v>0.63715900928132108</v>
          </cell>
        </row>
        <row r="16">
          <cell r="AF16">
            <v>10.4593453125</v>
          </cell>
          <cell r="AG16">
            <v>10.41699393939394</v>
          </cell>
          <cell r="AH16">
            <v>9.6462338461538479</v>
          </cell>
        </row>
        <row r="17">
          <cell r="AF17">
            <v>1.462821620341421</v>
          </cell>
          <cell r="AG17">
            <v>1.5477664094359744</v>
          </cell>
          <cell r="AH17">
            <v>1.6113023522662075</v>
          </cell>
        </row>
        <row r="19">
          <cell r="AF19">
            <v>9</v>
          </cell>
          <cell r="AG19">
            <v>9</v>
          </cell>
          <cell r="AH19">
            <v>9</v>
          </cell>
        </row>
        <row r="20">
          <cell r="AF20">
            <v>126.70050392665762</v>
          </cell>
          <cell r="AG20">
            <v>119.28225433601253</v>
          </cell>
          <cell r="AH20">
            <v>122.48027331684935</v>
          </cell>
        </row>
        <row r="22">
          <cell r="AF22">
            <v>0.61495878507366208</v>
          </cell>
          <cell r="AG22">
            <v>0.59399999999999997</v>
          </cell>
          <cell r="AH22">
            <v>0.61353586540761496</v>
          </cell>
        </row>
        <row r="23">
          <cell r="AF23">
            <v>0.73065102921649761</v>
          </cell>
          <cell r="AG23">
            <v>0.68745072851491107</v>
          </cell>
          <cell r="AH23">
            <v>0.7047443960914842</v>
          </cell>
        </row>
        <row r="24">
          <cell r="AF24">
            <v>0.20610698795530483</v>
          </cell>
          <cell r="AG24">
            <v>0.19500000000000001</v>
          </cell>
          <cell r="AH24">
            <v>0.19698116048919045</v>
          </cell>
        </row>
        <row r="25">
          <cell r="AF25">
            <v>3.1508689471483096</v>
          </cell>
          <cell r="AG25">
            <v>3.1</v>
          </cell>
          <cell r="AH25">
            <v>3.3311143588333967</v>
          </cell>
        </row>
        <row r="26">
          <cell r="AF26">
            <v>9.9</v>
          </cell>
          <cell r="AG26">
            <v>9.83</v>
          </cell>
          <cell r="AH26">
            <v>9.93</v>
          </cell>
        </row>
        <row r="27">
          <cell r="AF27">
            <v>0.35435825279798533</v>
          </cell>
          <cell r="AG27">
            <v>0.34738608251210418</v>
          </cell>
          <cell r="AH27">
            <v>0.35025868380157688</v>
          </cell>
        </row>
        <row r="29">
          <cell r="AF29">
            <v>149.13254804240066</v>
          </cell>
          <cell r="AG29">
            <v>144.04987079999998</v>
          </cell>
          <cell r="AH29">
            <v>148.78747835544294</v>
          </cell>
        </row>
        <row r="30">
          <cell r="AF30">
            <v>150</v>
          </cell>
          <cell r="AG30">
            <v>142</v>
          </cell>
          <cell r="AH30">
            <v>147</v>
          </cell>
        </row>
        <row r="31">
          <cell r="AF31">
            <v>48.35</v>
          </cell>
          <cell r="AG31">
            <v>48.35</v>
          </cell>
          <cell r="AH31">
            <v>48.35</v>
          </cell>
        </row>
        <row r="32">
          <cell r="AF32">
            <v>33.75</v>
          </cell>
          <cell r="AG32">
            <v>33.75</v>
          </cell>
          <cell r="AH32">
            <v>33.75</v>
          </cell>
        </row>
        <row r="33">
          <cell r="AF33">
            <v>31.85</v>
          </cell>
          <cell r="AG33">
            <v>31.85</v>
          </cell>
          <cell r="AH33">
            <v>31.85</v>
          </cell>
        </row>
        <row r="34">
          <cell r="AF34">
            <v>7.593</v>
          </cell>
          <cell r="AG34">
            <v>6.6516666666666664</v>
          </cell>
          <cell r="AH34">
            <v>6.45</v>
          </cell>
        </row>
        <row r="35">
          <cell r="AF35">
            <v>89</v>
          </cell>
          <cell r="AG35">
            <v>89</v>
          </cell>
          <cell r="AH35">
            <v>89</v>
          </cell>
        </row>
        <row r="36">
          <cell r="AF36">
            <v>28.28</v>
          </cell>
          <cell r="AG36">
            <v>28.28</v>
          </cell>
          <cell r="AH36">
            <v>28.28</v>
          </cell>
        </row>
        <row r="37">
          <cell r="AF37">
            <v>36.130000000000003</v>
          </cell>
          <cell r="AG37">
            <v>36.130000000000003</v>
          </cell>
          <cell r="AH37">
            <v>36.130000000000003</v>
          </cell>
        </row>
        <row r="38">
          <cell r="AF38">
            <v>1.23875</v>
          </cell>
          <cell r="AG38">
            <v>1.1916666666666667</v>
          </cell>
          <cell r="AH38">
            <v>1.1825000000000001</v>
          </cell>
        </row>
        <row r="39">
          <cell r="AF39">
            <v>4.0883333333333338</v>
          </cell>
          <cell r="AG39">
            <v>4.4569999999999999</v>
          </cell>
          <cell r="AH39">
            <v>3.1270000000000002</v>
          </cell>
        </row>
        <row r="40">
          <cell r="AF40">
            <v>478</v>
          </cell>
          <cell r="AG40">
            <v>482</v>
          </cell>
          <cell r="AH40">
            <v>482</v>
          </cell>
        </row>
        <row r="41">
          <cell r="AF41">
            <v>335</v>
          </cell>
          <cell r="AG41">
            <v>335</v>
          </cell>
          <cell r="AH41">
            <v>335</v>
          </cell>
        </row>
        <row r="42">
          <cell r="AF42">
            <v>1.8825845579574791</v>
          </cell>
          <cell r="AG42">
            <v>1.8315322687215012</v>
          </cell>
          <cell r="AH42">
            <v>1.9201636380295579</v>
          </cell>
        </row>
        <row r="43">
          <cell r="AF43">
            <v>1775</v>
          </cell>
          <cell r="AG43">
            <v>1775</v>
          </cell>
          <cell r="AH43">
            <v>1775</v>
          </cell>
        </row>
        <row r="44">
          <cell r="AF44">
            <v>322</v>
          </cell>
          <cell r="AG44">
            <v>326</v>
          </cell>
          <cell r="AH44">
            <v>326</v>
          </cell>
        </row>
        <row r="46">
          <cell r="AF46">
            <v>160</v>
          </cell>
          <cell r="AG46">
            <v>160</v>
          </cell>
          <cell r="AH46">
            <v>160</v>
          </cell>
        </row>
        <row r="47">
          <cell r="AF47">
            <v>143</v>
          </cell>
          <cell r="AG47">
            <v>143</v>
          </cell>
          <cell r="AH47">
            <v>143</v>
          </cell>
        </row>
        <row r="48">
          <cell r="AF48">
            <v>116</v>
          </cell>
          <cell r="AG48">
            <v>116</v>
          </cell>
          <cell r="AH48">
            <v>116</v>
          </cell>
        </row>
        <row r="49">
          <cell r="AF49">
            <v>121</v>
          </cell>
          <cell r="AG49">
            <v>121</v>
          </cell>
          <cell r="AH49">
            <v>121</v>
          </cell>
        </row>
        <row r="50">
          <cell r="AF50">
            <v>0.28000000000000003</v>
          </cell>
          <cell r="AG50">
            <v>0.28000000000000003</v>
          </cell>
          <cell r="AH50">
            <v>0.28000000000000003</v>
          </cell>
        </row>
        <row r="51">
          <cell r="AF51">
            <v>3.85</v>
          </cell>
          <cell r="AG51">
            <v>3.85</v>
          </cell>
          <cell r="AH51">
            <v>3.85</v>
          </cell>
        </row>
        <row r="52">
          <cell r="AF52">
            <v>0.45</v>
          </cell>
          <cell r="AG52">
            <v>0.45</v>
          </cell>
          <cell r="AH52">
            <v>0.45</v>
          </cell>
        </row>
        <row r="53">
          <cell r="AF53">
            <v>26.29</v>
          </cell>
          <cell r="AG53">
            <v>28.25</v>
          </cell>
          <cell r="AH53">
            <v>28.27</v>
          </cell>
        </row>
        <row r="54">
          <cell r="AF54">
            <v>0.3</v>
          </cell>
          <cell r="AG54">
            <v>0.3</v>
          </cell>
          <cell r="AH54">
            <v>0.3</v>
          </cell>
        </row>
        <row r="55">
          <cell r="AF55">
            <v>0.65</v>
          </cell>
          <cell r="AG55">
            <v>0.65</v>
          </cell>
          <cell r="AH55">
            <v>0.65</v>
          </cell>
        </row>
        <row r="56">
          <cell r="AF56">
            <v>0.42</v>
          </cell>
          <cell r="AG56">
            <v>0.42</v>
          </cell>
          <cell r="AH56">
            <v>0.42</v>
          </cell>
        </row>
        <row r="57">
          <cell r="AF57">
            <v>3.39</v>
          </cell>
          <cell r="AG57">
            <v>3.2</v>
          </cell>
          <cell r="AH57">
            <v>4.32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Full model"/>
      <sheetName val="Output"/>
      <sheetName val="CF for NPV"/>
      <sheetName val="NPV Summary"/>
      <sheetName val="ResRes"/>
      <sheetName val="Options"/>
      <sheetName val="Uranium Pricing"/>
      <sheetName val="FinPub"/>
      <sheetName val="EPS Model"/>
      <sheetName val="Valuation"/>
      <sheetName val="Flex Model"/>
      <sheetName val="OLD ResREs"/>
      <sheetName val="RBCCM_Key_Information"/>
      <sheetName val="RBCCM_Valuation_Measures"/>
      <sheetName val="RBCCM_Quarterly_Estimates_Data"/>
      <sheetName val="RBCCM_Income_Statement"/>
      <sheetName val="RBCCM_Cash_Flow"/>
      <sheetName val="RBCCM_Balance_Sheet"/>
      <sheetName val="RBCCM_Industry_Specif"/>
    </sheetNames>
    <sheetDataSet>
      <sheetData sheetId="0" refreshError="1">
        <row r="4">
          <cell r="D4">
            <v>2204.62</v>
          </cell>
        </row>
      </sheetData>
      <sheetData sheetId="1"/>
      <sheetData sheetId="2" refreshError="1">
        <row r="13">
          <cell r="Q13">
            <v>2.15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P_S DATA"/>
      <sheetName val="CHARTS"/>
      <sheetName val="EARNINGS SUMMARY"/>
      <sheetName val="GUIDANCE_ESTIMATES"/>
      <sheetName val="LINKS"/>
      <sheetName val="MODEL"/>
      <sheetName val="Q&amp;A"/>
      <sheetName val="SENSITIVITY ANALYSIS"/>
      <sheetName val="RBC SNWL Model"/>
    </sheetNames>
    <sheetDataSet>
      <sheetData sheetId="0" refreshError="1"/>
      <sheetData sheetId="1" refreshError="1"/>
      <sheetData sheetId="2" refreshError="1"/>
      <sheetData sheetId="3" refreshError="1"/>
      <sheetData sheetId="4" refreshError="1"/>
      <sheetData sheetId="5" refreshError="1"/>
      <sheetData sheetId="6" refreshError="1">
        <row r="3">
          <cell r="A3" t="str">
            <v>$ in Millions</v>
          </cell>
          <cell r="B3" t="str">
            <v>1Q</v>
          </cell>
          <cell r="C3" t="str">
            <v>2Q</v>
          </cell>
          <cell r="D3" t="str">
            <v>3Q</v>
          </cell>
          <cell r="E3" t="str">
            <v>4Q</v>
          </cell>
          <cell r="F3" t="str">
            <v>1Q</v>
          </cell>
          <cell r="G3" t="str">
            <v>2Q</v>
          </cell>
          <cell r="H3" t="str">
            <v>3Q</v>
          </cell>
          <cell r="I3" t="str">
            <v>4Q</v>
          </cell>
          <cell r="J3" t="str">
            <v>1Q</v>
          </cell>
          <cell r="K3" t="str">
            <v>2Q</v>
          </cell>
          <cell r="L3" t="str">
            <v>3Q</v>
          </cell>
          <cell r="M3" t="str">
            <v>4Q</v>
          </cell>
          <cell r="N3" t="str">
            <v>1Q</v>
          </cell>
          <cell r="O3" t="str">
            <v>2Q</v>
          </cell>
          <cell r="P3" t="str">
            <v>3Q</v>
          </cell>
          <cell r="Q3" t="str">
            <v>4Q</v>
          </cell>
          <cell r="R3" t="str">
            <v>1Q</v>
          </cell>
          <cell r="S3" t="str">
            <v>2Q</v>
          </cell>
          <cell r="T3" t="str">
            <v>3Q</v>
          </cell>
          <cell r="U3" t="str">
            <v>4Q</v>
          </cell>
          <cell r="V3" t="str">
            <v>1Q</v>
          </cell>
          <cell r="W3" t="str">
            <v>2Q</v>
          </cell>
          <cell r="X3" t="str">
            <v>3QE</v>
          </cell>
          <cell r="Y3" t="str">
            <v>4QE</v>
          </cell>
          <cell r="Z3" t="str">
            <v>1QE</v>
          </cell>
          <cell r="AA3" t="str">
            <v>2QE</v>
          </cell>
          <cell r="AB3" t="str">
            <v>3QE</v>
          </cell>
          <cell r="AC3" t="str">
            <v>4QE</v>
          </cell>
        </row>
        <row r="44">
          <cell r="A44" t="str">
            <v>Street Revenue Estimates</v>
          </cell>
          <cell r="D44">
            <v>0</v>
          </cell>
          <cell r="E44">
            <v>0</v>
          </cell>
          <cell r="F44">
            <v>0</v>
          </cell>
          <cell r="G44">
            <v>0</v>
          </cell>
          <cell r="H44">
            <v>0</v>
          </cell>
          <cell r="I44">
            <v>0</v>
          </cell>
          <cell r="J44">
            <v>0</v>
          </cell>
          <cell r="K44">
            <v>27.97</v>
          </cell>
          <cell r="L44">
            <v>24.53</v>
          </cell>
          <cell r="M44">
            <v>23.57</v>
          </cell>
          <cell r="N44">
            <v>22.78</v>
          </cell>
          <cell r="O44">
            <v>20.53</v>
          </cell>
          <cell r="P44">
            <v>21.19</v>
          </cell>
          <cell r="Q44">
            <v>24.900000000000002</v>
          </cell>
          <cell r="R44">
            <v>29.05</v>
          </cell>
          <cell r="S44">
            <v>32.770000000000003</v>
          </cell>
          <cell r="T44">
            <v>30.64</v>
          </cell>
          <cell r="U44">
            <v>32.43</v>
          </cell>
          <cell r="V44">
            <v>31.95</v>
          </cell>
          <cell r="W44">
            <v>33.85</v>
          </cell>
          <cell r="X44">
            <v>35.119999999999997</v>
          </cell>
          <cell r="Y44">
            <v>37.56</v>
          </cell>
          <cell r="Z44">
            <v>37.380000000000003</v>
          </cell>
          <cell r="AA44">
            <v>38.869999999999997</v>
          </cell>
          <cell r="AB44">
            <v>40</v>
          </cell>
          <cell r="AC44">
            <v>41.96</v>
          </cell>
          <cell r="AG44">
            <v>89.4</v>
          </cell>
          <cell r="AH44">
            <v>124.89000000000001</v>
          </cell>
          <cell r="AI44">
            <v>138.47999999999999</v>
          </cell>
          <cell r="AJ44">
            <v>158.21</v>
          </cell>
        </row>
        <row r="45">
          <cell r="A45" t="str">
            <v>Street EPS Estimates</v>
          </cell>
          <cell r="D45">
            <v>8.6666670000000001E-2</v>
          </cell>
          <cell r="E45">
            <v>0.06</v>
          </cell>
          <cell r="F45">
            <v>7.375000000000001E-2</v>
          </cell>
          <cell r="G45">
            <v>8.0833340000000004E-2</v>
          </cell>
          <cell r="H45">
            <v>8.4545460000000003E-2</v>
          </cell>
          <cell r="I45">
            <v>8.1666680000000005E-2</v>
          </cell>
          <cell r="J45">
            <v>3.5217399999999996E-2</v>
          </cell>
          <cell r="K45">
            <v>3.3076920000000003E-2</v>
          </cell>
          <cell r="L45">
            <v>1.2173913000000001E-2</v>
          </cell>
          <cell r="M45">
            <v>0</v>
          </cell>
          <cell r="N45">
            <v>-2.7272730000000001E-3</v>
          </cell>
          <cell r="O45">
            <v>-2.0909090000000002E-2</v>
          </cell>
          <cell r="P45">
            <v>-4.4444450000000003E-2</v>
          </cell>
          <cell r="Q45">
            <v>-0.01</v>
          </cell>
          <cell r="R45">
            <v>2.076923E-2</v>
          </cell>
          <cell r="S45">
            <v>2.818182E-2</v>
          </cell>
          <cell r="T45">
            <v>0.01</v>
          </cell>
          <cell r="U45">
            <v>1.722222E-2</v>
          </cell>
          <cell r="V45">
            <v>1.1333335E-2</v>
          </cell>
          <cell r="W45">
            <v>0.04</v>
          </cell>
          <cell r="X45">
            <v>0.04</v>
          </cell>
          <cell r="Y45">
            <v>0.05</v>
          </cell>
          <cell r="Z45">
            <v>0.05</v>
          </cell>
          <cell r="AA45">
            <v>0.05</v>
          </cell>
          <cell r="AB45">
            <v>0.06</v>
          </cell>
          <cell r="AC45">
            <v>7.0000000000000007E-2</v>
          </cell>
          <cell r="AE45">
            <v>0.32079548000000002</v>
          </cell>
          <cell r="AF45">
            <v>8.0468233E-2</v>
          </cell>
          <cell r="AG45">
            <v>-7.8080812999999999E-2</v>
          </cell>
          <cell r="AH45">
            <v>7.6173270000000001E-2</v>
          </cell>
          <cell r="AI45">
            <v>0.141333335</v>
          </cell>
          <cell r="AJ45">
            <v>0.23</v>
          </cell>
        </row>
      </sheetData>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QPL"/>
      <sheetName val="FAME Persistence"/>
      <sheetName val="Balance"/>
      <sheetName val="Platform Rev"/>
      <sheetName val="Geography"/>
    </sheetNames>
    <sheetDataSet>
      <sheetData sheetId="0"/>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LANDesk impact"/>
      <sheetName val="BS"/>
      <sheetName val="CF"/>
      <sheetName val="Ratio Metrics"/>
      <sheetName val="Support&gt;"/>
      <sheetName val="Ops Analysis"/>
      <sheetName val="Fund Owernship"/>
      <sheetName val="Ratios - Q"/>
      <sheetName val="DCF tabs&gt;"/>
      <sheetName val="inputs"/>
      <sheetName val="WACC"/>
      <sheetName val="capex &amp; depr"/>
      <sheetName val="MACRS Table"/>
      <sheetName val="IS inputs"/>
      <sheetName val="DFWC inputs"/>
      <sheetName val="ESOs"/>
      <sheetName val="DCF"/>
      <sheetName val="DCF - Forward Look"/>
      <sheetName val="DCF (with ESOs)"/>
      <sheetName val="DCF - Forward Look (with ESOs)"/>
    </sheetNames>
    <sheetDataSet>
      <sheetData sheetId="0"/>
      <sheetData sheetId="1"/>
      <sheetData sheetId="2"/>
      <sheetData sheetId="3"/>
      <sheetData sheetId="4"/>
      <sheetData sheetId="5"/>
      <sheetData sheetId="6"/>
      <sheetData sheetId="7"/>
      <sheetData sheetId="8"/>
      <sheetData sheetId="9"/>
      <sheetData sheetId="10" refreshError="1">
        <row r="4">
          <cell r="C4">
            <v>2.0000000000000004E-2</v>
          </cell>
        </row>
      </sheetData>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MULTIPLES"/>
      <sheetName val="SENSITIVITY"/>
      <sheetName val="CHARTS"/>
      <sheetName val="GUIDANCE_ESTIMATES"/>
      <sheetName val="LINKS"/>
      <sheetName val="Q&amp;A"/>
      <sheetName val="SENSITIVITY ANALYSIS"/>
      <sheetName val="DCF-old"/>
      <sheetName val="Restructuring"/>
      <sheetName val="RBC VIGN Model"/>
      <sheetName val="Comp Sheet"/>
      <sheetName val="Comp 2"/>
      <sheetName val="Comp 4"/>
      <sheetName val="Comp 5"/>
      <sheetName val="FX summary"/>
      <sheetName val="Qtr Preview"/>
      <sheetName val="FX"/>
      <sheetName val="Security Group Picture"/>
      <sheetName val="Infrastructure Group Picture"/>
      <sheetName val="Content Group Picture"/>
      <sheetName val="P-S-Gwth"/>
      <sheetName val="ECM Market"/>
      <sheetName val="Pricing-Broadband-ISPs"/>
      <sheetName val="AV Market"/>
      <sheetName val="URL Filtering"/>
    </sheetNames>
    <sheetDataSet>
      <sheetData sheetId="0"/>
      <sheetData sheetId="1" refreshError="1">
        <row r="315">
          <cell r="A315" t="str">
            <v>Stockholders' Equity:</v>
          </cell>
          <cell r="N315">
            <v>975.01400000000001</v>
          </cell>
          <cell r="O315">
            <v>947.38800000000003</v>
          </cell>
          <cell r="P315">
            <v>2139.2269999999999</v>
          </cell>
          <cell r="Q315">
            <v>2024.5130000000001</v>
          </cell>
          <cell r="R315">
            <v>1795.713</v>
          </cell>
          <cell r="S315">
            <v>1619.549</v>
          </cell>
          <cell r="T315">
            <v>1473.712</v>
          </cell>
          <cell r="U315">
            <v>510.30099999999999</v>
          </cell>
          <cell r="V315">
            <v>474.36099999999999</v>
          </cell>
          <cell r="W315">
            <v>457.50700000000001</v>
          </cell>
          <cell r="X315">
            <v>425.952</v>
          </cell>
          <cell r="Y315">
            <v>265.85199999999998</v>
          </cell>
          <cell r="Z315">
            <v>259.81799999999998</v>
          </cell>
          <cell r="AA315">
            <v>260.41300000000001</v>
          </cell>
          <cell r="AB315">
            <v>259.827</v>
          </cell>
          <cell r="AC315">
            <v>281.346</v>
          </cell>
          <cell r="AD315">
            <v>332.20600000000002</v>
          </cell>
          <cell r="AE315">
            <v>326.71600000000001</v>
          </cell>
          <cell r="AF315">
            <v>320.05900000000003</v>
          </cell>
          <cell r="AG315">
            <v>306.81799999999998</v>
          </cell>
          <cell r="AH315">
            <v>310.68299999999999</v>
          </cell>
          <cell r="AI315">
            <v>324.012</v>
          </cell>
          <cell r="AJ315">
            <v>326.97899999999998</v>
          </cell>
          <cell r="AK315">
            <v>330.10899999999998</v>
          </cell>
          <cell r="AL315">
            <v>333.178</v>
          </cell>
          <cell r="AM315">
            <v>335.83</v>
          </cell>
          <cell r="AN315">
            <v>341.90999999999997</v>
          </cell>
          <cell r="AO315">
            <v>346.08421496447062</v>
          </cell>
          <cell r="AP315">
            <v>350.65471387467011</v>
          </cell>
          <cell r="AQ315">
            <v>355.90399360232925</v>
          </cell>
          <cell r="AR315">
            <v>362.0851429027739</v>
          </cell>
          <cell r="AS315">
            <v>366.32018101728102</v>
          </cell>
          <cell r="BB315">
            <v>281.346</v>
          </cell>
          <cell r="BC315">
            <v>306.81799999999998</v>
          </cell>
          <cell r="BD315">
            <v>330.10899999999998</v>
          </cell>
          <cell r="BE315">
            <v>346.08421496447062</v>
          </cell>
          <cell r="BF315">
            <v>366.32018101728102</v>
          </cell>
        </row>
      </sheetData>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nePager"/>
      <sheetName val="Assumptions"/>
      <sheetName val="NAV"/>
      <sheetName val="Shares"/>
      <sheetName val="Statements"/>
      <sheetName val="PRODsum"/>
      <sheetName val="Seabee"/>
      <sheetName val="Santoy"/>
      <sheetName val="Madsen"/>
      <sheetName val="Amisk"/>
      <sheetName val="Calcs"/>
      <sheetName val="xAMCcomps"/>
      <sheetName val="xProduction"/>
      <sheetName val="xProd"/>
      <sheetName val="xResources"/>
      <sheetName val="xReserves"/>
      <sheetName val="xReserveReplacement"/>
      <sheetName val="xDiscount"/>
      <sheetName val="xBlueMatrix"/>
      <sheetName val="RBCCM_Key_Information"/>
      <sheetName val="RBCCM_Valuation_Measures"/>
      <sheetName val="RBCCM_Quarterly_Estimates_Data"/>
      <sheetName val="RBCCM_Income_Statement"/>
      <sheetName val="RBCCM_Cash_Flow"/>
      <sheetName val="RBCCM_Balance_Sheet"/>
      <sheetName val="RBCCM_Industry_Specif"/>
      <sheetName val="xComps"/>
    </sheetNames>
    <sheetDataSet>
      <sheetData sheetId="0"/>
      <sheetData sheetId="1"/>
      <sheetData sheetId="2" refreshError="1">
        <row r="21">
          <cell r="C21">
            <v>1</v>
          </cell>
          <cell r="D21">
            <v>3.2003668702069197</v>
          </cell>
          <cell r="E21">
            <v>0.21610735841173695</v>
          </cell>
          <cell r="F21">
            <v>0.34334902222356734</v>
          </cell>
          <cell r="G21">
            <v>3.4742855985870298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Pointsec"/>
      <sheetName val="Earnings Summary"/>
      <sheetName val="SENSITIVITY"/>
      <sheetName val="MULTIPLES"/>
      <sheetName val="CHARTS"/>
      <sheetName val="LINKS"/>
      <sheetName val="Q&amp;A MGMT"/>
      <sheetName val="UPCOMING EVENTS"/>
      <sheetName val="2005 Analyst Day"/>
      <sheetName val="Diagrams"/>
      <sheetName val="Rev Doodle"/>
      <sheetName val="Def Rev 1"/>
      <sheetName val="Def Rev 2"/>
      <sheetName val="VALUATION CHARTS"/>
      <sheetName val="GUIDANCE_ESTIMATES"/>
      <sheetName val="trough valuation"/>
      <sheetName val="Ownership"/>
      <sheetName val="Pricing"/>
      <sheetName val="SENSITIVITY ANALYSIS"/>
      <sheetName val="NA Tech Conference"/>
      <sheetName val="DCF"/>
      <sheetName val="First Call Consensus Summary"/>
      <sheetName val="Mgmt Conversations"/>
      <sheetName val="RBC CHKP model"/>
      <sheetName val="Earnings Summary Q2_05"/>
      <sheetName val="Earnings Summary Q1_05"/>
      <sheetName val="Comp Sheet"/>
      <sheetName val="Comp 2"/>
      <sheetName val="Comp 4"/>
      <sheetName val="Comp 5"/>
      <sheetName val="FX summary"/>
      <sheetName val="Qtr Preview"/>
      <sheetName val="FX"/>
      <sheetName val="Security Group Picture"/>
      <sheetName val="Infrastructure Group Picture"/>
      <sheetName val="Content Group Picture"/>
      <sheetName val="P-S-Gwth"/>
      <sheetName val="ECM Market"/>
      <sheetName val="Pricing-Broadband-ISPs"/>
      <sheetName val="AV Market"/>
      <sheetName val="URL Filtering"/>
      <sheetName val="#REF"/>
      <sheetName val="Sheet1"/>
      <sheetName val="MULTIPLES - CHARTS"/>
      <sheetName val="guidance range"/>
      <sheetName val="job postings"/>
      <sheetName val="RBCCM_Key_Information"/>
      <sheetName val="RBCCM_Valuation_Measures"/>
      <sheetName val="RBCCM_Quarterly_Estimates_Data"/>
      <sheetName val="RBCCM_Income_Statement"/>
      <sheetName val="RBCCM_Cash_Flow"/>
      <sheetName val="RBCCM_Balance_Sheet"/>
      <sheetName val="RBCCM_Industry_Specif"/>
      <sheetName val="Upside_Downside"/>
      <sheetName val="BMTemplate"/>
    </sheetNames>
    <sheetDataSet>
      <sheetData sheetId="0"/>
      <sheetData sheetId="1" refreshError="1">
        <row r="91">
          <cell r="A91" t="str">
            <v>Total Deferred Revenue</v>
          </cell>
          <cell r="F91">
            <v>2.2994522215459527</v>
          </cell>
          <cell r="G91">
            <v>3.9535467671060891</v>
          </cell>
          <cell r="H91">
            <v>2.4138950480413897</v>
          </cell>
          <cell r="I91">
            <v>1.1009389671361502</v>
          </cell>
          <cell r="J91">
            <v>1.5899814471243039</v>
          </cell>
          <cell r="K91">
            <v>6.9171842650103512</v>
          </cell>
          <cell r="L91">
            <v>3.5483234714003942</v>
          </cell>
          <cell r="M91">
            <v>4.6670391061452507</v>
          </cell>
          <cell r="N91">
            <v>1.5189828080229228</v>
          </cell>
          <cell r="O91">
            <v>1.1621338912133894</v>
          </cell>
          <cell r="P91">
            <v>1</v>
          </cell>
          <cell r="Q91">
            <v>1.3261041009463723</v>
          </cell>
          <cell r="R91">
            <v>1.2771221384899756</v>
          </cell>
          <cell r="S91">
            <v>1.5919206579583935</v>
          </cell>
          <cell r="T91">
            <v>3.4210754553339116</v>
          </cell>
          <cell r="U91">
            <v>3.7378369215121205</v>
          </cell>
          <cell r="V91">
            <v>3.5220730565095226</v>
          </cell>
          <cell r="W91">
            <v>3.3472235184321044</v>
          </cell>
          <cell r="X91">
            <v>1.584134379597842</v>
          </cell>
          <cell r="Y91">
            <v>1.1683095693865504</v>
          </cell>
          <cell r="Z91">
            <v>0.70358045318346873</v>
          </cell>
          <cell r="AA91">
            <v>0.17696246283315983</v>
          </cell>
          <cell r="AB91">
            <v>-4.8063692696026776E-2</v>
          </cell>
          <cell r="AC91">
            <v>-0.21038431709047703</v>
          </cell>
          <cell r="AD91">
            <v>-0.23202431610942253</v>
          </cell>
          <cell r="AE91">
            <v>-0.13701241256030725</v>
          </cell>
          <cell r="AF91">
            <v>-5.6820447386259444E-2</v>
          </cell>
          <cell r="AG91">
            <v>3.6822252176002851E-2</v>
          </cell>
          <cell r="AH91">
            <v>7.3541673263042395E-2</v>
          </cell>
          <cell r="AI91">
            <v>9.1837166046668903E-2</v>
          </cell>
          <cell r="AJ91">
            <v>4.7782616048025715E-2</v>
          </cell>
          <cell r="AK91">
            <v>6.7138984349017827E-2</v>
          </cell>
          <cell r="AL91">
            <v>0.22271596684919923</v>
          </cell>
          <cell r="AM91">
            <v>0.25801924230985163</v>
          </cell>
          <cell r="AN91">
            <v>0.25865216821166664</v>
          </cell>
          <cell r="AO91">
            <v>0.3326596719205962</v>
          </cell>
          <cell r="AP91">
            <v>0.20738757427374543</v>
          </cell>
          <cell r="AQ91">
            <v>0.18644928484046444</v>
          </cell>
          <cell r="AR91">
            <v>0.15670906162094586</v>
          </cell>
          <cell r="AS91">
            <v>0.19759910427030616</v>
          </cell>
          <cell r="AT91">
            <v>0.19106443621640343</v>
          </cell>
          <cell r="AU91">
            <v>0.14486005551088163</v>
          </cell>
          <cell r="AV91">
            <v>0.20143002639728966</v>
          </cell>
          <cell r="AW91">
            <v>0.20799654433780287</v>
          </cell>
          <cell r="AX91">
            <v>0.33294009113527723</v>
          </cell>
          <cell r="AY91">
            <v>0.33808385539984825</v>
          </cell>
          <cell r="AZ91">
            <v>0.33503708060851417</v>
          </cell>
          <cell r="BA91">
            <v>0.27007162807557239</v>
          </cell>
          <cell r="BB91">
            <v>0.14196568600227374</v>
          </cell>
          <cell r="BC91">
            <v>0.1409552000000002</v>
          </cell>
          <cell r="BD91">
            <v>0.14095520000000022</v>
          </cell>
          <cell r="BE91">
            <v>0.11956114488019737</v>
          </cell>
          <cell r="BF91">
            <v>7.9234446409497603E-2</v>
          </cell>
          <cell r="BG91">
            <v>0.22861654148456387</v>
          </cell>
          <cell r="BH91">
            <v>0.24588479986417067</v>
          </cell>
          <cell r="BI91">
            <v>0.22982829664769647</v>
          </cell>
          <cell r="BJ91">
            <v>0.24962682934743799</v>
          </cell>
          <cell r="BK91">
            <v>0.11606787844362403</v>
          </cell>
          <cell r="BL91">
            <v>7.6594961808134354E-2</v>
          </cell>
          <cell r="BM91">
            <v>5.9789227012118369E-2</v>
          </cell>
          <cell r="BN91">
            <v>4.8733829373467534E-2</v>
          </cell>
          <cell r="BO91">
            <v>6.7138984349017827E-2</v>
          </cell>
          <cell r="BP91">
            <v>0.3326596719205962</v>
          </cell>
          <cell r="BQ91">
            <v>0.19759910427030616</v>
          </cell>
          <cell r="BR91">
            <v>0.20799654433780287</v>
          </cell>
          <cell r="BS91">
            <v>0.27007162807557239</v>
          </cell>
          <cell r="BT91">
            <v>0.11956114488019737</v>
          </cell>
          <cell r="BU91">
            <v>6.8322981366459881E-2</v>
          </cell>
          <cell r="BV91">
            <v>-0.19076155658276522</v>
          </cell>
          <cell r="BW91">
            <v>1.307527828585741E-2</v>
          </cell>
          <cell r="BX91">
            <v>0.19138548033622152</v>
          </cell>
          <cell r="BY91">
            <v>0.12416563179136915</v>
          </cell>
          <cell r="BZ91">
            <v>0.11573446544419148</v>
          </cell>
          <cell r="CA91">
            <v>7.7805823891294493E-2</v>
          </cell>
          <cell r="CB91">
            <v>0.14320096269554761</v>
          </cell>
          <cell r="CC91">
            <v>0.22105263157894736</v>
          </cell>
          <cell r="CD91">
            <v>0.11573446544419148</v>
          </cell>
          <cell r="CE91" t="e">
            <v>#DIV/0!</v>
          </cell>
          <cell r="CF91">
            <v>0.18371912703782534</v>
          </cell>
          <cell r="CG91">
            <v>0.24325045998256029</v>
          </cell>
          <cell r="CH91">
            <v>0.11810621975529038</v>
          </cell>
          <cell r="CI91">
            <v>0.26385737439222057</v>
          </cell>
          <cell r="CJ91">
            <v>0.11655647696940341</v>
          </cell>
          <cell r="CK91">
            <v>0.19697217832585026</v>
          </cell>
          <cell r="CL91">
            <v>0.11983638482970377</v>
          </cell>
          <cell r="CM91">
            <v>6.5114879017352231E-2</v>
          </cell>
          <cell r="CN91">
            <v>6.5118416689450259E-2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sheetName val="MarketData"/>
      <sheetName val="Definitions"/>
    </sheetNames>
    <sheetDataSet>
      <sheetData sheetId="0"/>
      <sheetData sheetId="1"/>
      <sheetData sheetId="2" refreshError="1">
        <row r="14">
          <cell r="A14" t="str">
            <v>Table 1-1</v>
          </cell>
          <cell r="B14" t="str">
            <v>(Top)</v>
          </cell>
          <cell r="C14" t="str">
            <v>(Front Page)</v>
          </cell>
        </row>
        <row r="15">
          <cell r="A15" t="str">
            <v>Top 10 Vendors Ranked by Unit Shipments</v>
          </cell>
        </row>
        <row r="16">
          <cell r="A16" t="str">
            <v>Vendor Name</v>
          </cell>
          <cell r="B16" t="str">
            <v>2Q01</v>
          </cell>
          <cell r="C16" t="str">
            <v>3Q01</v>
          </cell>
          <cell r="D16" t="str">
            <v>4Q01</v>
          </cell>
          <cell r="E16" t="str">
            <v>1Q02</v>
          </cell>
          <cell r="F16" t="str">
            <v>2Q02</v>
          </cell>
          <cell r="G16" t="str">
            <v>2Q02/2Q01</v>
          </cell>
        </row>
        <row r="17">
          <cell r="A17" t="str">
            <v>NEC</v>
          </cell>
          <cell r="B17">
            <v>651</v>
          </cell>
          <cell r="C17">
            <v>520.9</v>
          </cell>
          <cell r="D17">
            <v>575</v>
          </cell>
          <cell r="E17">
            <v>800</v>
          </cell>
          <cell r="F17">
            <v>695.36</v>
          </cell>
          <cell r="G17">
            <v>6.8141321044546954E-2</v>
          </cell>
        </row>
        <row r="18">
          <cell r="A18" t="str">
            <v>Fujitsu</v>
          </cell>
          <cell r="B18">
            <v>610</v>
          </cell>
          <cell r="C18">
            <v>554.79999999999995</v>
          </cell>
          <cell r="D18">
            <v>580</v>
          </cell>
          <cell r="E18">
            <v>751</v>
          </cell>
          <cell r="F18">
            <v>542</v>
          </cell>
          <cell r="G18">
            <v>-0.11147540983606552</v>
          </cell>
        </row>
        <row r="19">
          <cell r="A19" t="str">
            <v>Sony</v>
          </cell>
          <cell r="B19">
            <v>368.2</v>
          </cell>
          <cell r="C19">
            <v>223</v>
          </cell>
          <cell r="D19">
            <v>450</v>
          </cell>
          <cell r="E19">
            <v>462</v>
          </cell>
          <cell r="F19">
            <v>358</v>
          </cell>
          <cell r="G19">
            <v>-2.7702335687126545E-2</v>
          </cell>
        </row>
        <row r="20">
          <cell r="A20" t="str">
            <v>Toshiba</v>
          </cell>
          <cell r="B20">
            <v>257.10000000000002</v>
          </cell>
          <cell r="C20">
            <v>214</v>
          </cell>
          <cell r="D20">
            <v>150</v>
          </cell>
          <cell r="E20">
            <v>267</v>
          </cell>
          <cell r="F20">
            <v>202</v>
          </cell>
          <cell r="G20">
            <v>-0.21431349669389355</v>
          </cell>
        </row>
        <row r="21">
          <cell r="A21" t="str">
            <v>IBM</v>
          </cell>
          <cell r="B21">
            <v>290.10000000000002</v>
          </cell>
          <cell r="C21">
            <v>217.3</v>
          </cell>
          <cell r="D21">
            <v>208.5</v>
          </cell>
          <cell r="E21">
            <v>196.5</v>
          </cell>
          <cell r="F21">
            <v>188.1</v>
          </cell>
          <cell r="G21">
            <v>-0.35160289555325752</v>
          </cell>
        </row>
        <row r="22">
          <cell r="A22" t="str">
            <v>Dell Computer</v>
          </cell>
          <cell r="B22">
            <v>177.6</v>
          </cell>
          <cell r="C22">
            <v>182.1</v>
          </cell>
          <cell r="D22">
            <v>179</v>
          </cell>
          <cell r="E22">
            <v>210.3</v>
          </cell>
          <cell r="F22">
            <v>188</v>
          </cell>
          <cell r="G22">
            <v>5.8558558558558627E-2</v>
          </cell>
        </row>
        <row r="23">
          <cell r="A23" t="str">
            <v>Hitachi</v>
          </cell>
          <cell r="B23">
            <v>144</v>
          </cell>
          <cell r="C23">
            <v>162</v>
          </cell>
          <cell r="D23">
            <v>164</v>
          </cell>
          <cell r="E23">
            <v>188.6</v>
          </cell>
          <cell r="F23">
            <v>133</v>
          </cell>
          <cell r="G23">
            <v>-7.638888888888884E-2</v>
          </cell>
        </row>
        <row r="24">
          <cell r="A24" t="str">
            <v>Sharp</v>
          </cell>
          <cell r="B24">
            <v>110</v>
          </cell>
          <cell r="C24">
            <v>84.2</v>
          </cell>
          <cell r="D24">
            <v>102.4</v>
          </cell>
          <cell r="E24">
            <v>112.5</v>
          </cell>
          <cell r="F24">
            <v>104.9</v>
          </cell>
          <cell r="G24">
            <v>-4.6363636363636274E-2</v>
          </cell>
        </row>
        <row r="25">
          <cell r="A25" t="str">
            <v>Apple Computer</v>
          </cell>
          <cell r="B25">
            <v>128</v>
          </cell>
          <cell r="C25">
            <v>97.9</v>
          </cell>
          <cell r="D25">
            <v>96</v>
          </cell>
          <cell r="E25">
            <v>131</v>
          </cell>
          <cell r="F25">
            <v>97.8</v>
          </cell>
          <cell r="G25">
            <v>-0.23593749999999999</v>
          </cell>
        </row>
        <row r="26">
          <cell r="A26" t="str">
            <v>Sotec</v>
          </cell>
          <cell r="B26">
            <v>100.1</v>
          </cell>
          <cell r="C26">
            <v>70</v>
          </cell>
          <cell r="D26">
            <v>91.5</v>
          </cell>
          <cell r="E26">
            <v>98</v>
          </cell>
          <cell r="F26">
            <v>80.5</v>
          </cell>
          <cell r="G26">
            <v>-0.19580419580419572</v>
          </cell>
        </row>
        <row r="27">
          <cell r="A27" t="str">
            <v>Others</v>
          </cell>
          <cell r="B27">
            <v>416.59</v>
          </cell>
          <cell r="C27">
            <v>264.76000000000067</v>
          </cell>
          <cell r="D27">
            <v>248.01</v>
          </cell>
          <cell r="E27">
            <v>288.66000000000003</v>
          </cell>
          <cell r="F27">
            <v>233.17</v>
          </cell>
          <cell r="G27">
            <v>-0.44028901317842595</v>
          </cell>
        </row>
        <row r="28">
          <cell r="A28" t="str">
            <v>Total</v>
          </cell>
          <cell r="B28">
            <v>3252.69</v>
          </cell>
          <cell r="C28">
            <v>2590.96</v>
          </cell>
          <cell r="D28">
            <v>2844.41</v>
          </cell>
          <cell r="E28">
            <v>3505.56</v>
          </cell>
          <cell r="F28">
            <v>2822.83</v>
          </cell>
          <cell r="G28">
            <v>-0.13215523151606823</v>
          </cell>
        </row>
        <row r="29">
          <cell r="A29" t="str">
            <v>Market Share</v>
          </cell>
        </row>
        <row r="30">
          <cell r="A30" t="str">
            <v>NEC</v>
          </cell>
          <cell r="B30">
            <v>0.20014203628381433</v>
          </cell>
          <cell r="C30">
            <v>0.20104517244573439</v>
          </cell>
          <cell r="D30">
            <v>0.20215088542087814</v>
          </cell>
          <cell r="E30">
            <v>0.22820890242928377</v>
          </cell>
          <cell r="F30">
            <v>0.24633435240521037</v>
          </cell>
        </row>
        <row r="31">
          <cell r="A31" t="str">
            <v>Fujitsu</v>
          </cell>
          <cell r="B31">
            <v>0.18753708468990282</v>
          </cell>
          <cell r="C31">
            <v>0.21412912588384225</v>
          </cell>
          <cell r="D31">
            <v>0.20390871920714665</v>
          </cell>
          <cell r="E31">
            <v>0.21423110715549015</v>
          </cell>
          <cell r="F31">
            <v>0.19200589479352281</v>
          </cell>
        </row>
        <row r="32">
          <cell r="A32" t="str">
            <v>Sony</v>
          </cell>
          <cell r="B32">
            <v>0.11319861407020035</v>
          </cell>
          <cell r="C32">
            <v>8.6068484268379292E-2</v>
          </cell>
          <cell r="D32">
            <v>0.1582050407641655</v>
          </cell>
          <cell r="E32">
            <v>0.13179064115291136</v>
          </cell>
          <cell r="F32">
            <v>0.12682308180088778</v>
          </cell>
        </row>
        <row r="33">
          <cell r="A33" t="str">
            <v>Toshiba</v>
          </cell>
          <cell r="B33">
            <v>7.904226962913774E-2</v>
          </cell>
          <cell r="C33">
            <v>8.2594868311359496E-2</v>
          </cell>
          <cell r="D33">
            <v>5.2735013588055171E-2</v>
          </cell>
          <cell r="E33">
            <v>7.6164721185773457E-2</v>
          </cell>
          <cell r="F33">
            <v>7.1559392524523258E-2</v>
          </cell>
        </row>
        <row r="34">
          <cell r="A34" t="str">
            <v>IBM</v>
          </cell>
          <cell r="B34">
            <v>8.9187718473017721E-2</v>
          </cell>
          <cell r="C34">
            <v>8.3868527495600087E-2</v>
          </cell>
          <cell r="D34">
            <v>7.3301668887396684E-2</v>
          </cell>
          <cell r="E34">
            <v>5.6053811659192827E-2</v>
          </cell>
          <cell r="F34">
            <v>6.6635256108231816E-2</v>
          </cell>
        </row>
        <row r="35">
          <cell r="A35" t="str">
            <v>Dell Computer</v>
          </cell>
          <cell r="B35">
            <v>5.4600961050699573E-2</v>
          </cell>
          <cell r="C35">
            <v>7.0282829530367116E-2</v>
          </cell>
          <cell r="D35">
            <v>6.2930449548412509E-2</v>
          </cell>
          <cell r="E35">
            <v>5.9990415226097972E-2</v>
          </cell>
          <cell r="F35">
            <v>6.6599830666387985E-2</v>
          </cell>
        </row>
        <row r="36">
          <cell r="A36" t="str">
            <v>Hitachi</v>
          </cell>
          <cell r="B36">
            <v>4.4271049500567219E-2</v>
          </cell>
          <cell r="C36">
            <v>6.2525087226356246E-2</v>
          </cell>
          <cell r="D36">
            <v>5.7656948189606989E-2</v>
          </cell>
          <cell r="E36">
            <v>5.3800248747703644E-2</v>
          </cell>
          <cell r="F36">
            <v>4.7115837652285122E-2</v>
          </cell>
        </row>
        <row r="37">
          <cell r="A37" t="str">
            <v>Sharp</v>
          </cell>
          <cell r="B37">
            <v>3.3818162812933296E-2</v>
          </cell>
          <cell r="C37">
            <v>3.2497607064562943E-2</v>
          </cell>
          <cell r="D37">
            <v>3.6000435942778998E-2</v>
          </cell>
          <cell r="E37">
            <v>3.2091876904118029E-2</v>
          </cell>
          <cell r="F37">
            <v>3.7161288494170747E-2</v>
          </cell>
        </row>
        <row r="38">
          <cell r="A38" t="str">
            <v>Apple Computer</v>
          </cell>
          <cell r="B38">
            <v>3.9352044000504197E-2</v>
          </cell>
          <cell r="C38">
            <v>3.778522246580418E-2</v>
          </cell>
          <cell r="D38">
            <v>3.3750408696355309E-2</v>
          </cell>
          <cell r="E38">
            <v>3.7369207772795218E-2</v>
          </cell>
          <cell r="F38">
            <v>3.4646082123259279E-2</v>
          </cell>
        </row>
        <row r="39">
          <cell r="A39" t="str">
            <v>Sotec</v>
          </cell>
          <cell r="B39">
            <v>3.0774528159769297E-2</v>
          </cell>
          <cell r="C39">
            <v>2.7017012999042824E-2</v>
          </cell>
          <cell r="D39">
            <v>3.2168358288713651E-2</v>
          </cell>
          <cell r="E39">
            <v>2.7955590547587263E-2</v>
          </cell>
          <cell r="F39">
            <v>2.8517480684277837E-2</v>
          </cell>
        </row>
        <row r="40">
          <cell r="A40" t="str">
            <v>Others</v>
          </cell>
          <cell r="B40">
            <v>0.12807553132945351</v>
          </cell>
          <cell r="C40">
            <v>0.10218606230895139</v>
          </cell>
          <cell r="D40">
            <v>8.7192071466490342E-2</v>
          </cell>
          <cell r="E40">
            <v>8.2343477219046279E-2</v>
          </cell>
          <cell r="F40">
            <v>8.2601502747242886E-2</v>
          </cell>
        </row>
        <row r="41">
          <cell r="A41" t="str">
            <v>Source: Gartner Dataquest (August 2002)</v>
          </cell>
        </row>
        <row r="43">
          <cell r="A43" t="str">
            <v>Table 1-2</v>
          </cell>
          <cell r="B43" t="str">
            <v>(Top)</v>
          </cell>
          <cell r="C43" t="str">
            <v>(Front Page)</v>
          </cell>
        </row>
        <row r="44">
          <cell r="A44" t="str">
            <v>Total Market Revenue by Vendor (Millions of Yen)</v>
          </cell>
        </row>
        <row r="45">
          <cell r="A45" t="str">
            <v>Vendor Name</v>
          </cell>
          <cell r="B45" t="str">
            <v>2Q01</v>
          </cell>
          <cell r="C45" t="str">
            <v>3Q01</v>
          </cell>
          <cell r="D45" t="str">
            <v>4Q01</v>
          </cell>
          <cell r="E45" t="str">
            <v>1Q02</v>
          </cell>
          <cell r="F45" t="str">
            <v>2Q02</v>
          </cell>
          <cell r="G45" t="str">
            <v>2Q02/2Q01</v>
          </cell>
        </row>
        <row r="46">
          <cell r="A46" t="str">
            <v>NEC</v>
          </cell>
          <cell r="B46">
            <v>107795.972096</v>
          </cell>
          <cell r="C46">
            <v>80805.593087999994</v>
          </cell>
          <cell r="D46">
            <v>92748.980223999999</v>
          </cell>
          <cell r="E46">
            <v>130790.24435199999</v>
          </cell>
          <cell r="F46">
            <v>118411.681792</v>
          </cell>
          <cell r="G46">
            <v>9.8479650858809054E-2</v>
          </cell>
        </row>
        <row r="47">
          <cell r="A47" t="str">
            <v>Fujitsu</v>
          </cell>
          <cell r="B47">
            <v>103981.473792</v>
          </cell>
          <cell r="C47">
            <v>88440.553472</v>
          </cell>
          <cell r="D47">
            <v>95563.513856000005</v>
          </cell>
          <cell r="E47">
            <v>123445.14969599999</v>
          </cell>
          <cell r="F47">
            <v>94140.555263999995</v>
          </cell>
          <cell r="G47">
            <v>-9.4641075656278439E-2</v>
          </cell>
        </row>
        <row r="48">
          <cell r="A48" t="str">
            <v>Sony</v>
          </cell>
          <cell r="B48">
            <v>67482.509311999995</v>
          </cell>
          <cell r="C48">
            <v>33701.988352</v>
          </cell>
          <cell r="D48">
            <v>77276.094463999994</v>
          </cell>
          <cell r="E48">
            <v>80877.682688000001</v>
          </cell>
          <cell r="F48">
            <v>62304.956416000001</v>
          </cell>
          <cell r="G48">
            <v>-7.6724368266479104E-2</v>
          </cell>
        </row>
        <row r="49">
          <cell r="A49" t="str">
            <v>Toshiba</v>
          </cell>
          <cell r="B49">
            <v>42142.298111999997</v>
          </cell>
          <cell r="C49">
            <v>33950.783488000001</v>
          </cell>
          <cell r="D49">
            <v>25025.128447999999</v>
          </cell>
          <cell r="E49">
            <v>46026.301440000003</v>
          </cell>
          <cell r="F49">
            <v>36138.090495999997</v>
          </cell>
          <cell r="G49">
            <v>-0.14247461303706888</v>
          </cell>
        </row>
        <row r="50">
          <cell r="A50" t="str">
            <v>IBM</v>
          </cell>
          <cell r="B50">
            <v>47070.199807999998</v>
          </cell>
          <cell r="C50">
            <v>32902.529024000003</v>
          </cell>
          <cell r="D50">
            <v>33920.710656000003</v>
          </cell>
          <cell r="E50">
            <v>34466.291711999998</v>
          </cell>
          <cell r="F50">
            <v>33845.870591999999</v>
          </cell>
          <cell r="G50">
            <v>-0.28094907754677523</v>
          </cell>
        </row>
        <row r="51">
          <cell r="A51" t="str">
            <v>Dell Computer</v>
          </cell>
          <cell r="B51">
            <v>20364.158975999999</v>
          </cell>
          <cell r="C51">
            <v>24732.293119999998</v>
          </cell>
          <cell r="D51">
            <v>24158.097408000001</v>
          </cell>
          <cell r="E51">
            <v>30028.627968000001</v>
          </cell>
          <cell r="F51">
            <v>30342.471679999999</v>
          </cell>
          <cell r="G51">
            <v>0.48999385222634784</v>
          </cell>
        </row>
        <row r="52">
          <cell r="A52" t="str">
            <v>Hitachi</v>
          </cell>
          <cell r="B52">
            <v>24444.796928</v>
          </cell>
          <cell r="C52">
            <v>26822.303744000001</v>
          </cell>
          <cell r="D52">
            <v>26065.659904</v>
          </cell>
          <cell r="E52">
            <v>28491.655168000001</v>
          </cell>
          <cell r="F52">
            <v>21452.759040000001</v>
          </cell>
          <cell r="G52">
            <v>-0.12239978498544224</v>
          </cell>
        </row>
        <row r="53">
          <cell r="A53" t="str">
            <v>Apple Computer</v>
          </cell>
          <cell r="B53">
            <v>26070.532095999999</v>
          </cell>
          <cell r="C53">
            <v>17969.661951999999</v>
          </cell>
          <cell r="D53">
            <v>18298.318847999999</v>
          </cell>
          <cell r="E53">
            <v>27189.180415999999</v>
          </cell>
          <cell r="F53">
            <v>19384.416256</v>
          </cell>
          <cell r="G53">
            <v>-0.25646257680432416</v>
          </cell>
        </row>
        <row r="54">
          <cell r="A54" t="str">
            <v>Sharp</v>
          </cell>
          <cell r="B54">
            <v>16893.277183999999</v>
          </cell>
          <cell r="C54">
            <v>13093.834752000001</v>
          </cell>
          <cell r="D54">
            <v>13499.070464</v>
          </cell>
          <cell r="E54">
            <v>14811.020288</v>
          </cell>
          <cell r="F54">
            <v>15684.221952</v>
          </cell>
          <cell r="G54">
            <v>-7.1570200312886745E-2</v>
          </cell>
        </row>
        <row r="55">
          <cell r="A55" t="str">
            <v>Sotec</v>
          </cell>
          <cell r="B55">
            <v>13104.216064</v>
          </cell>
          <cell r="C55">
            <v>8181.2244479999999</v>
          </cell>
          <cell r="D55">
            <v>11108.037632</v>
          </cell>
          <cell r="E55">
            <v>11119.673344000001</v>
          </cell>
          <cell r="F55">
            <v>10359.041024</v>
          </cell>
          <cell r="G55">
            <v>-0.20948792561056473</v>
          </cell>
        </row>
        <row r="56">
          <cell r="A56" t="str">
            <v>Others</v>
          </cell>
          <cell r="B56">
            <v>58766.019968000066</v>
          </cell>
          <cell r="C56">
            <v>35465.544988000067</v>
          </cell>
          <cell r="D56">
            <v>33745.476976000005</v>
          </cell>
          <cell r="E56">
            <v>38723.88436799997</v>
          </cell>
          <cell r="F56">
            <v>30651.769744000048</v>
          </cell>
          <cell r="G56">
            <v>-0.47840997636574856</v>
          </cell>
        </row>
        <row r="57">
          <cell r="A57" t="str">
            <v>Total</v>
          </cell>
          <cell r="B57">
            <v>528115.45433600002</v>
          </cell>
          <cell r="C57">
            <v>396066.310428</v>
          </cell>
          <cell r="D57">
            <v>451409.08888</v>
          </cell>
          <cell r="E57">
            <v>565969.71143999998</v>
          </cell>
          <cell r="F57">
            <v>472715.834256</v>
          </cell>
          <cell r="G57">
            <v>-0.1049005849481417</v>
          </cell>
        </row>
        <row r="58">
          <cell r="A58" t="str">
            <v>Market Share</v>
          </cell>
        </row>
        <row r="59">
          <cell r="A59" t="str">
            <v>NEC</v>
          </cell>
          <cell r="B59">
            <v>0.20411440568716543</v>
          </cell>
          <cell r="C59">
            <v>0.20402036467246931</v>
          </cell>
          <cell r="D59">
            <v>0.20546546914711294</v>
          </cell>
          <cell r="E59">
            <v>0.23109053666357804</v>
          </cell>
          <cell r="F59">
            <v>0.25049231104848918</v>
          </cell>
        </row>
        <row r="60">
          <cell r="A60" t="str">
            <v>Fujitsu</v>
          </cell>
          <cell r="B60">
            <v>0.19689155645470741</v>
          </cell>
          <cell r="C60">
            <v>0.22329733972179744</v>
          </cell>
          <cell r="D60">
            <v>0.21170046463420691</v>
          </cell>
          <cell r="E60">
            <v>0.21811264313406065</v>
          </cell>
          <cell r="F60">
            <v>0.19914830103410081</v>
          </cell>
        </row>
        <row r="61">
          <cell r="A61" t="str">
            <v>Sony</v>
          </cell>
          <cell r="B61">
            <v>0.12777984199846187</v>
          </cell>
          <cell r="C61">
            <v>8.5091782523943324E-2</v>
          </cell>
          <cell r="D61">
            <v>0.17118860999394417</v>
          </cell>
          <cell r="E61">
            <v>0.1429010794274175</v>
          </cell>
          <cell r="F61">
            <v>0.13180213545006544</v>
          </cell>
        </row>
        <row r="62">
          <cell r="A62" t="str">
            <v>Toshiba</v>
          </cell>
          <cell r="B62">
            <v>7.9797509741474121E-2</v>
          </cell>
          <cell r="C62">
            <v>8.5719947882746866E-2</v>
          </cell>
          <cell r="D62">
            <v>5.5437803678455702E-2</v>
          </cell>
          <cell r="E62">
            <v>8.1322905642591758E-2</v>
          </cell>
          <cell r="F62">
            <v>7.6447810454407919E-2</v>
          </cell>
        </row>
        <row r="63">
          <cell r="A63" t="str">
            <v>IBM</v>
          </cell>
          <cell r="B63">
            <v>8.9128616520380746E-2</v>
          </cell>
          <cell r="C63">
            <v>8.3073283835842129E-2</v>
          </cell>
          <cell r="D63">
            <v>7.5144057777306497E-2</v>
          </cell>
          <cell r="E63">
            <v>6.0897767169036686E-2</v>
          </cell>
          <cell r="F63">
            <v>7.1598766403222949E-2</v>
          </cell>
        </row>
        <row r="64">
          <cell r="A64" t="str">
            <v>Dell Computer</v>
          </cell>
          <cell r="B64">
            <v>3.8560051232743933E-2</v>
          </cell>
          <cell r="C64">
            <v>6.2444829233957347E-2</v>
          </cell>
          <cell r="D64">
            <v>5.3517082405095416E-2</v>
          </cell>
          <cell r="E64">
            <v>5.3056952273290367E-2</v>
          </cell>
          <cell r="F64">
            <v>6.4187550915774882E-2</v>
          </cell>
        </row>
        <row r="65">
          <cell r="A65" t="str">
            <v>Hitachi</v>
          </cell>
          <cell r="B65">
            <v>4.6286842635072024E-2</v>
          </cell>
          <cell r="C65">
            <v>6.7721750216561197E-2</v>
          </cell>
          <cell r="D65">
            <v>5.7742877904102513E-2</v>
          </cell>
          <cell r="E65">
            <v>5.0341307303368797E-2</v>
          </cell>
          <cell r="F65">
            <v>4.5381934526826588E-2</v>
          </cell>
        </row>
        <row r="66">
          <cell r="A66" t="str">
            <v>Apple Computer</v>
          </cell>
          <cell r="B66">
            <v>4.9365213386490456E-2</v>
          </cell>
          <cell r="C66">
            <v>4.537033693318044E-2</v>
          </cell>
          <cell r="D66">
            <v>4.0536000046876144E-2</v>
          </cell>
          <cell r="E66">
            <v>4.8039992010919477E-2</v>
          </cell>
          <cell r="F66">
            <v>4.1006488150558414E-2</v>
          </cell>
        </row>
        <row r="67">
          <cell r="A67" t="str">
            <v>Sharp</v>
          </cell>
          <cell r="B67">
            <v>3.1987848576103366E-2</v>
          </cell>
          <cell r="C67">
            <v>3.3059703406357506E-2</v>
          </cell>
          <cell r="D67">
            <v>2.9904294788332265E-2</v>
          </cell>
          <cell r="E67">
            <v>2.6169280773552767E-2</v>
          </cell>
          <cell r="F67">
            <v>3.3178964645187208E-2</v>
          </cell>
        </row>
        <row r="68">
          <cell r="A68" t="str">
            <v>Sotec</v>
          </cell>
          <cell r="B68">
            <v>2.4813165296357291E-2</v>
          </cell>
          <cell r="C68">
            <v>2.0656198804586905E-2</v>
          </cell>
          <cell r="D68">
            <v>2.4607474474119189E-2</v>
          </cell>
          <cell r="E68">
            <v>1.9647117362001851E-2</v>
          </cell>
          <cell r="F68">
            <v>2.1913886257488985E-2</v>
          </cell>
        </row>
        <row r="69">
          <cell r="A69" t="str">
            <v>Others</v>
          </cell>
          <cell r="B69">
            <v>0.11127494847104338</v>
          </cell>
          <cell r="C69">
            <v>8.9544462768557709E-2</v>
          </cell>
          <cell r="D69">
            <v>7.4755865150448284E-2</v>
          </cell>
          <cell r="E69">
            <v>6.8420418240182093E-2</v>
          </cell>
          <cell r="F69">
            <v>6.4841851113877719E-2</v>
          </cell>
        </row>
        <row r="70">
          <cell r="A70" t="str">
            <v>Source: Gartner Dataquest (August 2002)</v>
          </cell>
        </row>
        <row r="72">
          <cell r="A72" t="str">
            <v>Table 1-3</v>
          </cell>
          <cell r="B72" t="str">
            <v>(Top)</v>
          </cell>
          <cell r="C72" t="str">
            <v>(Front Page)</v>
          </cell>
        </row>
        <row r="73">
          <cell r="A73" t="str">
            <v>Total Market Shipments by Platform (Thousands of Units)</v>
          </cell>
        </row>
        <row r="74">
          <cell r="A74" t="str">
            <v>Product Type</v>
          </cell>
          <cell r="B74" t="str">
            <v>2Q01</v>
          </cell>
          <cell r="C74" t="str">
            <v>3Q01</v>
          </cell>
          <cell r="D74" t="str">
            <v>4Q01</v>
          </cell>
          <cell r="E74" t="str">
            <v>1Q02</v>
          </cell>
          <cell r="F74" t="str">
            <v>2Q02</v>
          </cell>
          <cell r="G74" t="str">
            <v>2Q02/2Q01</v>
          </cell>
        </row>
        <row r="75">
          <cell r="A75" t="str">
            <v>Small Form Factor No Slots</v>
          </cell>
          <cell r="B75">
            <v>27.9</v>
          </cell>
          <cell r="C75">
            <v>29.2</v>
          </cell>
          <cell r="D75">
            <v>24.5</v>
          </cell>
          <cell r="E75">
            <v>23.27</v>
          </cell>
          <cell r="F75">
            <v>22.59</v>
          </cell>
          <cell r="G75">
            <v>-0.19032258064516128</v>
          </cell>
        </row>
        <row r="76">
          <cell r="A76" t="str">
            <v>All-In-One</v>
          </cell>
          <cell r="B76">
            <v>97.47</v>
          </cell>
          <cell r="C76">
            <v>108.06</v>
          </cell>
          <cell r="D76">
            <v>87.25</v>
          </cell>
          <cell r="E76">
            <v>168.4</v>
          </cell>
          <cell r="F76">
            <v>119</v>
          </cell>
          <cell r="G76">
            <v>0.22088847850620708</v>
          </cell>
        </row>
        <row r="77">
          <cell r="A77" t="str">
            <v>Deskbound</v>
          </cell>
          <cell r="B77">
            <v>1428.35</v>
          </cell>
          <cell r="C77">
            <v>1198.28</v>
          </cell>
          <cell r="D77">
            <v>1265.1300000000001</v>
          </cell>
          <cell r="E77">
            <v>1505.17</v>
          </cell>
          <cell r="F77">
            <v>1141.79</v>
          </cell>
          <cell r="G77">
            <v>-0.20062309657996991</v>
          </cell>
        </row>
        <row r="78">
          <cell r="A78" t="str">
            <v>Notebook</v>
          </cell>
          <cell r="B78">
            <v>1365.2</v>
          </cell>
          <cell r="C78">
            <v>1018.62</v>
          </cell>
          <cell r="D78">
            <v>1200.45</v>
          </cell>
          <cell r="E78">
            <v>1492.61</v>
          </cell>
          <cell r="F78">
            <v>1243.4100000000001</v>
          </cell>
          <cell r="G78">
            <v>-8.9210372106651059E-2</v>
          </cell>
        </row>
        <row r="79">
          <cell r="A79" t="str">
            <v>Ultraportable</v>
          </cell>
          <cell r="B79">
            <v>333.77</v>
          </cell>
          <cell r="C79">
            <v>236.8</v>
          </cell>
          <cell r="D79">
            <v>267.08</v>
          </cell>
          <cell r="E79">
            <v>316.11</v>
          </cell>
          <cell r="F79">
            <v>296.04000000000002</v>
          </cell>
          <cell r="G79">
            <v>-0.1130419150912304</v>
          </cell>
        </row>
        <row r="80">
          <cell r="A80" t="str">
            <v>Total</v>
          </cell>
          <cell r="B80">
            <v>3252.69</v>
          </cell>
          <cell r="C80">
            <v>2590.96</v>
          </cell>
          <cell r="D80">
            <v>2844.41</v>
          </cell>
          <cell r="E80">
            <v>3505.56</v>
          </cell>
          <cell r="F80">
            <v>2822.83</v>
          </cell>
          <cell r="G80">
            <v>-0.13215523151606823</v>
          </cell>
        </row>
        <row r="81">
          <cell r="A81" t="str">
            <v>Market Share</v>
          </cell>
          <cell r="G81">
            <v>0</v>
          </cell>
        </row>
        <row r="82">
          <cell r="A82" t="str">
            <v>Small Form Factor No Slots</v>
          </cell>
          <cell r="B82">
            <v>8.5775158407348992E-3</v>
          </cell>
          <cell r="C82">
            <v>1.1269953993886436E-2</v>
          </cell>
          <cell r="D82">
            <v>8.6133855527156782E-3</v>
          </cell>
          <cell r="E82">
            <v>6.6380264494117916E-3</v>
          </cell>
          <cell r="F82">
            <v>8.0026073125197064E-3</v>
          </cell>
        </row>
        <row r="83">
          <cell r="A83" t="str">
            <v>All-In-One</v>
          </cell>
          <cell r="B83">
            <v>2.996596663069644E-2</v>
          </cell>
          <cell r="C83">
            <v>4.1706548923950967E-2</v>
          </cell>
          <cell r="D83">
            <v>3.0674199570385426E-2</v>
          </cell>
          <cell r="E83">
            <v>4.8037973961364236E-2</v>
          </cell>
          <cell r="F83">
            <v>4.2156275794149843E-2</v>
          </cell>
        </row>
        <row r="84">
          <cell r="A84" t="str">
            <v>Deskbound</v>
          </cell>
          <cell r="B84">
            <v>0.43912884412593878</v>
          </cell>
          <cell r="C84">
            <v>0.46248494766418624</v>
          </cell>
          <cell r="D84">
            <v>0.44477765160437494</v>
          </cell>
          <cell r="E84">
            <v>0.42936649208685634</v>
          </cell>
          <cell r="F84">
            <v>0.40448415242859115</v>
          </cell>
        </row>
        <row r="85">
          <cell r="A85" t="str">
            <v>Notebook</v>
          </cell>
          <cell r="B85">
            <v>0.41971414429287757</v>
          </cell>
          <cell r="C85">
            <v>0.39314385401550006</v>
          </cell>
          <cell r="D85">
            <v>0.42203831374520556</v>
          </cell>
          <cell r="E85">
            <v>0.42578361231871653</v>
          </cell>
          <cell r="F85">
            <v>0.44048348643028457</v>
          </cell>
        </row>
        <row r="86">
          <cell r="A86" t="str">
            <v>Ultraportable</v>
          </cell>
          <cell r="B86">
            <v>0.10261352910975223</v>
          </cell>
          <cell r="C86">
            <v>9.13946954024763E-2</v>
          </cell>
          <cell r="D86">
            <v>9.3896449527318487E-2</v>
          </cell>
          <cell r="E86">
            <v>9.0173895183651126E-2</v>
          </cell>
          <cell r="F86">
            <v>0.10487347803445479</v>
          </cell>
        </row>
        <row r="87">
          <cell r="A87" t="str">
            <v>Source: Gartner Dataquest (August 2002)</v>
          </cell>
        </row>
        <row r="89">
          <cell r="A89" t="str">
            <v>Table 1-4</v>
          </cell>
          <cell r="B89" t="str">
            <v>(Top)</v>
          </cell>
          <cell r="C89" t="str">
            <v>(Front Page)</v>
          </cell>
        </row>
        <row r="90">
          <cell r="A90" t="str">
            <v>Total Market Shipments by CPU Type (Thousands of Units)</v>
          </cell>
        </row>
        <row r="91">
          <cell r="A91" t="str">
            <v>CPU Type</v>
          </cell>
          <cell r="B91" t="str">
            <v>2Q01</v>
          </cell>
          <cell r="C91" t="str">
            <v>3Q01</v>
          </cell>
          <cell r="D91" t="str">
            <v>4Q01</v>
          </cell>
          <cell r="E91" t="str">
            <v>1Q02</v>
          </cell>
          <cell r="F91" t="str">
            <v>2Q02</v>
          </cell>
          <cell r="G91" t="str">
            <v>2Q02/2Q01</v>
          </cell>
        </row>
        <row r="92">
          <cell r="A92" t="str">
            <v>486DX4/Pentium</v>
          </cell>
          <cell r="B92">
            <v>0.90000000286100001</v>
          </cell>
          <cell r="C92">
            <v>0.62999999809270002</v>
          </cell>
          <cell r="D92">
            <v>0.85000000953669996</v>
          </cell>
          <cell r="E92">
            <v>0.60000000190729996</v>
          </cell>
          <cell r="F92">
            <v>0.39999999237060002</v>
          </cell>
          <cell r="G92">
            <v>-0.55555556544550611</v>
          </cell>
        </row>
        <row r="93">
          <cell r="A93" t="str">
            <v>Pentium II</v>
          </cell>
          <cell r="B93">
            <v>1</v>
          </cell>
          <cell r="C93">
            <v>0.80000001525879993</v>
          </cell>
          <cell r="D93">
            <v>0.5</v>
          </cell>
          <cell r="E93">
            <v>0.2499999917969</v>
          </cell>
          <cell r="F93">
            <v>0.1000000019073</v>
          </cell>
          <cell r="G93">
            <v>-0.89999999809270004</v>
          </cell>
        </row>
        <row r="94">
          <cell r="A94" t="str">
            <v>Pentium III</v>
          </cell>
          <cell r="B94">
            <v>1409.90999975776</v>
          </cell>
          <cell r="C94">
            <v>1114.5199972227799</v>
          </cell>
          <cell r="D94">
            <v>990.60000156736305</v>
          </cell>
          <cell r="E94">
            <v>1165.5600023406098</v>
          </cell>
          <cell r="F94">
            <v>560.31000020647002</v>
          </cell>
          <cell r="G94">
            <v>-0.60259165457175401</v>
          </cell>
        </row>
        <row r="95">
          <cell r="A95" t="str">
            <v>Pentium 4</v>
          </cell>
          <cell r="B95">
            <v>42.330000367760704</v>
          </cell>
          <cell r="C95">
            <v>55.640000207424201</v>
          </cell>
          <cell r="D95">
            <v>421.87999431514697</v>
          </cell>
          <cell r="E95">
            <v>597.33000390195798</v>
          </cell>
          <cell r="F95">
            <v>655.55499784701999</v>
          </cell>
          <cell r="G95">
            <v>14.486770426449194</v>
          </cell>
        </row>
        <row r="96">
          <cell r="A96" t="str">
            <v>Celeron</v>
          </cell>
          <cell r="B96">
            <v>932.90000012421592</v>
          </cell>
          <cell r="C96">
            <v>738.86999765181497</v>
          </cell>
          <cell r="D96">
            <v>739.01999657559304</v>
          </cell>
          <cell r="E96">
            <v>887.76999581897201</v>
          </cell>
          <cell r="F96">
            <v>740.38500787186604</v>
          </cell>
          <cell r="G96">
            <v>-0.20636187397011085</v>
          </cell>
        </row>
        <row r="97">
          <cell r="A97" t="str">
            <v>K6/K6-2/K6-3</v>
          </cell>
          <cell r="B97">
            <v>63.709999766379603</v>
          </cell>
          <cell r="C97">
            <v>11.5</v>
          </cell>
          <cell r="D97">
            <v>6</v>
          </cell>
          <cell r="E97">
            <v>4.0000000610352</v>
          </cell>
          <cell r="F97">
            <v>0</v>
          </cell>
          <cell r="G97">
            <v>-1</v>
          </cell>
        </row>
        <row r="98">
          <cell r="A98" t="str">
            <v>Athlon</v>
          </cell>
          <cell r="B98">
            <v>133.11999983072198</v>
          </cell>
          <cell r="C98">
            <v>124.550000284791</v>
          </cell>
          <cell r="D98">
            <v>150.02000154042202</v>
          </cell>
          <cell r="E98">
            <v>152.89999972057299</v>
          </cell>
          <cell r="F98">
            <v>118.740000730514</v>
          </cell>
          <cell r="G98">
            <v>-0.10802282991657053</v>
          </cell>
        </row>
        <row r="99">
          <cell r="A99" t="str">
            <v>Duron</v>
          </cell>
          <cell r="B99">
            <v>466.44000264024697</v>
          </cell>
          <cell r="C99">
            <v>386.06999764478201</v>
          </cell>
          <cell r="D99">
            <v>379.24000043618599</v>
          </cell>
          <cell r="E99">
            <v>520.04999961233102</v>
          </cell>
          <cell r="F99">
            <v>576.58999519526901</v>
          </cell>
          <cell r="G99">
            <v>0.23615039861831466</v>
          </cell>
        </row>
        <row r="100">
          <cell r="A100" t="str">
            <v>Crusoe</v>
          </cell>
          <cell r="B100">
            <v>74.379998624801601</v>
          </cell>
          <cell r="C100">
            <v>60.480000042438498</v>
          </cell>
          <cell r="D100">
            <v>60.299999272525305</v>
          </cell>
          <cell r="E100">
            <v>46.099999758124405</v>
          </cell>
          <cell r="F100">
            <v>72.949999319374598</v>
          </cell>
          <cell r="G100">
            <v>-1.922558929639695E-2</v>
          </cell>
        </row>
        <row r="101">
          <cell r="A101" t="str">
            <v>PPC-G3/G4</v>
          </cell>
          <cell r="B101">
            <v>128.00000053405699</v>
          </cell>
          <cell r="C101">
            <v>97.900001281738298</v>
          </cell>
          <cell r="D101">
            <v>96.000001602172901</v>
          </cell>
          <cell r="E101">
            <v>130.99999942779499</v>
          </cell>
          <cell r="F101">
            <v>97.799999694824209</v>
          </cell>
          <cell r="G101">
            <v>-0.23593750557209925</v>
          </cell>
        </row>
        <row r="102">
          <cell r="A102" t="str">
            <v>Total</v>
          </cell>
          <cell r="B102">
            <v>3252.6900016488044</v>
          </cell>
          <cell r="C102">
            <v>2590.9599943491203</v>
          </cell>
          <cell r="D102">
            <v>2844.4099953189461</v>
          </cell>
          <cell r="E102">
            <v>3505.5600006351028</v>
          </cell>
          <cell r="F102">
            <v>2822.8300008596161</v>
          </cell>
          <cell r="G102">
            <v>-0.1321552316917044</v>
          </cell>
        </row>
        <row r="103">
          <cell r="A103" t="str">
            <v>Market Share</v>
          </cell>
        </row>
        <row r="104">
          <cell r="A104" t="str">
            <v>486DX4/Pentium</v>
          </cell>
          <cell r="B104">
            <v>2.7669406011786724E-4</v>
          </cell>
          <cell r="C104">
            <v>2.4315311678556559E-4</v>
          </cell>
          <cell r="D104">
            <v>2.9883174751022093E-4</v>
          </cell>
          <cell r="E104">
            <v>1.711566773350329E-4</v>
          </cell>
          <cell r="F104">
            <v>1.4170176462939351E-4</v>
          </cell>
        </row>
        <row r="105">
          <cell r="A105" t="str">
            <v>Pentium II</v>
          </cell>
          <cell r="B105">
            <v>3.0743784359809733E-4</v>
          </cell>
          <cell r="C105">
            <v>3.0876586940886729E-4</v>
          </cell>
          <cell r="D105">
            <v>1.7578337891613777E-4</v>
          </cell>
          <cell r="E105">
            <v>7.131527965620541E-5</v>
          </cell>
          <cell r="F105">
            <v>3.5425442508704992E-5</v>
          </cell>
        </row>
        <row r="106">
          <cell r="A106" t="str">
            <v>Pentium III</v>
          </cell>
          <cell r="B106">
            <v>0.43345968999291967</v>
          </cell>
          <cell r="C106">
            <v>0.43015716169047236</v>
          </cell>
          <cell r="D106">
            <v>0.34826203085968493</v>
          </cell>
          <cell r="E106">
            <v>0.33248896100179293</v>
          </cell>
          <cell r="F106">
            <v>0.19849229320782436</v>
          </cell>
        </row>
        <row r="107">
          <cell r="A107" t="str">
            <v>Pentium 4</v>
          </cell>
          <cell r="B107">
            <v>1.3013844032571017E-2</v>
          </cell>
          <cell r="C107">
            <v>2.1474665887846571E-2</v>
          </cell>
          <cell r="D107">
            <v>0.14831898179567507</v>
          </cell>
          <cell r="E107">
            <v>0.17039503069231154</v>
          </cell>
          <cell r="F107">
            <v>0.23223325444585347</v>
          </cell>
        </row>
        <row r="108">
          <cell r="A108" t="str">
            <v>Celeron</v>
          </cell>
          <cell r="B108">
            <v>0.28680876433085367</v>
          </cell>
          <cell r="C108">
            <v>0.28517229106712927</v>
          </cell>
          <cell r="D108">
            <v>0.25981486416930061</v>
          </cell>
          <cell r="E108">
            <v>0.25324627039849112</v>
          </cell>
          <cell r="F108">
            <v>0.26228466030416353</v>
          </cell>
        </row>
        <row r="109">
          <cell r="A109" t="str">
            <v>K6/K6-2/K6-3</v>
          </cell>
          <cell r="B109">
            <v>1.9586864943811028E-2</v>
          </cell>
          <cell r="C109">
            <v>4.4385092880945606E-3</v>
          </cell>
          <cell r="D109">
            <v>2.1094005469936535E-3</v>
          </cell>
          <cell r="E109">
            <v>1.1410445293506656E-3</v>
          </cell>
          <cell r="F109">
            <v>0</v>
          </cell>
        </row>
        <row r="110">
          <cell r="A110" t="str">
            <v>Athlon</v>
          </cell>
          <cell r="B110">
            <v>4.0926125687736244E-2</v>
          </cell>
          <cell r="C110">
            <v>4.8070985486628262E-2</v>
          </cell>
          <cell r="D110">
            <v>5.2742045551559154E-2</v>
          </cell>
          <cell r="E110">
            <v>4.3616426389185205E-2</v>
          </cell>
          <cell r="F110">
            <v>4.2064169891334213E-2</v>
          </cell>
        </row>
        <row r="111">
          <cell r="A111" t="str">
            <v>Duron</v>
          </cell>
          <cell r="B111">
            <v>0.14340130857960834</v>
          </cell>
          <cell r="C111">
            <v>0.14900654525226173</v>
          </cell>
          <cell r="D111">
            <v>0.13332817739366068</v>
          </cell>
          <cell r="E111">
            <v>0.14835004949797279</v>
          </cell>
          <cell r="F111">
            <v>0.20425955336300244</v>
          </cell>
        </row>
        <row r="112">
          <cell r="A112" t="str">
            <v>Crusoe</v>
          </cell>
          <cell r="B112">
            <v>2.2867226384038448E-2</v>
          </cell>
          <cell r="C112">
            <v>2.3342699298462843E-2</v>
          </cell>
          <cell r="D112">
            <v>2.1199475241530298E-2</v>
          </cell>
          <cell r="E112">
            <v>1.3150537931107287E-2</v>
          </cell>
          <cell r="F112">
            <v>2.5842859576084874E-2</v>
          </cell>
        </row>
        <row r="113">
          <cell r="A113" t="str">
            <v>PPC-G3/G4</v>
          </cell>
          <cell r="B113">
            <v>3.9352044144745787E-2</v>
          </cell>
          <cell r="C113">
            <v>3.7785223042909981E-2</v>
          </cell>
          <cell r="D113">
            <v>3.3750409315169184E-2</v>
          </cell>
          <cell r="E113">
            <v>3.7369207602797182E-2</v>
          </cell>
          <cell r="F113">
            <v>3.4646082004598885E-2</v>
          </cell>
        </row>
        <row r="114">
          <cell r="A114" t="str">
            <v>Source: Gartner Dataquest (August 2002)</v>
          </cell>
        </row>
        <row r="116">
          <cell r="A116" t="str">
            <v>Table 1-5</v>
          </cell>
          <cell r="B116" t="str">
            <v>(Top)</v>
          </cell>
          <cell r="C116" t="str">
            <v>(Front Page)</v>
          </cell>
        </row>
        <row r="117">
          <cell r="A117" t="str">
            <v>Total Market Shipments by Distribution Channels (Thousands of Units)</v>
          </cell>
        </row>
        <row r="118">
          <cell r="A118" t="str">
            <v>Distribution Channel</v>
          </cell>
          <cell r="B118" t="str">
            <v>2Q01</v>
          </cell>
          <cell r="C118" t="str">
            <v>3Q01</v>
          </cell>
          <cell r="D118" t="str">
            <v>4Q01</v>
          </cell>
          <cell r="E118" t="str">
            <v>1Q02</v>
          </cell>
          <cell r="F118" t="str">
            <v>2Q02</v>
          </cell>
          <cell r="G118" t="str">
            <v>2Q02/2Q01</v>
          </cell>
        </row>
        <row r="119">
          <cell r="A119" t="str">
            <v>Vendor Direct</v>
          </cell>
          <cell r="B119">
            <v>718.97655202865599</v>
          </cell>
          <cell r="C119">
            <v>682.59855062103202</v>
          </cell>
          <cell r="D119">
            <v>638.21884947967499</v>
          </cell>
          <cell r="E119">
            <v>746.30694962310702</v>
          </cell>
          <cell r="F119">
            <v>579.53454996490393</v>
          </cell>
          <cell r="G119">
            <v>-0.19394513168795857</v>
          </cell>
        </row>
        <row r="120">
          <cell r="A120" t="str">
            <v>VAR/Dealer</v>
          </cell>
          <cell r="B120">
            <v>982.21185375976506</v>
          </cell>
          <cell r="C120">
            <v>929.66355310058498</v>
          </cell>
          <cell r="D120">
            <v>830.67904928588803</v>
          </cell>
          <cell r="E120">
            <v>1122.7942996521001</v>
          </cell>
          <cell r="F120">
            <v>828.04225390625004</v>
          </cell>
          <cell r="G120">
            <v>-0.15696165675803653</v>
          </cell>
        </row>
        <row r="121">
          <cell r="A121" t="str">
            <v>Indirect Retail</v>
          </cell>
          <cell r="B121">
            <v>1551.50159901809</v>
          </cell>
          <cell r="C121">
            <v>978.6979001064301</v>
          </cell>
          <cell r="D121">
            <v>1375.5120995674101</v>
          </cell>
          <cell r="E121">
            <v>1636.4587499961799</v>
          </cell>
          <cell r="F121">
            <v>1415.2531999526</v>
          </cell>
          <cell r="G121">
            <v>-8.7817118043396536E-2</v>
          </cell>
        </row>
        <row r="122">
          <cell r="A122" t="str">
            <v>Total</v>
          </cell>
          <cell r="B122">
            <v>3252.6900048065108</v>
          </cell>
          <cell r="C122">
            <v>2590.9600038280469</v>
          </cell>
          <cell r="D122">
            <v>2844.4099983329734</v>
          </cell>
          <cell r="E122">
            <v>3505.5599992713869</v>
          </cell>
          <cell r="F122">
            <v>2822.8300038237539</v>
          </cell>
          <cell r="G122">
            <v>-0.13215523162291865</v>
          </cell>
        </row>
        <row r="123">
          <cell r="A123" t="str">
            <v>Market Share</v>
          </cell>
        </row>
        <row r="124">
          <cell r="A124" t="str">
            <v>Vendor Direct</v>
          </cell>
          <cell r="B124">
            <v>0.22104060053869934</v>
          </cell>
          <cell r="C124">
            <v>0.26345391268584545</v>
          </cell>
          <cell r="D124">
            <v>0.22437653146125791</v>
          </cell>
          <cell r="E124">
            <v>0.21289236235529363</v>
          </cell>
          <cell r="F124">
            <v>0.20530267468458144</v>
          </cell>
        </row>
        <row r="125">
          <cell r="A125" t="str">
            <v>VAR/Dealer</v>
          </cell>
          <cell r="B125">
            <v>0.30196909398324073</v>
          </cell>
          <cell r="C125">
            <v>0.35881046088208296</v>
          </cell>
          <cell r="D125">
            <v>0.29203913984718272</v>
          </cell>
          <cell r="E125">
            <v>0.32028956853839824</v>
          </cell>
          <cell r="F125">
            <v>0.2933376267024933</v>
          </cell>
        </row>
        <row r="126">
          <cell r="A126" t="str">
            <v>Indirect Retail</v>
          </cell>
          <cell r="B126">
            <v>0.47699030547805998</v>
          </cell>
          <cell r="C126">
            <v>0.37773562643207165</v>
          </cell>
          <cell r="D126">
            <v>0.48358432869155926</v>
          </cell>
          <cell r="E126">
            <v>0.46681806910630819</v>
          </cell>
          <cell r="F126">
            <v>0.50135969861292529</v>
          </cell>
        </row>
        <row r="127">
          <cell r="A127" t="str">
            <v>Source: Gartner Dataquest (August 2002)</v>
          </cell>
        </row>
        <row r="129">
          <cell r="A129" t="str">
            <v>Table 1-6</v>
          </cell>
          <cell r="B129" t="str">
            <v>(Top)</v>
          </cell>
          <cell r="C129" t="str">
            <v>(Front Page)</v>
          </cell>
        </row>
        <row r="130">
          <cell r="A130" t="str">
            <v>Total Market Shipments by Major Maket (Thousands of Units)</v>
          </cell>
        </row>
        <row r="131">
          <cell r="A131" t="str">
            <v>Major Market</v>
          </cell>
          <cell r="B131" t="str">
            <v>2Q01</v>
          </cell>
          <cell r="C131" t="str">
            <v>3Q01</v>
          </cell>
          <cell r="D131" t="str">
            <v>4Q01</v>
          </cell>
          <cell r="E131" t="str">
            <v>1Q02</v>
          </cell>
          <cell r="F131" t="str">
            <v>2Q02</v>
          </cell>
          <cell r="G131" t="str">
            <v>2Q02/2Q01</v>
          </cell>
        </row>
        <row r="132">
          <cell r="A132" t="str">
            <v>Business</v>
          </cell>
          <cell r="B132">
            <v>1417.0590590095499</v>
          </cell>
          <cell r="C132">
            <v>1313.4165573043799</v>
          </cell>
          <cell r="D132">
            <v>1144.1927861099198</v>
          </cell>
          <cell r="E132">
            <v>1530.0913090858398</v>
          </cell>
          <cell r="F132">
            <v>1165.2827426605199</v>
          </cell>
          <cell r="G132">
            <v>-0.17767524560691805</v>
          </cell>
        </row>
        <row r="133">
          <cell r="A133" t="str">
            <v>Government</v>
          </cell>
          <cell r="B133">
            <v>137.96702177751001</v>
          </cell>
          <cell r="C133">
            <v>146.892644441127</v>
          </cell>
          <cell r="D133">
            <v>120.930823853969</v>
          </cell>
          <cell r="E133">
            <v>181.270470690488</v>
          </cell>
          <cell r="F133">
            <v>130.856514735221</v>
          </cell>
          <cell r="G133">
            <v>-5.1537729456504811E-2</v>
          </cell>
        </row>
        <row r="134">
          <cell r="A134" t="str">
            <v>Education</v>
          </cell>
          <cell r="B134">
            <v>157.67240081182098</v>
          </cell>
          <cell r="C134">
            <v>155.45018000459601</v>
          </cell>
          <cell r="D134">
            <v>139.68956625437698</v>
          </cell>
          <cell r="E134">
            <v>184.41782306849902</v>
          </cell>
          <cell r="F134">
            <v>138.15270177412</v>
          </cell>
          <cell r="G134">
            <v>-0.12379908555459473</v>
          </cell>
        </row>
        <row r="135">
          <cell r="A135" t="str">
            <v>Home</v>
          </cell>
          <cell r="B135">
            <v>1539.99151829528</v>
          </cell>
          <cell r="C135">
            <v>975.20061679887704</v>
          </cell>
          <cell r="D135">
            <v>1439.5968374679001</v>
          </cell>
          <cell r="E135">
            <v>1609.7803957777001</v>
          </cell>
          <cell r="F135">
            <v>1388.5380231409001</v>
          </cell>
          <cell r="G135">
            <v>-9.8346967080723879E-2</v>
          </cell>
        </row>
        <row r="136">
          <cell r="A136" t="str">
            <v>Total</v>
          </cell>
          <cell r="B136">
            <v>3252.6899998941608</v>
          </cell>
          <cell r="C136">
            <v>2590.9599985489799</v>
          </cell>
          <cell r="D136">
            <v>2844.4100136861662</v>
          </cell>
          <cell r="E136">
            <v>3505.559998622527</v>
          </cell>
          <cell r="F136">
            <v>2822.8299823107609</v>
          </cell>
          <cell r="G136">
            <v>-0.13215523692617104</v>
          </cell>
        </row>
        <row r="137">
          <cell r="A137" t="str">
            <v>Market Share</v>
          </cell>
        </row>
        <row r="138">
          <cell r="A138" t="str">
            <v>Business</v>
          </cell>
          <cell r="B138">
            <v>0.43565758158805773</v>
          </cell>
          <cell r="C138">
            <v>0.5069227460246144</v>
          </cell>
          <cell r="D138">
            <v>0.40226014555022677</v>
          </cell>
          <cell r="E138">
            <v>0.43647557300034034</v>
          </cell>
          <cell r="F138">
            <v>0.4128065629041614</v>
          </cell>
        </row>
        <row r="139">
          <cell r="A139" t="str">
            <v>Government</v>
          </cell>
          <cell r="B139">
            <v>4.2416283685810609E-2</v>
          </cell>
          <cell r="C139">
            <v>5.6694292665032099E-2</v>
          </cell>
          <cell r="D139">
            <v>4.2515257389791949E-2</v>
          </cell>
          <cell r="E139">
            <v>5.1709418969213571E-2</v>
          </cell>
          <cell r="F139">
            <v>4.6356498816872496E-2</v>
          </cell>
        </row>
        <row r="140">
          <cell r="A140" t="str">
            <v>Education</v>
          </cell>
          <cell r="B140">
            <v>4.8474462926670382E-2</v>
          </cell>
          <cell r="C140">
            <v>5.9997136231996269E-2</v>
          </cell>
          <cell r="D140">
            <v>4.9110207593928625E-2</v>
          </cell>
          <cell r="E140">
            <v>5.2607236259246473E-2</v>
          </cell>
          <cell r="F140">
            <v>4.8941205329351284E-2</v>
          </cell>
        </row>
        <row r="141">
          <cell r="A141" t="str">
            <v>Home</v>
          </cell>
          <cell r="B141">
            <v>0.47345167179946129</v>
          </cell>
          <cell r="C141">
            <v>0.37638582507835722</v>
          </cell>
          <cell r="D141">
            <v>0.50611438946605247</v>
          </cell>
          <cell r="E141">
            <v>0.45920777177119959</v>
          </cell>
          <cell r="F141">
            <v>0.49189573294961486</v>
          </cell>
        </row>
        <row r="142">
          <cell r="A142" t="str">
            <v>Source: Gartner Dataquest (August 2002)</v>
          </cell>
        </row>
        <row r="144">
          <cell r="A144" t="str">
            <v>Table 1-7</v>
          </cell>
          <cell r="B144" t="str">
            <v>(Top)</v>
          </cell>
          <cell r="C144" t="str">
            <v>(Front Page)</v>
          </cell>
        </row>
        <row r="145">
          <cell r="A145" t="str">
            <v>Total Market Shipments by Price Range (Thousands of Units)</v>
          </cell>
        </row>
        <row r="146">
          <cell r="A146" t="str">
            <v>Price Range</v>
          </cell>
          <cell r="B146" t="str">
            <v>2Q01</v>
          </cell>
          <cell r="C146" t="str">
            <v>3Q01</v>
          </cell>
          <cell r="D146" t="str">
            <v>4Q01</v>
          </cell>
          <cell r="E146" t="str">
            <v>1Q02</v>
          </cell>
          <cell r="F146" t="str">
            <v>2Q02</v>
          </cell>
          <cell r="G146" t="str">
            <v>2Q02/2Q01</v>
          </cell>
        </row>
        <row r="147">
          <cell r="A147" t="str">
            <v>Less than 100,000 yens</v>
          </cell>
          <cell r="B147">
            <v>200.01000002288802</v>
          </cell>
          <cell r="C147">
            <v>116.219999909162</v>
          </cell>
          <cell r="D147">
            <v>130.6</v>
          </cell>
          <cell r="E147">
            <v>136.20000000023802</v>
          </cell>
          <cell r="F147">
            <v>78.409999992370601</v>
          </cell>
          <cell r="G147">
            <v>-0.60796960160293079</v>
          </cell>
        </row>
        <row r="148">
          <cell r="A148" t="str">
            <v>100,000-129,999 yens</v>
          </cell>
          <cell r="B148">
            <v>143.399999999806</v>
          </cell>
          <cell r="C148">
            <v>197.42000004959101</v>
          </cell>
          <cell r="D148">
            <v>135.34999999713901</v>
          </cell>
          <cell r="E148">
            <v>141.840000038385</v>
          </cell>
          <cell r="F148">
            <v>132.015000001907</v>
          </cell>
          <cell r="G148">
            <v>-7.939330542478662E-2</v>
          </cell>
        </row>
        <row r="149">
          <cell r="A149" t="str">
            <v>120,000-149,999 yens</v>
          </cell>
          <cell r="B149">
            <v>515.28000028103497</v>
          </cell>
          <cell r="C149">
            <v>559.96499983716001</v>
          </cell>
          <cell r="D149">
            <v>457.849999990463</v>
          </cell>
          <cell r="E149">
            <v>392.95799999642304</v>
          </cell>
          <cell r="F149">
            <v>328.94999990224795</v>
          </cell>
          <cell r="G149">
            <v>-0.36160922270835694</v>
          </cell>
        </row>
        <row r="150">
          <cell r="A150" t="str">
            <v>150,000-199,999 yens</v>
          </cell>
          <cell r="B150">
            <v>1263.06999986445</v>
          </cell>
          <cell r="C150">
            <v>832.08499980521196</v>
          </cell>
          <cell r="D150">
            <v>1179.01999989366</v>
          </cell>
          <cell r="E150">
            <v>1651.74200026893</v>
          </cell>
          <cell r="F150">
            <v>1296.8749996628701</v>
          </cell>
          <cell r="G150">
            <v>2.6764153848993333E-2</v>
          </cell>
        </row>
        <row r="151">
          <cell r="A151" t="str">
            <v>200,000-249,999 yens</v>
          </cell>
          <cell r="B151">
            <v>698.53999970614893</v>
          </cell>
          <cell r="C151">
            <v>600.96999906492204</v>
          </cell>
          <cell r="D151">
            <v>604.14999960702596</v>
          </cell>
          <cell r="E151">
            <v>704.89000094614903</v>
          </cell>
          <cell r="F151">
            <v>630.759999887302</v>
          </cell>
          <cell r="G151">
            <v>-9.7030950049187714E-2</v>
          </cell>
        </row>
        <row r="152">
          <cell r="A152" t="str">
            <v>250,000-299,999 yens</v>
          </cell>
          <cell r="B152">
            <v>326.63999998855496</v>
          </cell>
          <cell r="C152">
            <v>219.15000000572198</v>
          </cell>
          <cell r="D152">
            <v>212.119999914228</v>
          </cell>
          <cell r="E152">
            <v>348.58000031852697</v>
          </cell>
          <cell r="F152">
            <v>238.57999987164098</v>
          </cell>
          <cell r="G152">
            <v>-0.26959343656624879</v>
          </cell>
        </row>
        <row r="153">
          <cell r="A153" t="str">
            <v>300,000-349,999 yens</v>
          </cell>
          <cell r="B153">
            <v>55.1099999818802</v>
          </cell>
          <cell r="C153">
            <v>30.840000021457701</v>
          </cell>
          <cell r="D153">
            <v>91.239999998092699</v>
          </cell>
          <cell r="E153">
            <v>68.050000039517897</v>
          </cell>
          <cell r="F153">
            <v>69.049999953270003</v>
          </cell>
          <cell r="G153">
            <v>0.25294864772224979</v>
          </cell>
        </row>
        <row r="154">
          <cell r="A154" t="str">
            <v>350,000-399,999 yens</v>
          </cell>
          <cell r="B154">
            <v>38.760000009536697</v>
          </cell>
          <cell r="C154">
            <v>23.909999999523198</v>
          </cell>
          <cell r="D154">
            <v>21.9</v>
          </cell>
          <cell r="E154">
            <v>30.7</v>
          </cell>
          <cell r="F154">
            <v>32.020000099182099</v>
          </cell>
          <cell r="G154">
            <v>-0.17389060651951127</v>
          </cell>
        </row>
        <row r="155">
          <cell r="A155" t="str">
            <v>Over 400,000 yens</v>
          </cell>
          <cell r="B155">
            <v>11.879999980926499</v>
          </cell>
          <cell r="C155">
            <v>10.400000030517599</v>
          </cell>
          <cell r="D155">
            <v>12.180000000476801</v>
          </cell>
          <cell r="E155">
            <v>30.6</v>
          </cell>
          <cell r="F155">
            <v>16.170000085830701</v>
          </cell>
          <cell r="G155">
            <v>0.36111112052119987</v>
          </cell>
        </row>
        <row r="156">
          <cell r="A156" t="str">
            <v>Total</v>
          </cell>
          <cell r="B156">
            <v>3252.6899998352264</v>
          </cell>
          <cell r="C156">
            <v>2590.9599987232682</v>
          </cell>
          <cell r="D156">
            <v>2844.4099994010858</v>
          </cell>
          <cell r="E156">
            <v>3505.5600016081694</v>
          </cell>
          <cell r="F156">
            <v>2822.8299994566219</v>
          </cell>
          <cell r="G156">
            <v>-0.13215523163916032</v>
          </cell>
        </row>
        <row r="157">
          <cell r="A157" t="str">
            <v>Market Share</v>
          </cell>
        </row>
        <row r="158">
          <cell r="A158" t="str">
            <v>Less than 100,000 yens</v>
          </cell>
          <cell r="B158">
            <v>6.1490643139376966E-2</v>
          </cell>
          <cell r="C158">
            <v>4.4855960712026056E-2</v>
          </cell>
          <cell r="D158">
            <v>4.591461850700107E-2</v>
          </cell>
          <cell r="E158">
            <v>3.8852565620829914E-2</v>
          </cell>
          <cell r="F158">
            <v>2.7777088952386102E-2</v>
          </cell>
        </row>
        <row r="159">
          <cell r="A159" t="str">
            <v>100,000-129,999 yens</v>
          </cell>
          <cell r="B159">
            <v>4.4086586796488539E-2</v>
          </cell>
          <cell r="C159">
            <v>7.6195695860558438E-2</v>
          </cell>
          <cell r="D159">
            <v>4.7584560603301941E-2</v>
          </cell>
          <cell r="E159">
            <v>4.0461438393100145E-2</v>
          </cell>
          <cell r="F159">
            <v>4.6766897059801374E-2</v>
          </cell>
        </row>
        <row r="160">
          <cell r="A160" t="str">
            <v>120,000-149,999 yens</v>
          </cell>
          <cell r="B160">
            <v>0.1584165722239555</v>
          </cell>
          <cell r="C160">
            <v>0.21612259552949123</v>
          </cell>
          <cell r="D160">
            <v>0.16096483983914667</v>
          </cell>
          <cell r="E160">
            <v>0.11209564229856407</v>
          </cell>
          <cell r="F160">
            <v>0.11653199093305969</v>
          </cell>
        </row>
        <row r="161">
          <cell r="A161" t="str">
            <v>150,000-199,999 yens</v>
          </cell>
          <cell r="B161">
            <v>0.38831551728828573</v>
          </cell>
          <cell r="C161">
            <v>0.32114930381605022</v>
          </cell>
          <cell r="D161">
            <v>0.41450423818715043</v>
          </cell>
          <cell r="E161">
            <v>0.47117778600600085</v>
          </cell>
          <cell r="F161">
            <v>0.4594236988810913</v>
          </cell>
        </row>
        <row r="162">
          <cell r="A162" t="str">
            <v>200,000-249,999 yens</v>
          </cell>
          <cell r="B162">
            <v>0.21475763129641476</v>
          </cell>
          <cell r="C162">
            <v>0.23194877549674964</v>
          </cell>
          <cell r="D162">
            <v>0.21239905630138931</v>
          </cell>
          <cell r="E162">
            <v>0.2010777167193778</v>
          </cell>
          <cell r="F162">
            <v>0.2234495169771894</v>
          </cell>
        </row>
        <row r="163">
          <cell r="A163" t="str">
            <v>250,000-299,999 yens</v>
          </cell>
          <cell r="B163">
            <v>0.10042149728535513</v>
          </cell>
          <cell r="C163">
            <v>8.4582548597319604E-2</v>
          </cell>
          <cell r="D163">
            <v>7.4574340534202754E-2</v>
          </cell>
          <cell r="E163">
            <v>9.9436324056246791E-2</v>
          </cell>
          <cell r="F163">
            <v>8.4518019121791327E-2</v>
          </cell>
        </row>
        <row r="164">
          <cell r="A164" t="str">
            <v>300,000-349,999 yens</v>
          </cell>
          <cell r="B164">
            <v>1.6942899564567154E-2</v>
          </cell>
          <cell r="C164">
            <v>1.1902924026868242E-2</v>
          </cell>
          <cell r="D164">
            <v>3.2076950937911214E-2</v>
          </cell>
          <cell r="E164">
            <v>1.941201976525864E-2</v>
          </cell>
          <cell r="F164">
            <v>2.4461267581314398E-2</v>
          </cell>
        </row>
        <row r="165">
          <cell r="A165" t="str">
            <v>350,000-399,999 yens</v>
          </cell>
          <cell r="B165">
            <v>1.191629082743827E-2</v>
          </cell>
          <cell r="C165">
            <v>9.2282397301792322E-3</v>
          </cell>
          <cell r="D165">
            <v>7.699311985477208E-3</v>
          </cell>
          <cell r="E165">
            <v>8.7575166267062684E-3</v>
          </cell>
          <cell r="F165">
            <v>1.1343226515711452E-2</v>
          </cell>
        </row>
        <row r="166">
          <cell r="A166" t="str">
            <v>Over 400,000 yens</v>
          </cell>
          <cell r="B166">
            <v>3.6523615781178997E-3</v>
          </cell>
          <cell r="C166">
            <v>4.0139562307570723E-3</v>
          </cell>
          <cell r="D166">
            <v>4.2820831044193351E-3</v>
          </cell>
          <cell r="E166">
            <v>8.7289905139156954E-3</v>
          </cell>
          <cell r="F166">
            <v>5.728293977654811E-3</v>
          </cell>
        </row>
        <row r="167">
          <cell r="A167" t="str">
            <v>Note: Above data are based on street price.</v>
          </cell>
        </row>
        <row r="168">
          <cell r="A168" t="str">
            <v>Source: Gartner Dataquest (August 2002)</v>
          </cell>
        </row>
      </sheetData>
      <sheetData sheetId="3" refreshError="1">
        <row r="11">
          <cell r="A11" t="str">
            <v>Table 2-1</v>
          </cell>
          <cell r="B11" t="str">
            <v>(Top)</v>
          </cell>
          <cell r="C11" t="str">
            <v>(Front Page)</v>
          </cell>
        </row>
        <row r="12">
          <cell r="A12" t="str">
            <v>Quarterly Exchange Rate</v>
          </cell>
        </row>
        <row r="13">
          <cell r="B13" t="str">
            <v>2Q01</v>
          </cell>
          <cell r="C13" t="str">
            <v>3Q01</v>
          </cell>
          <cell r="D13" t="str">
            <v>4Q01</v>
          </cell>
          <cell r="E13" t="str">
            <v>1Q02</v>
          </cell>
          <cell r="F13" t="str">
            <v>2Q02</v>
          </cell>
        </row>
        <row r="14">
          <cell r="A14" t="str">
            <v>Yen/US $</v>
          </cell>
          <cell r="B14">
            <v>122.63</v>
          </cell>
          <cell r="C14">
            <v>121.4933</v>
          </cell>
          <cell r="D14">
            <v>123.8167</v>
          </cell>
          <cell r="E14">
            <v>132.46</v>
          </cell>
          <cell r="F14">
            <v>126.81333333333301</v>
          </cell>
        </row>
        <row r="15">
          <cell r="A15" t="str">
            <v>Source: Gartner Dataquest (August 2002)</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TPL"/>
      <sheetName val="Process List"/>
      <sheetName val="rptTypeI"/>
      <sheetName val="TPLTypeI"/>
      <sheetName val="rtvTypeI"/>
      <sheetName val="rptTypeII"/>
      <sheetName val="TPLTypeII"/>
      <sheetName val="rptTypeIII"/>
      <sheetName val="TPLTypeIII"/>
      <sheetName val="rptTypeIV"/>
      <sheetName val="TPLTypeIV"/>
      <sheetName val="rptTypeV"/>
      <sheetName val="TPLTypeV"/>
      <sheetName val="rptTypeVIRev"/>
      <sheetName val="TPLTypeVIRev"/>
      <sheetName val="rptTypeVIUnits"/>
      <sheetName val="TPLTypeVIUnits"/>
      <sheetName val="rptTypeA1"/>
      <sheetName val="TPLTypeA1"/>
      <sheetName val="rptTypeA2"/>
      <sheetName val="TPLTypeA2"/>
      <sheetName val="rptTypeA3"/>
      <sheetName val="TPLTypeA3"/>
      <sheetName val="rptTypeA4"/>
      <sheetName val="TPLTypeA4"/>
      <sheetName val="dynTypeII"/>
      <sheetName val="dynTypeIII"/>
      <sheetName val="dynTypeIV"/>
      <sheetName val="dynTypeV"/>
      <sheetName val="Retrieve_Sheet"/>
      <sheetName val="dynTypeVIRev"/>
      <sheetName val="dynTypeVIUnits"/>
      <sheetName val="dynTypeA1"/>
      <sheetName val="dynTypeA2"/>
      <sheetName val="dynTypeA3"/>
      <sheetName val="dynTypeA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PRT New"/>
      <sheetName val="AMAT_Balance"/>
      <sheetName val="AMAT_CFlow"/>
      <sheetName val="Cap IQ Formulas"/>
      <sheetName val="Revenue Model"/>
      <sheetName val="AMAT_Income"/>
      <sheetName val="Sheet1"/>
      <sheetName val="ModelToWizard"/>
      <sheetName val="XPRT"/>
      <sheetName val="Chart1"/>
      <sheetName val="Quarterly Figures"/>
      <sheetName val="AMAT_FC"/>
      <sheetName val="AMAT_Q"/>
      <sheetName val="Earnings Report"/>
      <sheetName val="AMAT_EPS"/>
      <sheetName val="Partners Upload Sheet"/>
      <sheetName val="__FDSCACHE__"/>
      <sheetName val="Competitors"/>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ToWizard"/>
      <sheetName val="XPRT"/>
      <sheetName val="Sheet1"/>
      <sheetName val="Revenue Model"/>
      <sheetName val="NVLS_FC"/>
      <sheetName val="NVLS_Eps"/>
      <sheetName val="NVLS_Q"/>
      <sheetName val="NVLS_Income"/>
      <sheetName val="NVLS_Balance"/>
      <sheetName val="__FDSCACHE__"/>
      <sheetName val="NVLS_CFlow"/>
      <sheetName val="Chart_Data"/>
      <sheetName val="Earnings Report"/>
      <sheetName val="Admin"/>
      <sheetName val="Module2"/>
      <sheetName val="Module1"/>
    </sheetNames>
    <sheetDataSet>
      <sheetData sheetId="0" refreshError="1"/>
      <sheetData sheetId="1" refreshError="1"/>
      <sheetData sheetId="2" refreshError="1"/>
      <sheetData sheetId="3" refreshError="1"/>
      <sheetData sheetId="4" refreshError="1">
        <row r="11">
          <cell r="G11">
            <v>0.10651732279141272</v>
          </cell>
        </row>
        <row r="15">
          <cell r="G15">
            <v>136.08802571917045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Needham">
      <a:dk1>
        <a:sysClr val="windowText" lastClr="000000"/>
      </a:dk1>
      <a:lt1>
        <a:sysClr val="window" lastClr="FFFFFF"/>
      </a:lt1>
      <a:dk2>
        <a:srgbClr val="1F497D"/>
      </a:dk2>
      <a:lt2>
        <a:srgbClr val="EEECE1"/>
      </a:lt2>
      <a:accent1>
        <a:srgbClr val="6B0901"/>
      </a:accent1>
      <a:accent2>
        <a:srgbClr val="969696"/>
      </a:accent2>
      <a:accent3>
        <a:srgbClr val="6684B5"/>
      </a:accent3>
      <a:accent4>
        <a:srgbClr val="CCD6E6"/>
      </a:accent4>
      <a:accent5>
        <a:srgbClr val="4BACC6"/>
      </a:accent5>
      <a:accent6>
        <a:srgbClr val="F79646"/>
      </a:accent6>
      <a:hlink>
        <a:srgbClr val="0000FF"/>
      </a:hlink>
      <a:folHlink>
        <a:srgbClr val="800080"/>
      </a:folHlink>
    </a:clrScheme>
    <a:fontScheme name="Needham">
      <a:majorFont>
        <a:latin typeface="Cambria"/>
        <a:ea typeface=""/>
        <a:cs typeface=""/>
      </a:majorFont>
      <a:minorFont>
        <a:latin typeface="Cambri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hyperlink" Target="https://needham.bluematrix.com/sellside/Preference.action?exceltoolkit&amp;from=3"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heetViews>
  <sheetFormatPr defaultRowHeight="13.5"/>
  <sheetData>
    <row r="1" spans="1:2">
      <c r="B1" t="s">
        <v>466</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Y62"/>
  <sheetViews>
    <sheetView showGridLines="0" zoomScaleNormal="100" workbookViewId="0">
      <pane xSplit="3" ySplit="4" topLeftCell="D5" activePane="bottomRight" state="frozen"/>
      <selection pane="topRight" activeCell="D1" sqref="D1"/>
      <selection pane="bottomLeft" activeCell="A5" sqref="A5"/>
      <selection pane="bottomRight" activeCell="L21" sqref="L21"/>
    </sheetView>
  </sheetViews>
  <sheetFormatPr defaultColWidth="7.5625" defaultRowHeight="11.65"/>
  <cols>
    <col min="1" max="2" width="1.5625" style="554" customWidth="1"/>
    <col min="3" max="3" width="29.8125" style="554" customWidth="1"/>
    <col min="4" max="4" width="7.5625" style="554"/>
    <col min="5" max="5" width="7.5625" style="554" customWidth="1"/>
    <col min="6" max="6" width="8.3125" style="554" bestFit="1" customWidth="1"/>
    <col min="7" max="7" width="7.5625" style="554"/>
    <col min="8" max="8" width="7.5625" style="554" customWidth="1"/>
    <col min="9" max="9" width="8" style="554" customWidth="1"/>
    <col min="10" max="11" width="8.25" style="554" bestFit="1" customWidth="1"/>
    <col min="12" max="12" width="7.5625" style="554" customWidth="1"/>
    <col min="13" max="13" width="0.3125" style="554" customWidth="1"/>
    <col min="14" max="14" width="7.5625" style="840" customWidth="1"/>
    <col min="15" max="15" width="1.5625" style="554" customWidth="1"/>
    <col min="16" max="22" width="9.5625" style="554" customWidth="1"/>
    <col min="23" max="259" width="7.5625" style="554"/>
    <col min="260" max="260" width="3.5625" style="554" customWidth="1"/>
    <col min="261" max="261" width="24" style="554" customWidth="1"/>
    <col min="262" max="262" width="10.0625" style="554" bestFit="1" customWidth="1"/>
    <col min="263" max="263" width="6.5625" style="554" bestFit="1" customWidth="1"/>
    <col min="264" max="265" width="7.5625" style="554"/>
    <col min="266" max="266" width="6.5625" style="554" bestFit="1" customWidth="1"/>
    <col min="267" max="270" width="7.5625" style="554"/>
    <col min="271" max="271" width="2.5" style="554" customWidth="1"/>
    <col min="272" max="515" width="7.5625" style="554"/>
    <col min="516" max="516" width="3.5625" style="554" customWidth="1"/>
    <col min="517" max="517" width="24" style="554" customWidth="1"/>
    <col min="518" max="518" width="10.0625" style="554" bestFit="1" customWidth="1"/>
    <col min="519" max="519" width="6.5625" style="554" bestFit="1" customWidth="1"/>
    <col min="520" max="521" width="7.5625" style="554"/>
    <col min="522" max="522" width="6.5625" style="554" bestFit="1" customWidth="1"/>
    <col min="523" max="526" width="7.5625" style="554"/>
    <col min="527" max="527" width="2.5" style="554" customWidth="1"/>
    <col min="528" max="771" width="7.5625" style="554"/>
    <col min="772" max="772" width="3.5625" style="554" customWidth="1"/>
    <col min="773" max="773" width="24" style="554" customWidth="1"/>
    <col min="774" max="774" width="10.0625" style="554" bestFit="1" customWidth="1"/>
    <col min="775" max="775" width="6.5625" style="554" bestFit="1" customWidth="1"/>
    <col min="776" max="777" width="7.5625" style="554"/>
    <col min="778" max="778" width="6.5625" style="554" bestFit="1" customWidth="1"/>
    <col min="779" max="782" width="7.5625" style="554"/>
    <col min="783" max="783" width="2.5" style="554" customWidth="1"/>
    <col min="784" max="1027" width="7.5625" style="554"/>
    <col min="1028" max="1028" width="3.5625" style="554" customWidth="1"/>
    <col min="1029" max="1029" width="24" style="554" customWidth="1"/>
    <col min="1030" max="1030" width="10.0625" style="554" bestFit="1" customWidth="1"/>
    <col min="1031" max="1031" width="6.5625" style="554" bestFit="1" customWidth="1"/>
    <col min="1032" max="1033" width="7.5625" style="554"/>
    <col min="1034" max="1034" width="6.5625" style="554" bestFit="1" customWidth="1"/>
    <col min="1035" max="1038" width="7.5625" style="554"/>
    <col min="1039" max="1039" width="2.5" style="554" customWidth="1"/>
    <col min="1040" max="1283" width="7.5625" style="554"/>
    <col min="1284" max="1284" width="3.5625" style="554" customWidth="1"/>
    <col min="1285" max="1285" width="24" style="554" customWidth="1"/>
    <col min="1286" max="1286" width="10.0625" style="554" bestFit="1" customWidth="1"/>
    <col min="1287" max="1287" width="6.5625" style="554" bestFit="1" customWidth="1"/>
    <col min="1288" max="1289" width="7.5625" style="554"/>
    <col min="1290" max="1290" width="6.5625" style="554" bestFit="1" customWidth="1"/>
    <col min="1291" max="1294" width="7.5625" style="554"/>
    <col min="1295" max="1295" width="2.5" style="554" customWidth="1"/>
    <col min="1296" max="1539" width="7.5625" style="554"/>
    <col min="1540" max="1540" width="3.5625" style="554" customWidth="1"/>
    <col min="1541" max="1541" width="24" style="554" customWidth="1"/>
    <col min="1542" max="1542" width="10.0625" style="554" bestFit="1" customWidth="1"/>
    <col min="1543" max="1543" width="6.5625" style="554" bestFit="1" customWidth="1"/>
    <col min="1544" max="1545" width="7.5625" style="554"/>
    <col min="1546" max="1546" width="6.5625" style="554" bestFit="1" customWidth="1"/>
    <col min="1547" max="1550" width="7.5625" style="554"/>
    <col min="1551" max="1551" width="2.5" style="554" customWidth="1"/>
    <col min="1552" max="1795" width="7.5625" style="554"/>
    <col min="1796" max="1796" width="3.5625" style="554" customWidth="1"/>
    <col min="1797" max="1797" width="24" style="554" customWidth="1"/>
    <col min="1798" max="1798" width="10.0625" style="554" bestFit="1" customWidth="1"/>
    <col min="1799" max="1799" width="6.5625" style="554" bestFit="1" customWidth="1"/>
    <col min="1800" max="1801" width="7.5625" style="554"/>
    <col min="1802" max="1802" width="6.5625" style="554" bestFit="1" customWidth="1"/>
    <col min="1803" max="1806" width="7.5625" style="554"/>
    <col min="1807" max="1807" width="2.5" style="554" customWidth="1"/>
    <col min="1808" max="2051" width="7.5625" style="554"/>
    <col min="2052" max="2052" width="3.5625" style="554" customWidth="1"/>
    <col min="2053" max="2053" width="24" style="554" customWidth="1"/>
    <col min="2054" max="2054" width="10.0625" style="554" bestFit="1" customWidth="1"/>
    <col min="2055" max="2055" width="6.5625" style="554" bestFit="1" customWidth="1"/>
    <col min="2056" max="2057" width="7.5625" style="554"/>
    <col min="2058" max="2058" width="6.5625" style="554" bestFit="1" customWidth="1"/>
    <col min="2059" max="2062" width="7.5625" style="554"/>
    <col min="2063" max="2063" width="2.5" style="554" customWidth="1"/>
    <col min="2064" max="2307" width="7.5625" style="554"/>
    <col min="2308" max="2308" width="3.5625" style="554" customWidth="1"/>
    <col min="2309" max="2309" width="24" style="554" customWidth="1"/>
    <col min="2310" max="2310" width="10.0625" style="554" bestFit="1" customWidth="1"/>
    <col min="2311" max="2311" width="6.5625" style="554" bestFit="1" customWidth="1"/>
    <col min="2312" max="2313" width="7.5625" style="554"/>
    <col min="2314" max="2314" width="6.5625" style="554" bestFit="1" customWidth="1"/>
    <col min="2315" max="2318" width="7.5625" style="554"/>
    <col min="2319" max="2319" width="2.5" style="554" customWidth="1"/>
    <col min="2320" max="2563" width="7.5625" style="554"/>
    <col min="2564" max="2564" width="3.5625" style="554" customWidth="1"/>
    <col min="2565" max="2565" width="24" style="554" customWidth="1"/>
    <col min="2566" max="2566" width="10.0625" style="554" bestFit="1" customWidth="1"/>
    <col min="2567" max="2567" width="6.5625" style="554" bestFit="1" customWidth="1"/>
    <col min="2568" max="2569" width="7.5625" style="554"/>
    <col min="2570" max="2570" width="6.5625" style="554" bestFit="1" customWidth="1"/>
    <col min="2571" max="2574" width="7.5625" style="554"/>
    <col min="2575" max="2575" width="2.5" style="554" customWidth="1"/>
    <col min="2576" max="2819" width="7.5625" style="554"/>
    <col min="2820" max="2820" width="3.5625" style="554" customWidth="1"/>
    <col min="2821" max="2821" width="24" style="554" customWidth="1"/>
    <col min="2822" max="2822" width="10.0625" style="554" bestFit="1" customWidth="1"/>
    <col min="2823" max="2823" width="6.5625" style="554" bestFit="1" customWidth="1"/>
    <col min="2824" max="2825" width="7.5625" style="554"/>
    <col min="2826" max="2826" width="6.5625" style="554" bestFit="1" customWidth="1"/>
    <col min="2827" max="2830" width="7.5625" style="554"/>
    <col min="2831" max="2831" width="2.5" style="554" customWidth="1"/>
    <col min="2832" max="3075" width="7.5625" style="554"/>
    <col min="3076" max="3076" width="3.5625" style="554" customWidth="1"/>
    <col min="3077" max="3077" width="24" style="554" customWidth="1"/>
    <col min="3078" max="3078" width="10.0625" style="554" bestFit="1" customWidth="1"/>
    <col min="3079" max="3079" width="6.5625" style="554" bestFit="1" customWidth="1"/>
    <col min="3080" max="3081" width="7.5625" style="554"/>
    <col min="3082" max="3082" width="6.5625" style="554" bestFit="1" customWidth="1"/>
    <col min="3083" max="3086" width="7.5625" style="554"/>
    <col min="3087" max="3087" width="2.5" style="554" customWidth="1"/>
    <col min="3088" max="3331" width="7.5625" style="554"/>
    <col min="3332" max="3332" width="3.5625" style="554" customWidth="1"/>
    <col min="3333" max="3333" width="24" style="554" customWidth="1"/>
    <col min="3334" max="3334" width="10.0625" style="554" bestFit="1" customWidth="1"/>
    <col min="3335" max="3335" width="6.5625" style="554" bestFit="1" customWidth="1"/>
    <col min="3336" max="3337" width="7.5625" style="554"/>
    <col min="3338" max="3338" width="6.5625" style="554" bestFit="1" customWidth="1"/>
    <col min="3339" max="3342" width="7.5625" style="554"/>
    <col min="3343" max="3343" width="2.5" style="554" customWidth="1"/>
    <col min="3344" max="3587" width="7.5625" style="554"/>
    <col min="3588" max="3588" width="3.5625" style="554" customWidth="1"/>
    <col min="3589" max="3589" width="24" style="554" customWidth="1"/>
    <col min="3590" max="3590" width="10.0625" style="554" bestFit="1" customWidth="1"/>
    <col min="3591" max="3591" width="6.5625" style="554" bestFit="1" customWidth="1"/>
    <col min="3592" max="3593" width="7.5625" style="554"/>
    <col min="3594" max="3594" width="6.5625" style="554" bestFit="1" customWidth="1"/>
    <col min="3595" max="3598" width="7.5625" style="554"/>
    <col min="3599" max="3599" width="2.5" style="554" customWidth="1"/>
    <col min="3600" max="3843" width="7.5625" style="554"/>
    <col min="3844" max="3844" width="3.5625" style="554" customWidth="1"/>
    <col min="3845" max="3845" width="24" style="554" customWidth="1"/>
    <col min="3846" max="3846" width="10.0625" style="554" bestFit="1" customWidth="1"/>
    <col min="3847" max="3847" width="6.5625" style="554" bestFit="1" customWidth="1"/>
    <col min="3848" max="3849" width="7.5625" style="554"/>
    <col min="3850" max="3850" width="6.5625" style="554" bestFit="1" customWidth="1"/>
    <col min="3851" max="3854" width="7.5625" style="554"/>
    <col min="3855" max="3855" width="2.5" style="554" customWidth="1"/>
    <col min="3856" max="4099" width="7.5625" style="554"/>
    <col min="4100" max="4100" width="3.5625" style="554" customWidth="1"/>
    <col min="4101" max="4101" width="24" style="554" customWidth="1"/>
    <col min="4102" max="4102" width="10.0625" style="554" bestFit="1" customWidth="1"/>
    <col min="4103" max="4103" width="6.5625" style="554" bestFit="1" customWidth="1"/>
    <col min="4104" max="4105" width="7.5625" style="554"/>
    <col min="4106" max="4106" width="6.5625" style="554" bestFit="1" customWidth="1"/>
    <col min="4107" max="4110" width="7.5625" style="554"/>
    <col min="4111" max="4111" width="2.5" style="554" customWidth="1"/>
    <col min="4112" max="4355" width="7.5625" style="554"/>
    <col min="4356" max="4356" width="3.5625" style="554" customWidth="1"/>
    <col min="4357" max="4357" width="24" style="554" customWidth="1"/>
    <col min="4358" max="4358" width="10.0625" style="554" bestFit="1" customWidth="1"/>
    <col min="4359" max="4359" width="6.5625" style="554" bestFit="1" customWidth="1"/>
    <col min="4360" max="4361" width="7.5625" style="554"/>
    <col min="4362" max="4362" width="6.5625" style="554" bestFit="1" customWidth="1"/>
    <col min="4363" max="4366" width="7.5625" style="554"/>
    <col min="4367" max="4367" width="2.5" style="554" customWidth="1"/>
    <col min="4368" max="4611" width="7.5625" style="554"/>
    <col min="4612" max="4612" width="3.5625" style="554" customWidth="1"/>
    <col min="4613" max="4613" width="24" style="554" customWidth="1"/>
    <col min="4614" max="4614" width="10.0625" style="554" bestFit="1" customWidth="1"/>
    <col min="4615" max="4615" width="6.5625" style="554" bestFit="1" customWidth="1"/>
    <col min="4616" max="4617" width="7.5625" style="554"/>
    <col min="4618" max="4618" width="6.5625" style="554" bestFit="1" customWidth="1"/>
    <col min="4619" max="4622" width="7.5625" style="554"/>
    <col min="4623" max="4623" width="2.5" style="554" customWidth="1"/>
    <col min="4624" max="4867" width="7.5625" style="554"/>
    <col min="4868" max="4868" width="3.5625" style="554" customWidth="1"/>
    <col min="4869" max="4869" width="24" style="554" customWidth="1"/>
    <col min="4870" max="4870" width="10.0625" style="554" bestFit="1" customWidth="1"/>
    <col min="4871" max="4871" width="6.5625" style="554" bestFit="1" customWidth="1"/>
    <col min="4872" max="4873" width="7.5625" style="554"/>
    <col min="4874" max="4874" width="6.5625" style="554" bestFit="1" customWidth="1"/>
    <col min="4875" max="4878" width="7.5625" style="554"/>
    <col min="4879" max="4879" width="2.5" style="554" customWidth="1"/>
    <col min="4880" max="5123" width="7.5625" style="554"/>
    <col min="5124" max="5124" width="3.5625" style="554" customWidth="1"/>
    <col min="5125" max="5125" width="24" style="554" customWidth="1"/>
    <col min="5126" max="5126" width="10.0625" style="554" bestFit="1" customWidth="1"/>
    <col min="5127" max="5127" width="6.5625" style="554" bestFit="1" customWidth="1"/>
    <col min="5128" max="5129" width="7.5625" style="554"/>
    <col min="5130" max="5130" width="6.5625" style="554" bestFit="1" customWidth="1"/>
    <col min="5131" max="5134" width="7.5625" style="554"/>
    <col min="5135" max="5135" width="2.5" style="554" customWidth="1"/>
    <col min="5136" max="5379" width="7.5625" style="554"/>
    <col min="5380" max="5380" width="3.5625" style="554" customWidth="1"/>
    <col min="5381" max="5381" width="24" style="554" customWidth="1"/>
    <col min="5382" max="5382" width="10.0625" style="554" bestFit="1" customWidth="1"/>
    <col min="5383" max="5383" width="6.5625" style="554" bestFit="1" customWidth="1"/>
    <col min="5384" max="5385" width="7.5625" style="554"/>
    <col min="5386" max="5386" width="6.5625" style="554" bestFit="1" customWidth="1"/>
    <col min="5387" max="5390" width="7.5625" style="554"/>
    <col min="5391" max="5391" width="2.5" style="554" customWidth="1"/>
    <col min="5392" max="5635" width="7.5625" style="554"/>
    <col min="5636" max="5636" width="3.5625" style="554" customWidth="1"/>
    <col min="5637" max="5637" width="24" style="554" customWidth="1"/>
    <col min="5638" max="5638" width="10.0625" style="554" bestFit="1" customWidth="1"/>
    <col min="5639" max="5639" width="6.5625" style="554" bestFit="1" customWidth="1"/>
    <col min="5640" max="5641" width="7.5625" style="554"/>
    <col min="5642" max="5642" width="6.5625" style="554" bestFit="1" customWidth="1"/>
    <col min="5643" max="5646" width="7.5625" style="554"/>
    <col min="5647" max="5647" width="2.5" style="554" customWidth="1"/>
    <col min="5648" max="5891" width="7.5625" style="554"/>
    <col min="5892" max="5892" width="3.5625" style="554" customWidth="1"/>
    <col min="5893" max="5893" width="24" style="554" customWidth="1"/>
    <col min="5894" max="5894" width="10.0625" style="554" bestFit="1" customWidth="1"/>
    <col min="5895" max="5895" width="6.5625" style="554" bestFit="1" customWidth="1"/>
    <col min="5896" max="5897" width="7.5625" style="554"/>
    <col min="5898" max="5898" width="6.5625" style="554" bestFit="1" customWidth="1"/>
    <col min="5899" max="5902" width="7.5625" style="554"/>
    <col min="5903" max="5903" width="2.5" style="554" customWidth="1"/>
    <col min="5904" max="6147" width="7.5625" style="554"/>
    <col min="6148" max="6148" width="3.5625" style="554" customWidth="1"/>
    <col min="6149" max="6149" width="24" style="554" customWidth="1"/>
    <col min="6150" max="6150" width="10.0625" style="554" bestFit="1" customWidth="1"/>
    <col min="6151" max="6151" width="6.5625" style="554" bestFit="1" customWidth="1"/>
    <col min="6152" max="6153" width="7.5625" style="554"/>
    <col min="6154" max="6154" width="6.5625" style="554" bestFit="1" customWidth="1"/>
    <col min="6155" max="6158" width="7.5625" style="554"/>
    <col min="6159" max="6159" width="2.5" style="554" customWidth="1"/>
    <col min="6160" max="6403" width="7.5625" style="554"/>
    <col min="6404" max="6404" width="3.5625" style="554" customWidth="1"/>
    <col min="6405" max="6405" width="24" style="554" customWidth="1"/>
    <col min="6406" max="6406" width="10.0625" style="554" bestFit="1" customWidth="1"/>
    <col min="6407" max="6407" width="6.5625" style="554" bestFit="1" customWidth="1"/>
    <col min="6408" max="6409" width="7.5625" style="554"/>
    <col min="6410" max="6410" width="6.5625" style="554" bestFit="1" customWidth="1"/>
    <col min="6411" max="6414" width="7.5625" style="554"/>
    <col min="6415" max="6415" width="2.5" style="554" customWidth="1"/>
    <col min="6416" max="6659" width="7.5625" style="554"/>
    <col min="6660" max="6660" width="3.5625" style="554" customWidth="1"/>
    <col min="6661" max="6661" width="24" style="554" customWidth="1"/>
    <col min="6662" max="6662" width="10.0625" style="554" bestFit="1" customWidth="1"/>
    <col min="6663" max="6663" width="6.5625" style="554" bestFit="1" customWidth="1"/>
    <col min="6664" max="6665" width="7.5625" style="554"/>
    <col min="6666" max="6666" width="6.5625" style="554" bestFit="1" customWidth="1"/>
    <col min="6667" max="6670" width="7.5625" style="554"/>
    <col min="6671" max="6671" width="2.5" style="554" customWidth="1"/>
    <col min="6672" max="6915" width="7.5625" style="554"/>
    <col min="6916" max="6916" width="3.5625" style="554" customWidth="1"/>
    <col min="6917" max="6917" width="24" style="554" customWidth="1"/>
    <col min="6918" max="6918" width="10.0625" style="554" bestFit="1" customWidth="1"/>
    <col min="6919" max="6919" width="6.5625" style="554" bestFit="1" customWidth="1"/>
    <col min="6920" max="6921" width="7.5625" style="554"/>
    <col min="6922" max="6922" width="6.5625" style="554" bestFit="1" customWidth="1"/>
    <col min="6923" max="6926" width="7.5625" style="554"/>
    <col min="6927" max="6927" width="2.5" style="554" customWidth="1"/>
    <col min="6928" max="7171" width="7.5625" style="554"/>
    <col min="7172" max="7172" width="3.5625" style="554" customWidth="1"/>
    <col min="7173" max="7173" width="24" style="554" customWidth="1"/>
    <col min="7174" max="7174" width="10.0625" style="554" bestFit="1" customWidth="1"/>
    <col min="7175" max="7175" width="6.5625" style="554" bestFit="1" customWidth="1"/>
    <col min="7176" max="7177" width="7.5625" style="554"/>
    <col min="7178" max="7178" width="6.5625" style="554" bestFit="1" customWidth="1"/>
    <col min="7179" max="7182" width="7.5625" style="554"/>
    <col min="7183" max="7183" width="2.5" style="554" customWidth="1"/>
    <col min="7184" max="7427" width="7.5625" style="554"/>
    <col min="7428" max="7428" width="3.5625" style="554" customWidth="1"/>
    <col min="7429" max="7429" width="24" style="554" customWidth="1"/>
    <col min="7430" max="7430" width="10.0625" style="554" bestFit="1" customWidth="1"/>
    <col min="7431" max="7431" width="6.5625" style="554" bestFit="1" customWidth="1"/>
    <col min="7432" max="7433" width="7.5625" style="554"/>
    <col min="7434" max="7434" width="6.5625" style="554" bestFit="1" customWidth="1"/>
    <col min="7435" max="7438" width="7.5625" style="554"/>
    <col min="7439" max="7439" width="2.5" style="554" customWidth="1"/>
    <col min="7440" max="7683" width="7.5625" style="554"/>
    <col min="7684" max="7684" width="3.5625" style="554" customWidth="1"/>
    <col min="7685" max="7685" width="24" style="554" customWidth="1"/>
    <col min="7686" max="7686" width="10.0625" style="554" bestFit="1" customWidth="1"/>
    <col min="7687" max="7687" width="6.5625" style="554" bestFit="1" customWidth="1"/>
    <col min="7688" max="7689" width="7.5625" style="554"/>
    <col min="7690" max="7690" width="6.5625" style="554" bestFit="1" customWidth="1"/>
    <col min="7691" max="7694" width="7.5625" style="554"/>
    <col min="7695" max="7695" width="2.5" style="554" customWidth="1"/>
    <col min="7696" max="7939" width="7.5625" style="554"/>
    <col min="7940" max="7940" width="3.5625" style="554" customWidth="1"/>
    <col min="7941" max="7941" width="24" style="554" customWidth="1"/>
    <col min="7942" max="7942" width="10.0625" style="554" bestFit="1" customWidth="1"/>
    <col min="7943" max="7943" width="6.5625" style="554" bestFit="1" customWidth="1"/>
    <col min="7944" max="7945" width="7.5625" style="554"/>
    <col min="7946" max="7946" width="6.5625" style="554" bestFit="1" customWidth="1"/>
    <col min="7947" max="7950" width="7.5625" style="554"/>
    <col min="7951" max="7951" width="2.5" style="554" customWidth="1"/>
    <col min="7952" max="8195" width="7.5625" style="554"/>
    <col min="8196" max="8196" width="3.5625" style="554" customWidth="1"/>
    <col min="8197" max="8197" width="24" style="554" customWidth="1"/>
    <col min="8198" max="8198" width="10.0625" style="554" bestFit="1" customWidth="1"/>
    <col min="8199" max="8199" width="6.5625" style="554" bestFit="1" customWidth="1"/>
    <col min="8200" max="8201" width="7.5625" style="554"/>
    <col min="8202" max="8202" width="6.5625" style="554" bestFit="1" customWidth="1"/>
    <col min="8203" max="8206" width="7.5625" style="554"/>
    <col min="8207" max="8207" width="2.5" style="554" customWidth="1"/>
    <col min="8208" max="8451" width="7.5625" style="554"/>
    <col min="8452" max="8452" width="3.5625" style="554" customWidth="1"/>
    <col min="8453" max="8453" width="24" style="554" customWidth="1"/>
    <col min="8454" max="8454" width="10.0625" style="554" bestFit="1" customWidth="1"/>
    <col min="8455" max="8455" width="6.5625" style="554" bestFit="1" customWidth="1"/>
    <col min="8456" max="8457" width="7.5625" style="554"/>
    <col min="8458" max="8458" width="6.5625" style="554" bestFit="1" customWidth="1"/>
    <col min="8459" max="8462" width="7.5625" style="554"/>
    <col min="8463" max="8463" width="2.5" style="554" customWidth="1"/>
    <col min="8464" max="8707" width="7.5625" style="554"/>
    <col min="8708" max="8708" width="3.5625" style="554" customWidth="1"/>
    <col min="8709" max="8709" width="24" style="554" customWidth="1"/>
    <col min="8710" max="8710" width="10.0625" style="554" bestFit="1" customWidth="1"/>
    <col min="8711" max="8711" width="6.5625" style="554" bestFit="1" customWidth="1"/>
    <col min="8712" max="8713" width="7.5625" style="554"/>
    <col min="8714" max="8714" width="6.5625" style="554" bestFit="1" customWidth="1"/>
    <col min="8715" max="8718" width="7.5625" style="554"/>
    <col min="8719" max="8719" width="2.5" style="554" customWidth="1"/>
    <col min="8720" max="8963" width="7.5625" style="554"/>
    <col min="8964" max="8964" width="3.5625" style="554" customWidth="1"/>
    <col min="8965" max="8965" width="24" style="554" customWidth="1"/>
    <col min="8966" max="8966" width="10.0625" style="554" bestFit="1" customWidth="1"/>
    <col min="8967" max="8967" width="6.5625" style="554" bestFit="1" customWidth="1"/>
    <col min="8968" max="8969" width="7.5625" style="554"/>
    <col min="8970" max="8970" width="6.5625" style="554" bestFit="1" customWidth="1"/>
    <col min="8971" max="8974" width="7.5625" style="554"/>
    <col min="8975" max="8975" width="2.5" style="554" customWidth="1"/>
    <col min="8976" max="9219" width="7.5625" style="554"/>
    <col min="9220" max="9220" width="3.5625" style="554" customWidth="1"/>
    <col min="9221" max="9221" width="24" style="554" customWidth="1"/>
    <col min="9222" max="9222" width="10.0625" style="554" bestFit="1" customWidth="1"/>
    <col min="9223" max="9223" width="6.5625" style="554" bestFit="1" customWidth="1"/>
    <col min="9224" max="9225" width="7.5625" style="554"/>
    <col min="9226" max="9226" width="6.5625" style="554" bestFit="1" customWidth="1"/>
    <col min="9227" max="9230" width="7.5625" style="554"/>
    <col min="9231" max="9231" width="2.5" style="554" customWidth="1"/>
    <col min="9232" max="9475" width="7.5625" style="554"/>
    <col min="9476" max="9476" width="3.5625" style="554" customWidth="1"/>
    <col min="9477" max="9477" width="24" style="554" customWidth="1"/>
    <col min="9478" max="9478" width="10.0625" style="554" bestFit="1" customWidth="1"/>
    <col min="9479" max="9479" width="6.5625" style="554" bestFit="1" customWidth="1"/>
    <col min="9480" max="9481" width="7.5625" style="554"/>
    <col min="9482" max="9482" width="6.5625" style="554" bestFit="1" customWidth="1"/>
    <col min="9483" max="9486" width="7.5625" style="554"/>
    <col min="9487" max="9487" width="2.5" style="554" customWidth="1"/>
    <col min="9488" max="9731" width="7.5625" style="554"/>
    <col min="9732" max="9732" width="3.5625" style="554" customWidth="1"/>
    <col min="9733" max="9733" width="24" style="554" customWidth="1"/>
    <col min="9734" max="9734" width="10.0625" style="554" bestFit="1" customWidth="1"/>
    <col min="9735" max="9735" width="6.5625" style="554" bestFit="1" customWidth="1"/>
    <col min="9736" max="9737" width="7.5625" style="554"/>
    <col min="9738" max="9738" width="6.5625" style="554" bestFit="1" customWidth="1"/>
    <col min="9739" max="9742" width="7.5625" style="554"/>
    <col min="9743" max="9743" width="2.5" style="554" customWidth="1"/>
    <col min="9744" max="9987" width="7.5625" style="554"/>
    <col min="9988" max="9988" width="3.5625" style="554" customWidth="1"/>
    <col min="9989" max="9989" width="24" style="554" customWidth="1"/>
    <col min="9990" max="9990" width="10.0625" style="554" bestFit="1" customWidth="1"/>
    <col min="9991" max="9991" width="6.5625" style="554" bestFit="1" customWidth="1"/>
    <col min="9992" max="9993" width="7.5625" style="554"/>
    <col min="9994" max="9994" width="6.5625" style="554" bestFit="1" customWidth="1"/>
    <col min="9995" max="9998" width="7.5625" style="554"/>
    <col min="9999" max="9999" width="2.5" style="554" customWidth="1"/>
    <col min="10000" max="10243" width="7.5625" style="554"/>
    <col min="10244" max="10244" width="3.5625" style="554" customWidth="1"/>
    <col min="10245" max="10245" width="24" style="554" customWidth="1"/>
    <col min="10246" max="10246" width="10.0625" style="554" bestFit="1" customWidth="1"/>
    <col min="10247" max="10247" width="6.5625" style="554" bestFit="1" customWidth="1"/>
    <col min="10248" max="10249" width="7.5625" style="554"/>
    <col min="10250" max="10250" width="6.5625" style="554" bestFit="1" customWidth="1"/>
    <col min="10251" max="10254" width="7.5625" style="554"/>
    <col min="10255" max="10255" width="2.5" style="554" customWidth="1"/>
    <col min="10256" max="10499" width="7.5625" style="554"/>
    <col min="10500" max="10500" width="3.5625" style="554" customWidth="1"/>
    <col min="10501" max="10501" width="24" style="554" customWidth="1"/>
    <col min="10502" max="10502" width="10.0625" style="554" bestFit="1" customWidth="1"/>
    <col min="10503" max="10503" width="6.5625" style="554" bestFit="1" customWidth="1"/>
    <col min="10504" max="10505" width="7.5625" style="554"/>
    <col min="10506" max="10506" width="6.5625" style="554" bestFit="1" customWidth="1"/>
    <col min="10507" max="10510" width="7.5625" style="554"/>
    <col min="10511" max="10511" width="2.5" style="554" customWidth="1"/>
    <col min="10512" max="10755" width="7.5625" style="554"/>
    <col min="10756" max="10756" width="3.5625" style="554" customWidth="1"/>
    <col min="10757" max="10757" width="24" style="554" customWidth="1"/>
    <col min="10758" max="10758" width="10.0625" style="554" bestFit="1" customWidth="1"/>
    <col min="10759" max="10759" width="6.5625" style="554" bestFit="1" customWidth="1"/>
    <col min="10760" max="10761" width="7.5625" style="554"/>
    <col min="10762" max="10762" width="6.5625" style="554" bestFit="1" customWidth="1"/>
    <col min="10763" max="10766" width="7.5625" style="554"/>
    <col min="10767" max="10767" width="2.5" style="554" customWidth="1"/>
    <col min="10768" max="11011" width="7.5625" style="554"/>
    <col min="11012" max="11012" width="3.5625" style="554" customWidth="1"/>
    <col min="11013" max="11013" width="24" style="554" customWidth="1"/>
    <col min="11014" max="11014" width="10.0625" style="554" bestFit="1" customWidth="1"/>
    <col min="11015" max="11015" width="6.5625" style="554" bestFit="1" customWidth="1"/>
    <col min="11016" max="11017" width="7.5625" style="554"/>
    <col min="11018" max="11018" width="6.5625" style="554" bestFit="1" customWidth="1"/>
    <col min="11019" max="11022" width="7.5625" style="554"/>
    <col min="11023" max="11023" width="2.5" style="554" customWidth="1"/>
    <col min="11024" max="11267" width="7.5625" style="554"/>
    <col min="11268" max="11268" width="3.5625" style="554" customWidth="1"/>
    <col min="11269" max="11269" width="24" style="554" customWidth="1"/>
    <col min="11270" max="11270" width="10.0625" style="554" bestFit="1" customWidth="1"/>
    <col min="11271" max="11271" width="6.5625" style="554" bestFit="1" customWidth="1"/>
    <col min="11272" max="11273" width="7.5625" style="554"/>
    <col min="11274" max="11274" width="6.5625" style="554" bestFit="1" customWidth="1"/>
    <col min="11275" max="11278" width="7.5625" style="554"/>
    <col min="11279" max="11279" width="2.5" style="554" customWidth="1"/>
    <col min="11280" max="11523" width="7.5625" style="554"/>
    <col min="11524" max="11524" width="3.5625" style="554" customWidth="1"/>
    <col min="11525" max="11525" width="24" style="554" customWidth="1"/>
    <col min="11526" max="11526" width="10.0625" style="554" bestFit="1" customWidth="1"/>
    <col min="11527" max="11527" width="6.5625" style="554" bestFit="1" customWidth="1"/>
    <col min="11528" max="11529" width="7.5625" style="554"/>
    <col min="11530" max="11530" width="6.5625" style="554" bestFit="1" customWidth="1"/>
    <col min="11531" max="11534" width="7.5625" style="554"/>
    <col min="11535" max="11535" width="2.5" style="554" customWidth="1"/>
    <col min="11536" max="11779" width="7.5625" style="554"/>
    <col min="11780" max="11780" width="3.5625" style="554" customWidth="1"/>
    <col min="11781" max="11781" width="24" style="554" customWidth="1"/>
    <col min="11782" max="11782" width="10.0625" style="554" bestFit="1" customWidth="1"/>
    <col min="11783" max="11783" width="6.5625" style="554" bestFit="1" customWidth="1"/>
    <col min="11784" max="11785" width="7.5625" style="554"/>
    <col min="11786" max="11786" width="6.5625" style="554" bestFit="1" customWidth="1"/>
    <col min="11787" max="11790" width="7.5625" style="554"/>
    <col min="11791" max="11791" width="2.5" style="554" customWidth="1"/>
    <col min="11792" max="12035" width="7.5625" style="554"/>
    <col min="12036" max="12036" width="3.5625" style="554" customWidth="1"/>
    <col min="12037" max="12037" width="24" style="554" customWidth="1"/>
    <col min="12038" max="12038" width="10.0625" style="554" bestFit="1" customWidth="1"/>
    <col min="12039" max="12039" width="6.5625" style="554" bestFit="1" customWidth="1"/>
    <col min="12040" max="12041" width="7.5625" style="554"/>
    <col min="12042" max="12042" width="6.5625" style="554" bestFit="1" customWidth="1"/>
    <col min="12043" max="12046" width="7.5625" style="554"/>
    <col min="12047" max="12047" width="2.5" style="554" customWidth="1"/>
    <col min="12048" max="12291" width="7.5625" style="554"/>
    <col min="12292" max="12292" width="3.5625" style="554" customWidth="1"/>
    <col min="12293" max="12293" width="24" style="554" customWidth="1"/>
    <col min="12294" max="12294" width="10.0625" style="554" bestFit="1" customWidth="1"/>
    <col min="12295" max="12295" width="6.5625" style="554" bestFit="1" customWidth="1"/>
    <col min="12296" max="12297" width="7.5625" style="554"/>
    <col min="12298" max="12298" width="6.5625" style="554" bestFit="1" customWidth="1"/>
    <col min="12299" max="12302" width="7.5625" style="554"/>
    <col min="12303" max="12303" width="2.5" style="554" customWidth="1"/>
    <col min="12304" max="12547" width="7.5625" style="554"/>
    <col min="12548" max="12548" width="3.5625" style="554" customWidth="1"/>
    <col min="12549" max="12549" width="24" style="554" customWidth="1"/>
    <col min="12550" max="12550" width="10.0625" style="554" bestFit="1" customWidth="1"/>
    <col min="12551" max="12551" width="6.5625" style="554" bestFit="1" customWidth="1"/>
    <col min="12552" max="12553" width="7.5625" style="554"/>
    <col min="12554" max="12554" width="6.5625" style="554" bestFit="1" customWidth="1"/>
    <col min="12555" max="12558" width="7.5625" style="554"/>
    <col min="12559" max="12559" width="2.5" style="554" customWidth="1"/>
    <col min="12560" max="12803" width="7.5625" style="554"/>
    <col min="12804" max="12804" width="3.5625" style="554" customWidth="1"/>
    <col min="12805" max="12805" width="24" style="554" customWidth="1"/>
    <col min="12806" max="12806" width="10.0625" style="554" bestFit="1" customWidth="1"/>
    <col min="12807" max="12807" width="6.5625" style="554" bestFit="1" customWidth="1"/>
    <col min="12808" max="12809" width="7.5625" style="554"/>
    <col min="12810" max="12810" width="6.5625" style="554" bestFit="1" customWidth="1"/>
    <col min="12811" max="12814" width="7.5625" style="554"/>
    <col min="12815" max="12815" width="2.5" style="554" customWidth="1"/>
    <col min="12816" max="13059" width="7.5625" style="554"/>
    <col min="13060" max="13060" width="3.5625" style="554" customWidth="1"/>
    <col min="13061" max="13061" width="24" style="554" customWidth="1"/>
    <col min="13062" max="13062" width="10.0625" style="554" bestFit="1" customWidth="1"/>
    <col min="13063" max="13063" width="6.5625" style="554" bestFit="1" customWidth="1"/>
    <col min="13064" max="13065" width="7.5625" style="554"/>
    <col min="13066" max="13066" width="6.5625" style="554" bestFit="1" customWidth="1"/>
    <col min="13067" max="13070" width="7.5625" style="554"/>
    <col min="13071" max="13071" width="2.5" style="554" customWidth="1"/>
    <col min="13072" max="13315" width="7.5625" style="554"/>
    <col min="13316" max="13316" width="3.5625" style="554" customWidth="1"/>
    <col min="13317" max="13317" width="24" style="554" customWidth="1"/>
    <col min="13318" max="13318" width="10.0625" style="554" bestFit="1" customWidth="1"/>
    <col min="13319" max="13319" width="6.5625" style="554" bestFit="1" customWidth="1"/>
    <col min="13320" max="13321" width="7.5625" style="554"/>
    <col min="13322" max="13322" width="6.5625" style="554" bestFit="1" customWidth="1"/>
    <col min="13323" max="13326" width="7.5625" style="554"/>
    <col min="13327" max="13327" width="2.5" style="554" customWidth="1"/>
    <col min="13328" max="13571" width="7.5625" style="554"/>
    <col min="13572" max="13572" width="3.5625" style="554" customWidth="1"/>
    <col min="13573" max="13573" width="24" style="554" customWidth="1"/>
    <col min="13574" max="13574" width="10.0625" style="554" bestFit="1" customWidth="1"/>
    <col min="13575" max="13575" width="6.5625" style="554" bestFit="1" customWidth="1"/>
    <col min="13576" max="13577" width="7.5625" style="554"/>
    <col min="13578" max="13578" width="6.5625" style="554" bestFit="1" customWidth="1"/>
    <col min="13579" max="13582" width="7.5625" style="554"/>
    <col min="13583" max="13583" width="2.5" style="554" customWidth="1"/>
    <col min="13584" max="13827" width="7.5625" style="554"/>
    <col min="13828" max="13828" width="3.5625" style="554" customWidth="1"/>
    <col min="13829" max="13829" width="24" style="554" customWidth="1"/>
    <col min="13830" max="13830" width="10.0625" style="554" bestFit="1" customWidth="1"/>
    <col min="13831" max="13831" width="6.5625" style="554" bestFit="1" customWidth="1"/>
    <col min="13832" max="13833" width="7.5625" style="554"/>
    <col min="13834" max="13834" width="6.5625" style="554" bestFit="1" customWidth="1"/>
    <col min="13835" max="13838" width="7.5625" style="554"/>
    <col min="13839" max="13839" width="2.5" style="554" customWidth="1"/>
    <col min="13840" max="14083" width="7.5625" style="554"/>
    <col min="14084" max="14084" width="3.5625" style="554" customWidth="1"/>
    <col min="14085" max="14085" width="24" style="554" customWidth="1"/>
    <col min="14086" max="14086" width="10.0625" style="554" bestFit="1" customWidth="1"/>
    <col min="14087" max="14087" width="6.5625" style="554" bestFit="1" customWidth="1"/>
    <col min="14088" max="14089" width="7.5625" style="554"/>
    <col min="14090" max="14090" width="6.5625" style="554" bestFit="1" customWidth="1"/>
    <col min="14091" max="14094" width="7.5625" style="554"/>
    <col min="14095" max="14095" width="2.5" style="554" customWidth="1"/>
    <col min="14096" max="14339" width="7.5625" style="554"/>
    <col min="14340" max="14340" width="3.5625" style="554" customWidth="1"/>
    <col min="14341" max="14341" width="24" style="554" customWidth="1"/>
    <col min="14342" max="14342" width="10.0625" style="554" bestFit="1" customWidth="1"/>
    <col min="14343" max="14343" width="6.5625" style="554" bestFit="1" customWidth="1"/>
    <col min="14344" max="14345" width="7.5625" style="554"/>
    <col min="14346" max="14346" width="6.5625" style="554" bestFit="1" customWidth="1"/>
    <col min="14347" max="14350" width="7.5625" style="554"/>
    <col min="14351" max="14351" width="2.5" style="554" customWidth="1"/>
    <col min="14352" max="14595" width="7.5625" style="554"/>
    <col min="14596" max="14596" width="3.5625" style="554" customWidth="1"/>
    <col min="14597" max="14597" width="24" style="554" customWidth="1"/>
    <col min="14598" max="14598" width="10.0625" style="554" bestFit="1" customWidth="1"/>
    <col min="14599" max="14599" width="6.5625" style="554" bestFit="1" customWidth="1"/>
    <col min="14600" max="14601" width="7.5625" style="554"/>
    <col min="14602" max="14602" width="6.5625" style="554" bestFit="1" customWidth="1"/>
    <col min="14603" max="14606" width="7.5625" style="554"/>
    <col min="14607" max="14607" width="2.5" style="554" customWidth="1"/>
    <col min="14608" max="14851" width="7.5625" style="554"/>
    <col min="14852" max="14852" width="3.5625" style="554" customWidth="1"/>
    <col min="14853" max="14853" width="24" style="554" customWidth="1"/>
    <col min="14854" max="14854" width="10.0625" style="554" bestFit="1" customWidth="1"/>
    <col min="14855" max="14855" width="6.5625" style="554" bestFit="1" customWidth="1"/>
    <col min="14856" max="14857" width="7.5625" style="554"/>
    <col min="14858" max="14858" width="6.5625" style="554" bestFit="1" customWidth="1"/>
    <col min="14859" max="14862" width="7.5625" style="554"/>
    <col min="14863" max="14863" width="2.5" style="554" customWidth="1"/>
    <col min="14864" max="15107" width="7.5625" style="554"/>
    <col min="15108" max="15108" width="3.5625" style="554" customWidth="1"/>
    <col min="15109" max="15109" width="24" style="554" customWidth="1"/>
    <col min="15110" max="15110" width="10.0625" style="554" bestFit="1" customWidth="1"/>
    <col min="15111" max="15111" width="6.5625" style="554" bestFit="1" customWidth="1"/>
    <col min="15112" max="15113" width="7.5625" style="554"/>
    <col min="15114" max="15114" width="6.5625" style="554" bestFit="1" customWidth="1"/>
    <col min="15115" max="15118" width="7.5625" style="554"/>
    <col min="15119" max="15119" width="2.5" style="554" customWidth="1"/>
    <col min="15120" max="15363" width="7.5625" style="554"/>
    <col min="15364" max="15364" width="3.5625" style="554" customWidth="1"/>
    <col min="15365" max="15365" width="24" style="554" customWidth="1"/>
    <col min="15366" max="15366" width="10.0625" style="554" bestFit="1" customWidth="1"/>
    <col min="15367" max="15367" width="6.5625" style="554" bestFit="1" customWidth="1"/>
    <col min="15368" max="15369" width="7.5625" style="554"/>
    <col min="15370" max="15370" width="6.5625" style="554" bestFit="1" customWidth="1"/>
    <col min="15371" max="15374" width="7.5625" style="554"/>
    <col min="15375" max="15375" width="2.5" style="554" customWidth="1"/>
    <col min="15376" max="15619" width="7.5625" style="554"/>
    <col min="15620" max="15620" width="3.5625" style="554" customWidth="1"/>
    <col min="15621" max="15621" width="24" style="554" customWidth="1"/>
    <col min="15622" max="15622" width="10.0625" style="554" bestFit="1" customWidth="1"/>
    <col min="15623" max="15623" width="6.5625" style="554" bestFit="1" customWidth="1"/>
    <col min="15624" max="15625" width="7.5625" style="554"/>
    <col min="15626" max="15626" width="6.5625" style="554" bestFit="1" customWidth="1"/>
    <col min="15627" max="15630" width="7.5625" style="554"/>
    <col min="15631" max="15631" width="2.5" style="554" customWidth="1"/>
    <col min="15632" max="15875" width="7.5625" style="554"/>
    <col min="15876" max="15876" width="3.5625" style="554" customWidth="1"/>
    <col min="15877" max="15877" width="24" style="554" customWidth="1"/>
    <col min="15878" max="15878" width="10.0625" style="554" bestFit="1" customWidth="1"/>
    <col min="15879" max="15879" width="6.5625" style="554" bestFit="1" customWidth="1"/>
    <col min="15880" max="15881" width="7.5625" style="554"/>
    <col min="15882" max="15882" width="6.5625" style="554" bestFit="1" customWidth="1"/>
    <col min="15883" max="15886" width="7.5625" style="554"/>
    <col min="15887" max="15887" width="2.5" style="554" customWidth="1"/>
    <col min="15888" max="16131" width="7.5625" style="554"/>
    <col min="16132" max="16132" width="3.5625" style="554" customWidth="1"/>
    <col min="16133" max="16133" width="24" style="554" customWidth="1"/>
    <col min="16134" max="16134" width="10.0625" style="554" bestFit="1" customWidth="1"/>
    <col min="16135" max="16135" width="6.5625" style="554" bestFit="1" customWidth="1"/>
    <col min="16136" max="16137" width="7.5625" style="554"/>
    <col min="16138" max="16138" width="6.5625" style="554" bestFit="1" customWidth="1"/>
    <col min="16139" max="16142" width="7.5625" style="554"/>
    <col min="16143" max="16143" width="2.5" style="554" customWidth="1"/>
    <col min="16144" max="16384" width="7.5625" style="554"/>
  </cols>
  <sheetData>
    <row r="1" spans="2:22" ht="10.5" customHeight="1"/>
    <row r="2" spans="2:22" s="594" customFormat="1" ht="15">
      <c r="B2" s="530" t="str">
        <f>IS!B2</f>
        <v>DocuSign, Inc (DOCU)</v>
      </c>
      <c r="C2" s="530"/>
      <c r="D2" s="595"/>
      <c r="E2" s="595"/>
      <c r="F2" s="595"/>
      <c r="G2" s="595"/>
      <c r="H2" s="595"/>
      <c r="I2" s="595"/>
      <c r="J2" s="1168"/>
      <c r="K2" s="1168"/>
      <c r="L2" s="595"/>
      <c r="M2" s="595"/>
      <c r="N2" s="841"/>
      <c r="O2" s="595"/>
      <c r="P2" s="574"/>
      <c r="Q2" s="531"/>
      <c r="R2" s="531"/>
      <c r="S2" s="147"/>
      <c r="T2" s="147"/>
      <c r="U2" s="147"/>
      <c r="V2" s="147"/>
    </row>
    <row r="3" spans="2:22" ht="5.55" customHeight="1">
      <c r="B3" s="532"/>
      <c r="C3" s="532"/>
      <c r="D3" s="1235"/>
      <c r="E3" s="1235"/>
      <c r="F3" s="531"/>
      <c r="G3" s="1235"/>
      <c r="H3" s="1235"/>
      <c r="I3" s="531"/>
      <c r="J3" s="1235"/>
      <c r="K3" s="1235"/>
      <c r="L3" s="533"/>
      <c r="M3" s="533"/>
      <c r="N3" s="842"/>
      <c r="O3" s="533"/>
      <c r="P3" s="531"/>
      <c r="Q3" s="531"/>
      <c r="R3" s="531"/>
      <c r="S3" s="147"/>
      <c r="T3" s="147"/>
      <c r="U3" s="147"/>
      <c r="V3" s="147"/>
    </row>
    <row r="4" spans="2:22" ht="15" customHeight="1">
      <c r="B4" s="1176" t="s">
        <v>130</v>
      </c>
      <c r="C4" s="1177"/>
      <c r="D4" s="1178" t="str">
        <f>IS!BO4</f>
        <v>3Q25</v>
      </c>
      <c r="E4" s="1178" t="str">
        <f>K4</f>
        <v>3Q26</v>
      </c>
      <c r="F4" s="1179" t="s">
        <v>563</v>
      </c>
      <c r="G4" s="1178" t="str">
        <f>IS!BS4</f>
        <v>2Q26</v>
      </c>
      <c r="H4" s="1178" t="str">
        <f>K4</f>
        <v>3Q26</v>
      </c>
      <c r="I4" s="1179" t="s">
        <v>564</v>
      </c>
      <c r="J4" s="1178" t="s">
        <v>599</v>
      </c>
      <c r="K4" s="1178" t="str">
        <f>IS!BT4</f>
        <v>3Q26</v>
      </c>
      <c r="L4" s="1179" t="s">
        <v>565</v>
      </c>
      <c r="M4" s="1164"/>
      <c r="N4" s="1165" t="s">
        <v>575</v>
      </c>
      <c r="O4" s="534"/>
      <c r="P4" s="1029" t="s">
        <v>576</v>
      </c>
      <c r="Q4" s="1031" t="s">
        <v>577</v>
      </c>
      <c r="R4" s="1030" t="s">
        <v>578</v>
      </c>
      <c r="S4" s="1031" t="s">
        <v>473</v>
      </c>
      <c r="T4" s="1031" t="s">
        <v>474</v>
      </c>
      <c r="U4" s="1031" t="s">
        <v>409</v>
      </c>
      <c r="V4" s="1030" t="s">
        <v>567</v>
      </c>
    </row>
    <row r="5" spans="2:22" ht="18" customHeight="1">
      <c r="B5" s="600" t="s">
        <v>194</v>
      </c>
      <c r="C5" s="535"/>
      <c r="D5" s="536">
        <f>IS!BO5</f>
        <v>734693</v>
      </c>
      <c r="E5" s="536">
        <f>K5</f>
        <v>800958</v>
      </c>
      <c r="F5" s="1052">
        <f>E5/D5-1</f>
        <v>9.0194135509661821E-2</v>
      </c>
      <c r="G5" s="536">
        <f>IS!BS5</f>
        <v>784388</v>
      </c>
      <c r="H5" s="536">
        <f>K5</f>
        <v>800958</v>
      </c>
      <c r="I5" s="1052">
        <f>H5/G5-1</f>
        <v>2.1124749486223671E-2</v>
      </c>
      <c r="J5" s="536">
        <v>788325.58899999992</v>
      </c>
      <c r="K5" s="536">
        <f>IS!BT5</f>
        <v>800958</v>
      </c>
      <c r="L5" s="1052">
        <f>K5/J5-1</f>
        <v>1.6024357418138013E-2</v>
      </c>
      <c r="M5" s="1150"/>
      <c r="N5" s="851">
        <f>K5-J5</f>
        <v>12632.41100000008</v>
      </c>
      <c r="O5" s="534"/>
      <c r="P5" s="1033">
        <v>564000</v>
      </c>
      <c r="Q5" s="1039">
        <f>(583000+587000)/2</f>
        <v>585000</v>
      </c>
      <c r="R5" s="1035">
        <v>581000</v>
      </c>
      <c r="S5" s="1039">
        <f>(2394000+2406000)/2</f>
        <v>2400000</v>
      </c>
      <c r="T5" s="1039">
        <f>(2394000+2406000)/2</f>
        <v>2400000</v>
      </c>
      <c r="U5" s="1039">
        <f>IF(AND(ISNUMBER(T5), ISNUMBER(S5)), T5-S5, "-")</f>
        <v>0</v>
      </c>
      <c r="V5" s="1035">
        <v>2401000</v>
      </c>
    </row>
    <row r="6" spans="2:22" ht="15" customHeight="1">
      <c r="B6" s="600" t="s">
        <v>195</v>
      </c>
      <c r="C6" s="535"/>
      <c r="D6" s="536">
        <f>IS!BO9</f>
        <v>20127</v>
      </c>
      <c r="E6" s="536">
        <f>K6</f>
        <v>17392</v>
      </c>
      <c r="F6" s="1052">
        <f>E6/D6-1</f>
        <v>-0.13588711680826748</v>
      </c>
      <c r="G6" s="536">
        <f>IS!BS9</f>
        <v>16248</v>
      </c>
      <c r="H6" s="536">
        <f>K6</f>
        <v>17392</v>
      </c>
      <c r="I6" s="1052">
        <f>H6/G6-1</f>
        <v>7.0408665681930049E-2</v>
      </c>
      <c r="J6" s="536">
        <v>17913.03</v>
      </c>
      <c r="K6" s="536">
        <f>IS!BT9</f>
        <v>17392</v>
      </c>
      <c r="L6" s="1052">
        <f>K6/J6-1</f>
        <v>-2.9086648099176937E-2</v>
      </c>
      <c r="M6" s="1150"/>
      <c r="N6" s="851">
        <f>K6-J6</f>
        <v>-521.02999999999884</v>
      </c>
      <c r="O6" s="534"/>
      <c r="P6" s="1034">
        <v>17000</v>
      </c>
      <c r="Q6" s="1040">
        <f>Q7-Q5</f>
        <v>17000</v>
      </c>
      <c r="R6" s="1036">
        <v>20000</v>
      </c>
      <c r="S6" s="1040">
        <f>S7-S5</f>
        <v>76000</v>
      </c>
      <c r="T6" s="1040">
        <f>T7-T5</f>
        <v>76000</v>
      </c>
      <c r="U6" s="1040">
        <f>IF(AND(ISNUMBER(T6), ISNUMBER(S6)), T6-S6, "-")</f>
        <v>0</v>
      </c>
      <c r="V6" s="1036">
        <v>74000</v>
      </c>
    </row>
    <row r="7" spans="2:22" ht="15" customHeight="1">
      <c r="B7" s="601" t="s">
        <v>181</v>
      </c>
      <c r="C7" s="598"/>
      <c r="D7" s="602">
        <f>D5+D6</f>
        <v>754820</v>
      </c>
      <c r="E7" s="602">
        <f t="shared" ref="E7:E46" si="0">K7</f>
        <v>818350</v>
      </c>
      <c r="F7" s="1053">
        <f>E7/D7-1</f>
        <v>8.4165761373572456E-2</v>
      </c>
      <c r="G7" s="602">
        <f>G5+G6</f>
        <v>800636</v>
      </c>
      <c r="H7" s="602">
        <f t="shared" ref="H7:H46" si="1">K7</f>
        <v>818350</v>
      </c>
      <c r="I7" s="1053">
        <f>H7/G7-1</f>
        <v>2.2124910695996647E-2</v>
      </c>
      <c r="J7" s="602">
        <v>806238.61899999995</v>
      </c>
      <c r="K7" s="602">
        <f>K5+K6</f>
        <v>818350</v>
      </c>
      <c r="L7" s="1053">
        <f>K7/J7-1</f>
        <v>1.5022079958191714E-2</v>
      </c>
      <c r="M7" s="1151"/>
      <c r="N7" s="851">
        <f>K7-J7</f>
        <v>12111.381000000052</v>
      </c>
      <c r="O7" s="531"/>
      <c r="P7" s="1032">
        <v>583000</v>
      </c>
      <c r="Q7" s="1038">
        <f>(600000+604000)/2</f>
        <v>602000</v>
      </c>
      <c r="R7" s="1037">
        <v>601000</v>
      </c>
      <c r="S7" s="1038">
        <f>(2470000+2482000)/2</f>
        <v>2476000</v>
      </c>
      <c r="T7" s="1038">
        <f>(2470000+2482000)/2</f>
        <v>2476000</v>
      </c>
      <c r="U7" s="1038">
        <f>IF(AND(ISNUMBER(T7), ISNUMBER(S7)), T7-S7, "-")</f>
        <v>0</v>
      </c>
      <c r="V7" s="1037">
        <v>2476000</v>
      </c>
    </row>
    <row r="8" spans="2:22" ht="5.55" customHeight="1">
      <c r="B8" s="603"/>
      <c r="C8" s="538"/>
      <c r="D8" s="539"/>
      <c r="E8" s="539"/>
      <c r="F8" s="1054"/>
      <c r="G8" s="539"/>
      <c r="H8" s="539"/>
      <c r="I8" s="1054"/>
      <c r="J8" s="539"/>
      <c r="K8" s="539"/>
      <c r="L8" s="1054"/>
      <c r="M8" s="1151"/>
      <c r="N8" s="844"/>
      <c r="O8" s="531"/>
      <c r="P8" s="625"/>
      <c r="Q8" s="626"/>
      <c r="R8" s="627"/>
      <c r="S8" s="626"/>
      <c r="T8" s="626"/>
      <c r="U8" s="626"/>
      <c r="V8" s="627"/>
    </row>
    <row r="9" spans="2:22" ht="15" customHeight="1">
      <c r="B9" s="603" t="s">
        <v>96</v>
      </c>
      <c r="C9" s="538"/>
      <c r="D9" s="541"/>
      <c r="E9" s="541"/>
      <c r="F9" s="1054"/>
      <c r="G9" s="541"/>
      <c r="H9" s="541"/>
      <c r="I9" s="1054"/>
      <c r="J9" s="541"/>
      <c r="K9" s="541"/>
      <c r="L9" s="1054"/>
      <c r="M9" s="1151"/>
      <c r="N9" s="844"/>
      <c r="O9" s="537"/>
      <c r="P9" s="628"/>
      <c r="Q9" s="629"/>
      <c r="R9" s="630"/>
      <c r="S9" s="629"/>
      <c r="T9" s="629"/>
      <c r="U9" s="629"/>
      <c r="V9" s="630"/>
    </row>
    <row r="10" spans="2:22" ht="15" customHeight="1">
      <c r="B10" s="600" t="s">
        <v>194</v>
      </c>
      <c r="C10" s="538"/>
      <c r="D10" s="541">
        <f>IS!BO18</f>
        <v>115585</v>
      </c>
      <c r="E10" s="541">
        <f>K10</f>
        <v>132970</v>
      </c>
      <c r="F10" s="1052">
        <f>E10/D10-1</f>
        <v>0.15040879006791541</v>
      </c>
      <c r="G10" s="541">
        <f>IS!BS18</f>
        <v>126890</v>
      </c>
      <c r="H10" s="541">
        <f>K10</f>
        <v>132970</v>
      </c>
      <c r="I10" s="1052">
        <f>H10/G10-1</f>
        <v>4.7915517377255856E-2</v>
      </c>
      <c r="J10" s="541">
        <v>137956.97807500002</v>
      </c>
      <c r="K10" s="541">
        <f>IS!BT18</f>
        <v>132970</v>
      </c>
      <c r="L10" s="1052">
        <f>K10/J10-1</f>
        <v>-3.6148791779774037E-2</v>
      </c>
      <c r="M10" s="1150"/>
      <c r="N10" s="843"/>
      <c r="O10" s="537"/>
      <c r="P10" s="628"/>
      <c r="Q10" s="629"/>
      <c r="R10" s="630"/>
      <c r="S10" s="629"/>
      <c r="T10" s="629"/>
      <c r="U10" s="629"/>
      <c r="V10" s="630"/>
    </row>
    <row r="11" spans="2:22" ht="15" customHeight="1">
      <c r="B11" s="600" t="s">
        <v>195</v>
      </c>
      <c r="C11" s="538"/>
      <c r="D11" s="541">
        <f>IS!BO20</f>
        <v>16865</v>
      </c>
      <c r="E11" s="541">
        <f>K11</f>
        <v>15891</v>
      </c>
      <c r="F11" s="1052">
        <f>E11/D11-1</f>
        <v>-5.7752742365846377E-2</v>
      </c>
      <c r="G11" s="541">
        <f>IS!BS20</f>
        <v>16844</v>
      </c>
      <c r="H11" s="541">
        <f>K11</f>
        <v>15891</v>
      </c>
      <c r="I11" s="1052">
        <f>H11/G11-1</f>
        <v>-5.6578009973877963E-2</v>
      </c>
      <c r="J11" s="541">
        <v>16838.248199999998</v>
      </c>
      <c r="K11" s="541">
        <f>IS!BT20</f>
        <v>15891</v>
      </c>
      <c r="L11" s="1052">
        <f>K11/J11-1</f>
        <v>-5.6255745179002559E-2</v>
      </c>
      <c r="M11" s="1150"/>
      <c r="N11" s="843"/>
      <c r="O11" s="537"/>
      <c r="P11" s="622"/>
      <c r="Q11" s="623"/>
      <c r="R11" s="624"/>
      <c r="S11" s="623"/>
      <c r="T11" s="623"/>
      <c r="U11" s="623"/>
      <c r="V11" s="624"/>
    </row>
    <row r="12" spans="2:22" ht="15" customHeight="1">
      <c r="B12" s="604" t="s">
        <v>94</v>
      </c>
      <c r="C12" s="596"/>
      <c r="D12" s="597">
        <f>D10+D11</f>
        <v>132450</v>
      </c>
      <c r="E12" s="597">
        <f t="shared" si="0"/>
        <v>148861</v>
      </c>
      <c r="F12" s="1055">
        <f>E12/D12-1</f>
        <v>0.12390335975839939</v>
      </c>
      <c r="G12" s="597">
        <f>G10+G11</f>
        <v>143734</v>
      </c>
      <c r="H12" s="597">
        <f t="shared" si="1"/>
        <v>148861</v>
      </c>
      <c r="I12" s="1055">
        <f>H12/G12-1</f>
        <v>3.5670057188974091E-2</v>
      </c>
      <c r="J12" s="597">
        <v>154795.22627500002</v>
      </c>
      <c r="K12" s="597">
        <f>K10+K11</f>
        <v>148861</v>
      </c>
      <c r="L12" s="1055">
        <f>K12/J12-1</f>
        <v>-3.8335977263650456E-2</v>
      </c>
      <c r="M12" s="1152"/>
      <c r="N12" s="845"/>
      <c r="O12" s="537"/>
      <c r="P12" s="631"/>
      <c r="Q12" s="632"/>
      <c r="R12" s="633"/>
      <c r="S12" s="632"/>
      <c r="T12" s="632"/>
      <c r="U12" s="632"/>
      <c r="V12" s="633"/>
    </row>
    <row r="13" spans="2:22" ht="5.55" customHeight="1">
      <c r="B13" s="603"/>
      <c r="C13" s="538"/>
      <c r="D13" s="541"/>
      <c r="E13" s="541"/>
      <c r="F13" s="1056"/>
      <c r="G13" s="541"/>
      <c r="H13" s="541"/>
      <c r="I13" s="1056"/>
      <c r="J13" s="541"/>
      <c r="K13" s="541"/>
      <c r="L13" s="1056"/>
      <c r="M13" s="1152"/>
      <c r="N13" s="845"/>
      <c r="O13" s="537"/>
      <c r="P13" s="634"/>
      <c r="Q13" s="635"/>
      <c r="R13" s="636"/>
      <c r="S13" s="635"/>
      <c r="T13" s="635"/>
      <c r="U13" s="635"/>
      <c r="V13" s="636"/>
    </row>
    <row r="14" spans="2:22" ht="15" customHeight="1">
      <c r="B14" s="601" t="s">
        <v>93</v>
      </c>
      <c r="C14" s="598"/>
      <c r="D14" s="599">
        <f>D7-D12</f>
        <v>622370</v>
      </c>
      <c r="E14" s="599">
        <f t="shared" si="0"/>
        <v>669489</v>
      </c>
      <c r="F14" s="1057">
        <f>E14/D14-1</f>
        <v>7.570898340215626E-2</v>
      </c>
      <c r="G14" s="599">
        <f>G7-G12</f>
        <v>656902</v>
      </c>
      <c r="H14" s="599">
        <f t="shared" si="1"/>
        <v>669489</v>
      </c>
      <c r="I14" s="1057">
        <f>H14/G14-1</f>
        <v>1.9161153414055665E-2</v>
      </c>
      <c r="J14" s="599">
        <v>651443.39272499993</v>
      </c>
      <c r="K14" s="599">
        <f>K7-K12</f>
        <v>669489</v>
      </c>
      <c r="L14" s="1057">
        <f>K14/J14-1</f>
        <v>2.7700959863166341E-2</v>
      </c>
      <c r="M14" s="1153"/>
      <c r="N14" s="851">
        <f>K14-J14</f>
        <v>18045.607275000075</v>
      </c>
      <c r="O14" s="537"/>
      <c r="P14" s="1041">
        <v>467000</v>
      </c>
      <c r="Q14" s="1047">
        <f>Q15*Q7</f>
        <v>481600</v>
      </c>
      <c r="R14" s="1042">
        <v>482000</v>
      </c>
      <c r="S14" s="1047">
        <f>(1951000+2010000)/2</f>
        <v>1980500</v>
      </c>
      <c r="T14" s="1047">
        <f>T15*T7</f>
        <v>1980800</v>
      </c>
      <c r="U14" s="1043">
        <f>IF(AND(ISNUMBER(T14), ISNUMBER(S14)), T14-S14, "-")</f>
        <v>300</v>
      </c>
      <c r="V14" s="1042">
        <v>1971000</v>
      </c>
    </row>
    <row r="15" spans="2:22" ht="15" customHeight="1">
      <c r="B15" s="603"/>
      <c r="C15" s="586" t="s">
        <v>95</v>
      </c>
      <c r="D15" s="540">
        <f>D14/D7</f>
        <v>0.8245277019686813</v>
      </c>
      <c r="E15" s="540">
        <f t="shared" si="0"/>
        <v>0.81809616912079186</v>
      </c>
      <c r="F15" s="1058"/>
      <c r="G15" s="540">
        <f>G14/G7</f>
        <v>0.82047522219835234</v>
      </c>
      <c r="H15" s="540">
        <f t="shared" si="1"/>
        <v>0.81809616912079186</v>
      </c>
      <c r="I15" s="1058"/>
      <c r="J15" s="540">
        <v>0.80800321067850012</v>
      </c>
      <c r="K15" s="540">
        <f>K14/K7</f>
        <v>0.81809616912079186</v>
      </c>
      <c r="L15" s="1058"/>
      <c r="M15" s="1153"/>
      <c r="N15" s="1166">
        <f>K15-D15</f>
        <v>-6.4315328478894429E-3</v>
      </c>
      <c r="O15" s="537"/>
      <c r="P15" s="837">
        <f>P14/P7</f>
        <v>0.80102915951972553</v>
      </c>
      <c r="Q15" s="839">
        <v>0.8</v>
      </c>
      <c r="R15" s="680">
        <f>R14/R7</f>
        <v>0.80199667221297832</v>
      </c>
      <c r="S15" s="838">
        <f>S14/S7</f>
        <v>0.79987883683360261</v>
      </c>
      <c r="T15" s="838">
        <v>0.8</v>
      </c>
      <c r="U15" s="637"/>
      <c r="V15" s="680">
        <f>V14/V7</f>
        <v>0.79604200323101781</v>
      </c>
    </row>
    <row r="16" spans="2:22" ht="5.55" customHeight="1">
      <c r="B16" s="605"/>
      <c r="C16" s="535"/>
      <c r="D16" s="542"/>
      <c r="E16" s="543"/>
      <c r="F16" s="1056"/>
      <c r="G16" s="542"/>
      <c r="H16" s="542"/>
      <c r="I16" s="1056"/>
      <c r="J16" s="542"/>
      <c r="K16" s="542"/>
      <c r="L16" s="1056"/>
      <c r="M16" s="1152"/>
      <c r="N16" s="844"/>
      <c r="O16" s="544"/>
      <c r="P16" s="638"/>
      <c r="Q16" s="639"/>
      <c r="R16" s="640"/>
      <c r="S16" s="639"/>
      <c r="T16" s="639"/>
      <c r="U16" s="639"/>
      <c r="V16" s="640"/>
    </row>
    <row r="17" spans="2:22" ht="15" customHeight="1">
      <c r="B17" s="603" t="s">
        <v>92</v>
      </c>
      <c r="C17" s="538"/>
      <c r="D17" s="543"/>
      <c r="E17" s="543"/>
      <c r="F17" s="1056"/>
      <c r="G17" s="543"/>
      <c r="H17" s="542"/>
      <c r="I17" s="1056"/>
      <c r="J17" s="543"/>
      <c r="K17" s="543"/>
      <c r="L17" s="1056"/>
      <c r="M17" s="1152"/>
      <c r="N17" s="844"/>
      <c r="O17" s="544"/>
      <c r="P17" s="641"/>
      <c r="Q17" s="642"/>
      <c r="R17" s="643"/>
      <c r="S17" s="642"/>
      <c r="T17" s="642"/>
      <c r="U17" s="642"/>
      <c r="V17" s="643"/>
    </row>
    <row r="18" spans="2:22" ht="15" customHeight="1">
      <c r="B18" s="600" t="s">
        <v>407</v>
      </c>
      <c r="C18" s="535"/>
      <c r="D18" s="545">
        <f>IS!BO27</f>
        <v>236278</v>
      </c>
      <c r="E18" s="545">
        <f t="shared" si="0"/>
        <v>242764</v>
      </c>
      <c r="F18" s="1059">
        <f>E18/D18-1</f>
        <v>2.7450714835913548E-2</v>
      </c>
      <c r="G18" s="545">
        <f>IS!BS27</f>
        <v>250053</v>
      </c>
      <c r="H18" s="545">
        <f t="shared" si="1"/>
        <v>242764</v>
      </c>
      <c r="I18" s="1059">
        <f>H18/G18-1</f>
        <v>-2.9149820238109525E-2</v>
      </c>
      <c r="J18" s="545">
        <v>253965.16498499998</v>
      </c>
      <c r="K18" s="545">
        <f>IS!BT27</f>
        <v>242764</v>
      </c>
      <c r="L18" s="1059">
        <f>K18/J18-1</f>
        <v>-4.4105123573390692E-2</v>
      </c>
      <c r="M18" s="1154"/>
      <c r="N18" s="851">
        <f>K18-J18</f>
        <v>-11201.164984999981</v>
      </c>
      <c r="O18" s="547"/>
      <c r="P18" s="641"/>
      <c r="Q18" s="642"/>
      <c r="R18" s="643"/>
      <c r="S18" s="642"/>
      <c r="T18" s="642"/>
      <c r="U18" s="642"/>
      <c r="V18" s="643"/>
    </row>
    <row r="19" spans="2:22" ht="15" customHeight="1">
      <c r="B19" s="600" t="s">
        <v>17</v>
      </c>
      <c r="C19" s="531"/>
      <c r="D19" s="545">
        <f>IS!BO29</f>
        <v>96644</v>
      </c>
      <c r="E19" s="545">
        <f t="shared" si="0"/>
        <v>104902</v>
      </c>
      <c r="F19" s="1059">
        <f>E19/D19-1</f>
        <v>8.544762220106783E-2</v>
      </c>
      <c r="G19" s="545">
        <f>IS!BS29</f>
        <v>105165</v>
      </c>
      <c r="H19" s="545">
        <f t="shared" si="1"/>
        <v>104902</v>
      </c>
      <c r="I19" s="1059">
        <f>H19/G19-1</f>
        <v>-2.5008320258641525E-3</v>
      </c>
      <c r="J19" s="545">
        <v>104811.02047</v>
      </c>
      <c r="K19" s="545">
        <f>IS!BT29</f>
        <v>104902</v>
      </c>
      <c r="L19" s="1059">
        <f>K19/J19-1</f>
        <v>8.6803400627166738E-4</v>
      </c>
      <c r="M19" s="1154"/>
      <c r="N19" s="851">
        <f>K19-J19</f>
        <v>90.979529999996885</v>
      </c>
      <c r="O19" s="547"/>
      <c r="P19" s="641"/>
      <c r="Q19" s="642"/>
      <c r="R19" s="643"/>
      <c r="S19" s="642"/>
      <c r="T19" s="642"/>
      <c r="U19" s="642"/>
      <c r="V19" s="643"/>
    </row>
    <row r="20" spans="2:22" ht="15" customHeight="1">
      <c r="B20" s="606" t="s">
        <v>18</v>
      </c>
      <c r="C20" s="531"/>
      <c r="D20" s="545">
        <f>IS!BO31</f>
        <v>66372</v>
      </c>
      <c r="E20" s="545">
        <f t="shared" si="0"/>
        <v>64771</v>
      </c>
      <c r="F20" s="1059">
        <f>E20/D20-1</f>
        <v>-2.4121617549569097E-2</v>
      </c>
      <c r="G20" s="545">
        <f>IS!BS31</f>
        <v>62955</v>
      </c>
      <c r="H20" s="545">
        <f t="shared" si="1"/>
        <v>64771</v>
      </c>
      <c r="I20" s="1059">
        <f>H20/G20-1</f>
        <v>2.8846001111905384E-2</v>
      </c>
      <c r="J20" s="545">
        <v>63692.850900999998</v>
      </c>
      <c r="K20" s="545">
        <f>IS!BT31</f>
        <v>64771</v>
      </c>
      <c r="L20" s="1059">
        <f>K20/J20-1</f>
        <v>1.6927317332298575E-2</v>
      </c>
      <c r="M20" s="1154"/>
      <c r="N20" s="851">
        <f>K20-J20</f>
        <v>1078.149099000002</v>
      </c>
      <c r="O20" s="548"/>
      <c r="P20" s="641"/>
      <c r="Q20" s="642"/>
      <c r="R20" s="643"/>
      <c r="S20" s="642"/>
      <c r="T20" s="642"/>
      <c r="U20" s="642"/>
      <c r="V20" s="643"/>
    </row>
    <row r="21" spans="2:22" ht="15" customHeight="1">
      <c r="B21" s="607" t="s">
        <v>131</v>
      </c>
      <c r="C21" s="608"/>
      <c r="D21" s="609">
        <f>SUM(D18:D20)</f>
        <v>399294</v>
      </c>
      <c r="E21" s="609">
        <f t="shared" si="0"/>
        <v>412437</v>
      </c>
      <c r="F21" s="1060">
        <f>E21/D21-1</f>
        <v>3.291559602698757E-2</v>
      </c>
      <c r="G21" s="609">
        <f>SUM(G18:G20)</f>
        <v>418173</v>
      </c>
      <c r="H21" s="609">
        <f t="shared" si="1"/>
        <v>412437</v>
      </c>
      <c r="I21" s="1060">
        <f>H21/G21-1</f>
        <v>-1.3716810984927275E-2</v>
      </c>
      <c r="J21" s="609">
        <v>422469.036356</v>
      </c>
      <c r="K21" s="609">
        <f>SUM(K18:K20)</f>
        <v>412437</v>
      </c>
      <c r="L21" s="1060">
        <f>K21/J21-1</f>
        <v>-2.3746205029677836E-2</v>
      </c>
      <c r="M21" s="1155"/>
      <c r="N21" s="851">
        <f>K21-J21</f>
        <v>-10032.036355999997</v>
      </c>
      <c r="O21" s="549"/>
      <c r="P21" s="641"/>
      <c r="Q21" s="642"/>
      <c r="R21" s="643"/>
      <c r="S21" s="642"/>
      <c r="T21" s="642"/>
      <c r="U21" s="642"/>
      <c r="V21" s="643"/>
    </row>
    <row r="22" spans="2:22" ht="5.55" customHeight="1">
      <c r="B22" s="605"/>
      <c r="C22" s="535"/>
      <c r="D22" s="545"/>
      <c r="E22" s="545"/>
      <c r="F22" s="1059"/>
      <c r="G22" s="545"/>
      <c r="H22" s="545"/>
      <c r="I22" s="1059"/>
      <c r="J22" s="545"/>
      <c r="K22" s="545"/>
      <c r="L22" s="1059"/>
      <c r="M22" s="1154"/>
      <c r="N22" s="844"/>
      <c r="O22" s="531"/>
      <c r="P22" s="644"/>
      <c r="Q22" s="645"/>
      <c r="R22" s="646"/>
      <c r="S22" s="645"/>
      <c r="T22" s="645"/>
      <c r="U22" s="645"/>
      <c r="V22" s="646"/>
    </row>
    <row r="23" spans="2:22" ht="15" customHeight="1">
      <c r="B23" s="603" t="s">
        <v>566</v>
      </c>
      <c r="C23" s="538"/>
      <c r="D23" s="550">
        <f>D14-D21</f>
        <v>223076</v>
      </c>
      <c r="E23" s="550">
        <f t="shared" si="0"/>
        <v>257052</v>
      </c>
      <c r="F23" s="1061">
        <f>E23/D23-1</f>
        <v>0.15230683713173976</v>
      </c>
      <c r="G23" s="550">
        <f>G14-G21</f>
        <v>238729</v>
      </c>
      <c r="H23" s="550">
        <f t="shared" si="1"/>
        <v>257052</v>
      </c>
      <c r="I23" s="1061">
        <f>H23/G23-1</f>
        <v>7.6752300725927647E-2</v>
      </c>
      <c r="J23" s="550">
        <v>228974.35636899993</v>
      </c>
      <c r="K23" s="550">
        <f>K14-K21</f>
        <v>257052</v>
      </c>
      <c r="L23" s="1061">
        <f>K23/J23-1</f>
        <v>0.12262352901104778</v>
      </c>
      <c r="M23" s="1156"/>
      <c r="N23" s="851">
        <f>K23-J23</f>
        <v>28077.643631000072</v>
      </c>
      <c r="O23" s="551"/>
      <c r="P23" s="1044">
        <v>98000</v>
      </c>
      <c r="Q23" s="1046">
        <f>Q24*Q7</f>
        <v>102340.00000000001</v>
      </c>
      <c r="R23" s="1045">
        <v>98000</v>
      </c>
      <c r="S23" s="1046">
        <f>(395000+447000)/2</f>
        <v>421000</v>
      </c>
      <c r="T23" s="1046">
        <f>T24*T7</f>
        <v>420920.00000000006</v>
      </c>
      <c r="U23" s="1046">
        <f>IF(AND(ISNUMBER(T23), ISNUMBER(S23)), T23-S23, "-")</f>
        <v>-79.999999999941792</v>
      </c>
      <c r="V23" s="1045">
        <v>416000</v>
      </c>
    </row>
    <row r="24" spans="2:22" s="587" customFormat="1" ht="15" customHeight="1">
      <c r="B24" s="610"/>
      <c r="C24" s="586" t="s">
        <v>132</v>
      </c>
      <c r="D24" s="588">
        <f>D23/D7</f>
        <v>0.29553535942343873</v>
      </c>
      <c r="E24" s="588">
        <f t="shared" si="0"/>
        <v>0.31411009959063968</v>
      </c>
      <c r="F24" s="1059"/>
      <c r="G24" s="588">
        <f>G23/G7</f>
        <v>0.29817420150979973</v>
      </c>
      <c r="H24" s="588">
        <f t="shared" si="1"/>
        <v>0.31411009959063968</v>
      </c>
      <c r="I24" s="1059"/>
      <c r="J24" s="588">
        <v>0.28400321067850004</v>
      </c>
      <c r="K24" s="588">
        <f>K23/K7</f>
        <v>0.31411009959063968</v>
      </c>
      <c r="L24" s="1059"/>
      <c r="M24" s="1154"/>
      <c r="N24" s="844"/>
      <c r="O24" s="589"/>
      <c r="P24" s="682">
        <f>P23/P7</f>
        <v>0.16809605488850771</v>
      </c>
      <c r="Q24" s="683">
        <v>0.17</v>
      </c>
      <c r="R24" s="684">
        <f>R23/R7</f>
        <v>0.16306156405990016</v>
      </c>
      <c r="S24" s="685">
        <f>S23/S7</f>
        <v>0.17003231017770598</v>
      </c>
      <c r="T24" s="685">
        <v>0.17</v>
      </c>
      <c r="U24" s="681"/>
      <c r="V24" s="684">
        <f>V23/V7</f>
        <v>0.1680129240710824</v>
      </c>
    </row>
    <row r="25" spans="2:22" s="587" customFormat="1" ht="5.55" customHeight="1">
      <c r="B25" s="610"/>
      <c r="C25" s="586"/>
      <c r="D25" s="590"/>
      <c r="E25" s="591"/>
      <c r="F25" s="1059"/>
      <c r="G25" s="590"/>
      <c r="H25" s="590"/>
      <c r="I25" s="1059"/>
      <c r="J25" s="590"/>
      <c r="K25" s="590"/>
      <c r="L25" s="1059"/>
      <c r="M25" s="1154"/>
      <c r="N25" s="844"/>
      <c r="O25" s="589"/>
      <c r="P25" s="647"/>
      <c r="Q25" s="648"/>
      <c r="R25" s="649"/>
      <c r="S25" s="648"/>
      <c r="T25" s="648"/>
      <c r="U25" s="648"/>
      <c r="V25" s="649"/>
    </row>
    <row r="26" spans="2:22" ht="15" customHeight="1">
      <c r="B26" s="605" t="s">
        <v>133</v>
      </c>
      <c r="C26" s="535"/>
      <c r="D26" s="592">
        <f>IS!BO44</f>
        <v>164046</v>
      </c>
      <c r="E26" s="592">
        <f t="shared" si="0"/>
        <v>171697</v>
      </c>
      <c r="F26" s="1062">
        <f>E26/D26-1</f>
        <v>4.6639357253453362E-2</v>
      </c>
      <c r="G26" s="592">
        <f>IS!BS44</f>
        <v>173502</v>
      </c>
      <c r="H26" s="592">
        <f t="shared" si="1"/>
        <v>171697</v>
      </c>
      <c r="I26" s="1062">
        <f>H26/G26-1</f>
        <v>-1.040333829004858E-2</v>
      </c>
      <c r="J26" s="592">
        <v>160916</v>
      </c>
      <c r="K26" s="592">
        <f>IS!BT44</f>
        <v>171697</v>
      </c>
      <c r="L26" s="1062">
        <f>K26/J26-1</f>
        <v>6.6997688234855524E-2</v>
      </c>
      <c r="M26" s="1157"/>
      <c r="N26" s="844"/>
      <c r="O26" s="551"/>
      <c r="P26" s="650"/>
      <c r="Q26" s="651"/>
      <c r="R26" s="652"/>
      <c r="S26" s="651"/>
      <c r="T26" s="651"/>
      <c r="U26" s="651"/>
      <c r="V26" s="652"/>
    </row>
    <row r="27" spans="2:22" ht="5.55" customHeight="1">
      <c r="B27" s="605"/>
      <c r="C27" s="535"/>
      <c r="D27" s="592"/>
      <c r="E27" s="593"/>
      <c r="F27" s="1063"/>
      <c r="G27" s="592"/>
      <c r="H27" s="593"/>
      <c r="I27" s="1063"/>
      <c r="J27" s="592"/>
      <c r="K27" s="592"/>
      <c r="L27" s="1063"/>
      <c r="M27" s="1158"/>
      <c r="N27" s="846"/>
      <c r="O27" s="551"/>
      <c r="P27" s="653"/>
      <c r="Q27" s="654"/>
      <c r="R27" s="655"/>
      <c r="S27" s="654"/>
      <c r="T27" s="654"/>
      <c r="U27" s="654"/>
      <c r="V27" s="655"/>
    </row>
    <row r="28" spans="2:22" ht="15" customHeight="1">
      <c r="B28" s="603" t="s">
        <v>2</v>
      </c>
      <c r="C28" s="535"/>
      <c r="D28" s="552">
        <f>D23-D26</f>
        <v>59030</v>
      </c>
      <c r="E28" s="552">
        <f t="shared" si="0"/>
        <v>85355</v>
      </c>
      <c r="F28" s="1062">
        <f>E28/D28-1</f>
        <v>0.44595968151787235</v>
      </c>
      <c r="G28" s="552">
        <f>G23-G26</f>
        <v>65227</v>
      </c>
      <c r="H28" s="552">
        <f t="shared" si="1"/>
        <v>85355</v>
      </c>
      <c r="I28" s="1062">
        <f>H28/G28-1</f>
        <v>0.3085838686433533</v>
      </c>
      <c r="J28" s="552">
        <v>68058.356368999928</v>
      </c>
      <c r="K28" s="552">
        <f>K23-K26</f>
        <v>85355</v>
      </c>
      <c r="L28" s="1062">
        <f>K28/J28-1</f>
        <v>0.25414430429704837</v>
      </c>
      <c r="M28" s="1157"/>
      <c r="N28" s="844"/>
      <c r="O28" s="551"/>
      <c r="P28" s="656"/>
      <c r="Q28" s="657"/>
      <c r="R28" s="658"/>
      <c r="S28" s="657"/>
      <c r="T28" s="657"/>
      <c r="U28" s="657"/>
      <c r="V28" s="658"/>
    </row>
    <row r="29" spans="2:22" s="587" customFormat="1" ht="15" customHeight="1">
      <c r="B29" s="610"/>
      <c r="C29" s="586" t="s">
        <v>134</v>
      </c>
      <c r="D29" s="588">
        <f>D28/D7</f>
        <v>7.8204075143742877E-2</v>
      </c>
      <c r="E29" s="588">
        <f t="shared" si="0"/>
        <v>0.10430133805828802</v>
      </c>
      <c r="F29" s="1059"/>
      <c r="G29" s="588">
        <f>G28/G7</f>
        <v>8.1468982159183453E-2</v>
      </c>
      <c r="H29" s="588">
        <f t="shared" si="1"/>
        <v>0.10430133805828802</v>
      </c>
      <c r="I29" s="1059"/>
      <c r="J29" s="588">
        <v>8.4414656858554593E-2</v>
      </c>
      <c r="K29" s="588">
        <f>K28/K7</f>
        <v>0.10430133805828802</v>
      </c>
      <c r="L29" s="1059"/>
      <c r="M29" s="1154"/>
      <c r="N29" s="844"/>
      <c r="O29" s="589"/>
      <c r="P29" s="641"/>
      <c r="Q29" s="642"/>
      <c r="R29" s="643"/>
      <c r="S29" s="642"/>
      <c r="T29" s="642"/>
      <c r="U29" s="642"/>
      <c r="V29" s="643"/>
    </row>
    <row r="30" spans="2:22" ht="5.55" customHeight="1">
      <c r="B30" s="603"/>
      <c r="C30" s="538"/>
      <c r="D30" s="545"/>
      <c r="E30" s="545"/>
      <c r="F30" s="1059"/>
      <c r="G30" s="545"/>
      <c r="H30" s="545"/>
      <c r="I30" s="1059"/>
      <c r="J30" s="545"/>
      <c r="K30" s="545"/>
      <c r="L30" s="1059"/>
      <c r="M30" s="1154"/>
      <c r="N30" s="844"/>
      <c r="O30" s="544"/>
      <c r="P30" s="659"/>
      <c r="Q30" s="660"/>
      <c r="R30" s="661"/>
      <c r="S30" s="660"/>
      <c r="T30" s="660"/>
      <c r="U30" s="660"/>
      <c r="V30" s="661"/>
    </row>
    <row r="31" spans="2:22" ht="15" customHeight="1">
      <c r="B31" s="605" t="s">
        <v>595</v>
      </c>
      <c r="C31" s="538"/>
      <c r="D31" s="553">
        <f>IS!BO54</f>
        <v>12544</v>
      </c>
      <c r="E31" s="553">
        <f t="shared" si="0"/>
        <v>10174</v>
      </c>
      <c r="F31" s="1064">
        <f>E31/D31-1</f>
        <v>-0.18893494897959184</v>
      </c>
      <c r="G31" s="553">
        <f>IS!BS54</f>
        <v>11233</v>
      </c>
      <c r="H31" s="553">
        <f t="shared" si="1"/>
        <v>10174</v>
      </c>
      <c r="I31" s="1064">
        <f>H31/G31-1</f>
        <v>-9.4275794533962398E-2</v>
      </c>
      <c r="J31" s="553">
        <v>11000</v>
      </c>
      <c r="K31" s="553">
        <f>IS!BT54</f>
        <v>10174</v>
      </c>
      <c r="L31" s="1064">
        <f>K31/J31-1</f>
        <v>-7.5090909090909097E-2</v>
      </c>
      <c r="M31" s="1155"/>
      <c r="N31" s="844"/>
      <c r="O31" s="544"/>
      <c r="P31" s="659"/>
      <c r="Q31" s="660"/>
      <c r="R31" s="661"/>
      <c r="S31" s="660"/>
      <c r="T31" s="660"/>
      <c r="U31" s="660"/>
      <c r="V31" s="661"/>
    </row>
    <row r="32" spans="2:22" ht="15" customHeight="1">
      <c r="B32" s="605" t="s">
        <v>291</v>
      </c>
      <c r="C32" s="538"/>
      <c r="D32" s="553">
        <f>IS!BO55</f>
        <v>12544</v>
      </c>
      <c r="E32" s="553">
        <f t="shared" si="0"/>
        <v>10174</v>
      </c>
      <c r="F32" s="1064">
        <f>E32/D32-1</f>
        <v>-0.18893494897959184</v>
      </c>
      <c r="G32" s="553">
        <f>IS!BS55</f>
        <v>11233</v>
      </c>
      <c r="H32" s="553">
        <f t="shared" si="1"/>
        <v>10174</v>
      </c>
      <c r="I32" s="1064">
        <f>H32/G32-1</f>
        <v>-9.4275794533962398E-2</v>
      </c>
      <c r="J32" s="553">
        <v>11000</v>
      </c>
      <c r="K32" s="553">
        <f>IS!BT55</f>
        <v>10174</v>
      </c>
      <c r="L32" s="1064">
        <f>K32/J32-1</f>
        <v>-7.5090909090909097E-2</v>
      </c>
      <c r="M32" s="1155"/>
      <c r="N32" s="844"/>
      <c r="O32" s="544"/>
      <c r="P32" s="659"/>
      <c r="Q32" s="660"/>
      <c r="R32" s="661"/>
      <c r="S32" s="660"/>
      <c r="T32" s="660"/>
      <c r="U32" s="660"/>
      <c r="V32" s="661"/>
    </row>
    <row r="33" spans="2:25" ht="5.55" customHeight="1">
      <c r="B33" s="611"/>
      <c r="E33" s="555"/>
      <c r="F33" s="1064"/>
      <c r="H33" s="555"/>
      <c r="I33" s="1064"/>
      <c r="L33" s="1064"/>
      <c r="M33" s="1155"/>
      <c r="N33" s="843"/>
      <c r="O33" s="531"/>
      <c r="P33" s="662"/>
      <c r="Q33" s="663"/>
      <c r="R33" s="664"/>
      <c r="S33" s="663"/>
      <c r="T33" s="663"/>
      <c r="U33" s="663"/>
      <c r="V33" s="664"/>
    </row>
    <row r="34" spans="2:25" ht="15" customHeight="1">
      <c r="B34" s="611" t="s">
        <v>135</v>
      </c>
      <c r="D34" s="537">
        <f>D23+D31</f>
        <v>235620</v>
      </c>
      <c r="E34" s="537">
        <f t="shared" si="0"/>
        <v>267226</v>
      </c>
      <c r="F34" s="1052">
        <f>E34/D34-1</f>
        <v>0.13413971649265766</v>
      </c>
      <c r="G34" s="537">
        <f>G23+G31</f>
        <v>249962</v>
      </c>
      <c r="H34" s="537">
        <f t="shared" si="1"/>
        <v>267226</v>
      </c>
      <c r="I34" s="1052">
        <f>H34/G34-1</f>
        <v>6.9066498107712482E-2</v>
      </c>
      <c r="J34" s="537">
        <v>239974.35636899993</v>
      </c>
      <c r="K34" s="537">
        <f>K23+K31</f>
        <v>267226</v>
      </c>
      <c r="L34" s="1052">
        <f>K34/J34-1</f>
        <v>0.11356064890990347</v>
      </c>
      <c r="M34" s="1150"/>
      <c r="N34" s="844"/>
      <c r="O34" s="531"/>
      <c r="P34" s="662"/>
      <c r="Q34" s="663"/>
      <c r="R34" s="664"/>
      <c r="S34" s="663"/>
      <c r="T34" s="663"/>
      <c r="U34" s="663"/>
      <c r="V34" s="664"/>
    </row>
    <row r="35" spans="2:25" ht="15" customHeight="1">
      <c r="B35" s="612" t="s">
        <v>78</v>
      </c>
      <c r="C35" s="557"/>
      <c r="D35" s="558">
        <f>IS!BO61</f>
        <v>47124</v>
      </c>
      <c r="E35" s="558">
        <f t="shared" si="0"/>
        <v>56117</v>
      </c>
      <c r="F35" s="1065"/>
      <c r="G35" s="558">
        <f>IS!BS61</f>
        <v>54877</v>
      </c>
      <c r="H35" s="558">
        <f t="shared" si="1"/>
        <v>56117</v>
      </c>
      <c r="I35" s="1065"/>
      <c r="J35" s="558">
        <v>47994.871273799989</v>
      </c>
      <c r="K35" s="558">
        <f>IS!BT61</f>
        <v>56117</v>
      </c>
      <c r="L35" s="1065"/>
      <c r="M35" s="1150"/>
      <c r="N35" s="844"/>
      <c r="O35" s="531"/>
      <c r="P35" s="665"/>
      <c r="Q35" s="666"/>
      <c r="R35" s="667"/>
      <c r="S35" s="1046">
        <v>6000</v>
      </c>
      <c r="T35" s="1046">
        <v>9000</v>
      </c>
      <c r="U35" s="666"/>
      <c r="V35" s="667"/>
    </row>
    <row r="36" spans="2:25" ht="15" customHeight="1">
      <c r="B36" s="607" t="s">
        <v>136</v>
      </c>
      <c r="C36" s="608"/>
      <c r="D36" s="609">
        <f>D34-D35</f>
        <v>188496</v>
      </c>
      <c r="E36" s="609">
        <f t="shared" si="0"/>
        <v>211109</v>
      </c>
      <c r="F36" s="1060">
        <f>E36/D36-1</f>
        <v>0.11996541040658681</v>
      </c>
      <c r="G36" s="609">
        <f>G34-G35</f>
        <v>195085</v>
      </c>
      <c r="H36" s="609">
        <f t="shared" si="1"/>
        <v>211109</v>
      </c>
      <c r="I36" s="1060">
        <f>H36/G36-1</f>
        <v>8.213855498885092E-2</v>
      </c>
      <c r="J36" s="609">
        <v>191979.48509519995</v>
      </c>
      <c r="K36" s="609">
        <f>K34-K35</f>
        <v>211109</v>
      </c>
      <c r="L36" s="1060">
        <f>K36/J36-1</f>
        <v>9.9643536887881412E-2</v>
      </c>
      <c r="M36" s="1155"/>
      <c r="N36" s="851">
        <f>K36-J36</f>
        <v>19129.514904800046</v>
      </c>
      <c r="O36" s="531"/>
      <c r="P36" s="662"/>
      <c r="Q36" s="663"/>
      <c r="R36" s="664"/>
      <c r="S36" s="663"/>
      <c r="T36" s="663"/>
      <c r="U36" s="663"/>
      <c r="V36" s="664"/>
    </row>
    <row r="37" spans="2:25" ht="5.55" customHeight="1">
      <c r="B37" s="613"/>
      <c r="C37" s="559"/>
      <c r="D37" s="560"/>
      <c r="E37" s="560"/>
      <c r="F37" s="1066"/>
      <c r="G37" s="560"/>
      <c r="H37" s="560"/>
      <c r="I37" s="1066"/>
      <c r="J37" s="560"/>
      <c r="K37" s="560"/>
      <c r="L37" s="1066"/>
      <c r="M37" s="1159"/>
      <c r="N37" s="844"/>
      <c r="O37" s="531"/>
      <c r="P37" s="656"/>
      <c r="Q37" s="657"/>
      <c r="R37" s="658"/>
      <c r="S37" s="657"/>
      <c r="T37" s="657"/>
      <c r="U37" s="657"/>
      <c r="V37" s="658"/>
    </row>
    <row r="38" spans="2:25" ht="15" customHeight="1">
      <c r="B38" s="611" t="s">
        <v>137</v>
      </c>
      <c r="D38" s="537">
        <f>IS!BO66</f>
        <v>71574</v>
      </c>
      <c r="E38" s="537">
        <f t="shared" si="0"/>
        <v>95529</v>
      </c>
      <c r="F38" s="1052">
        <f>E38/D38-1</f>
        <v>0.33468857406320729</v>
      </c>
      <c r="G38" s="537">
        <f>IS!BS66</f>
        <v>76460</v>
      </c>
      <c r="H38" s="537">
        <f t="shared" si="1"/>
        <v>95529</v>
      </c>
      <c r="I38" s="1052">
        <f>H38/G38-1</f>
        <v>0.24939837823698663</v>
      </c>
      <c r="J38" s="537">
        <v>79058.356368999928</v>
      </c>
      <c r="K38" s="537">
        <f>IS!BT66</f>
        <v>95529</v>
      </c>
      <c r="L38" s="1052">
        <f>K38/J38-1</f>
        <v>0.20833526508095335</v>
      </c>
      <c r="M38" s="1150"/>
      <c r="N38" s="844"/>
      <c r="O38" s="531"/>
      <c r="P38" s="659"/>
      <c r="Q38" s="660"/>
      <c r="R38" s="661"/>
      <c r="S38" s="660"/>
      <c r="T38" s="660"/>
      <c r="U38" s="660"/>
      <c r="V38" s="661"/>
    </row>
    <row r="39" spans="2:25" ht="15" customHeight="1">
      <c r="B39" s="612" t="s">
        <v>78</v>
      </c>
      <c r="C39" s="557"/>
      <c r="D39" s="558">
        <f>IS!BO67</f>
        <v>9151</v>
      </c>
      <c r="E39" s="558">
        <f t="shared" si="0"/>
        <v>11804</v>
      </c>
      <c r="F39" s="1065"/>
      <c r="G39" s="558">
        <f>IS!BS67</f>
        <v>13490</v>
      </c>
      <c r="H39" s="558">
        <f t="shared" si="1"/>
        <v>11804</v>
      </c>
      <c r="I39" s="1065"/>
      <c r="J39" s="558">
        <v>6000</v>
      </c>
      <c r="K39" s="558">
        <f>IS!BT67</f>
        <v>11804</v>
      </c>
      <c r="L39" s="1065"/>
      <c r="M39" s="1150"/>
      <c r="N39" s="844"/>
      <c r="O39" s="531"/>
      <c r="P39" s="668"/>
      <c r="Q39" s="669"/>
      <c r="R39" s="670"/>
      <c r="S39" s="669"/>
      <c r="T39" s="669"/>
      <c r="U39" s="669"/>
      <c r="V39" s="670"/>
    </row>
    <row r="40" spans="2:25" ht="15" customHeight="1">
      <c r="B40" s="607" t="s">
        <v>3</v>
      </c>
      <c r="C40" s="608"/>
      <c r="D40" s="609">
        <f>D38-D39</f>
        <v>62423</v>
      </c>
      <c r="E40" s="609">
        <f t="shared" si="0"/>
        <v>83725</v>
      </c>
      <c r="F40" s="1060">
        <f>E40/D40-1</f>
        <v>0.34125242298511771</v>
      </c>
      <c r="G40" s="609">
        <f>G38-G39</f>
        <v>62970</v>
      </c>
      <c r="H40" s="609">
        <f t="shared" si="1"/>
        <v>83725</v>
      </c>
      <c r="I40" s="1060">
        <f>H40/G40-1</f>
        <v>0.3296013974908687</v>
      </c>
      <c r="J40" s="609">
        <v>73058.356368999928</v>
      </c>
      <c r="K40" s="609">
        <f>K38-K39</f>
        <v>83725</v>
      </c>
      <c r="L40" s="1060">
        <f>K40/J40-1</f>
        <v>0.14600169181367084</v>
      </c>
      <c r="M40" s="1155"/>
      <c r="N40" s="844"/>
      <c r="O40" s="531"/>
      <c r="P40" s="671"/>
      <c r="Q40" s="672"/>
      <c r="R40" s="673"/>
      <c r="S40" s="672"/>
      <c r="T40" s="672"/>
      <c r="U40" s="672"/>
      <c r="V40" s="673"/>
    </row>
    <row r="41" spans="2:25" ht="5.55" customHeight="1" thickBot="1">
      <c r="B41" s="614"/>
      <c r="C41" s="561"/>
      <c r="D41" s="562"/>
      <c r="E41" s="562"/>
      <c r="F41" s="1064"/>
      <c r="G41" s="562"/>
      <c r="H41" s="562"/>
      <c r="I41" s="1064"/>
      <c r="J41" s="562"/>
      <c r="K41" s="562"/>
      <c r="L41" s="1064"/>
      <c r="M41" s="1155"/>
      <c r="N41" s="844"/>
      <c r="O41" s="531"/>
      <c r="P41" s="674"/>
      <c r="Q41" s="675"/>
      <c r="R41" s="676"/>
      <c r="S41" s="675"/>
      <c r="T41" s="675"/>
      <c r="U41" s="675"/>
      <c r="V41" s="676"/>
    </row>
    <row r="42" spans="2:25" ht="15" customHeight="1">
      <c r="B42" s="615" t="s">
        <v>75</v>
      </c>
      <c r="C42" s="616"/>
      <c r="D42" s="620">
        <f>D36/D46</f>
        <v>0.90316521805793792</v>
      </c>
      <c r="E42" s="620">
        <f t="shared" si="0"/>
        <v>1.0146105378504247</v>
      </c>
      <c r="F42" s="1067">
        <f>E42/D42-1</f>
        <v>0.12339416705187767</v>
      </c>
      <c r="G42" s="620">
        <f>G36/G46</f>
        <v>0.92476630197766363</v>
      </c>
      <c r="H42" s="620">
        <f t="shared" si="1"/>
        <v>1.0146105378504247</v>
      </c>
      <c r="I42" s="1067">
        <f>H42/G42-1</f>
        <v>9.7153449126145874E-2</v>
      </c>
      <c r="J42" s="620">
        <v>0.91047674761543407</v>
      </c>
      <c r="K42" s="620">
        <f>K36/K46</f>
        <v>1.0146105378504247</v>
      </c>
      <c r="L42" s="1067">
        <f>K42/J42-1</f>
        <v>0.1143728167772764</v>
      </c>
      <c r="M42" s="1160"/>
      <c r="N42" s="852">
        <f>K42-J42</f>
        <v>0.10413379023499059</v>
      </c>
      <c r="O42" s="531"/>
      <c r="P42" s="677">
        <v>0.46</v>
      </c>
      <c r="Q42" s="678"/>
      <c r="R42" s="679">
        <v>0.46</v>
      </c>
      <c r="S42" s="678"/>
      <c r="T42" s="678"/>
      <c r="U42" s="678"/>
      <c r="V42" s="679">
        <v>0.54</v>
      </c>
    </row>
    <row r="43" spans="2:25" ht="15" customHeight="1" thickBot="1">
      <c r="B43" s="617" t="s">
        <v>4</v>
      </c>
      <c r="C43" s="563"/>
      <c r="D43" s="621">
        <f>D40/D45</f>
        <v>0.30664596914038128</v>
      </c>
      <c r="E43" s="621">
        <f t="shared" si="0"/>
        <v>0.41457460609841845</v>
      </c>
      <c r="F43" s="1068"/>
      <c r="G43" s="621">
        <f>G40/G45</f>
        <v>0.31074199088055898</v>
      </c>
      <c r="H43" s="621">
        <f t="shared" si="1"/>
        <v>0.41457460609841845</v>
      </c>
      <c r="I43" s="1068"/>
      <c r="J43" s="621">
        <v>0.36070363165040648</v>
      </c>
      <c r="K43" s="621">
        <f>K40/K45</f>
        <v>0.41457460609841845</v>
      </c>
      <c r="L43" s="1068"/>
      <c r="M43" s="1160"/>
      <c r="N43" s="844"/>
      <c r="O43" s="531"/>
      <c r="P43" s="827"/>
      <c r="Q43" s="828"/>
      <c r="R43" s="829"/>
      <c r="S43" s="828"/>
      <c r="T43" s="828"/>
      <c r="U43" s="828"/>
      <c r="V43" s="829"/>
    </row>
    <row r="44" spans="2:25" ht="5.55" customHeight="1">
      <c r="B44" s="611"/>
      <c r="E44" s="555"/>
      <c r="F44" s="1064"/>
      <c r="H44" s="555"/>
      <c r="I44" s="1064"/>
      <c r="L44" s="1064"/>
      <c r="M44" s="1155"/>
      <c r="N44" s="847"/>
      <c r="O44" s="531"/>
      <c r="P44" s="830"/>
      <c r="Q44" s="531"/>
      <c r="R44" s="831"/>
      <c r="V44" s="832"/>
    </row>
    <row r="45" spans="2:25" ht="15" customHeight="1">
      <c r="B45" s="611" t="s">
        <v>73</v>
      </c>
      <c r="D45" s="564">
        <f>IS!BO79</f>
        <v>203567</v>
      </c>
      <c r="E45" s="564">
        <f t="shared" si="0"/>
        <v>201954</v>
      </c>
      <c r="F45" s="1064"/>
      <c r="G45" s="564">
        <f>IS!BS79</f>
        <v>202644</v>
      </c>
      <c r="H45" s="564">
        <f t="shared" si="1"/>
        <v>201954</v>
      </c>
      <c r="I45" s="1064"/>
      <c r="J45" s="564">
        <v>202544</v>
      </c>
      <c r="K45" s="564">
        <f>IS!BT79</f>
        <v>201954</v>
      </c>
      <c r="L45" s="1064"/>
      <c r="M45" s="1155"/>
      <c r="N45" s="847"/>
      <c r="O45" s="531"/>
      <c r="P45" s="830"/>
      <c r="Q45" s="531"/>
      <c r="R45" s="831"/>
      <c r="V45" s="832"/>
    </row>
    <row r="46" spans="2:25" ht="15" customHeight="1">
      <c r="B46" s="618" t="s">
        <v>72</v>
      </c>
      <c r="C46" s="556"/>
      <c r="D46" s="619">
        <f>IS!BO80</f>
        <v>208706</v>
      </c>
      <c r="E46" s="619">
        <f t="shared" si="0"/>
        <v>208069</v>
      </c>
      <c r="F46" s="694"/>
      <c r="G46" s="619">
        <f>IS!BS80</f>
        <v>210956</v>
      </c>
      <c r="H46" s="619">
        <f t="shared" si="1"/>
        <v>208069</v>
      </c>
      <c r="I46" s="694"/>
      <c r="J46" s="619">
        <v>210856</v>
      </c>
      <c r="K46" s="619">
        <f>IS!BT80</f>
        <v>208069</v>
      </c>
      <c r="L46" s="693"/>
      <c r="M46" s="1161"/>
      <c r="N46" s="847"/>
      <c r="O46" s="531"/>
      <c r="P46" s="1051"/>
      <c r="Q46" s="1050">
        <f>(205000+210000)/2</f>
        <v>207500</v>
      </c>
      <c r="R46" s="1051"/>
      <c r="S46" s="1050">
        <f>(205000+210000)/2</f>
        <v>207500</v>
      </c>
      <c r="T46" s="1050">
        <f>(205000+210000)/2</f>
        <v>207500</v>
      </c>
      <c r="U46" s="1050"/>
      <c r="V46" s="1051"/>
    </row>
    <row r="47" spans="2:25" ht="4.5" customHeight="1">
      <c r="D47" s="564"/>
      <c r="E47" s="564"/>
      <c r="F47" s="565"/>
      <c r="G47" s="564"/>
      <c r="H47" s="564"/>
      <c r="I47" s="566"/>
      <c r="J47" s="564"/>
      <c r="K47" s="564"/>
      <c r="L47" s="531"/>
      <c r="M47" s="531"/>
      <c r="N47" s="848"/>
      <c r="O47" s="531"/>
      <c r="P47" s="531"/>
      <c r="Q47" s="531"/>
      <c r="R47" s="531"/>
      <c r="X47" s="554" t="s">
        <v>570</v>
      </c>
      <c r="Y47" s="554" t="s">
        <v>571</v>
      </c>
    </row>
    <row r="48" spans="2:25">
      <c r="B48" s="567" t="s">
        <v>138</v>
      </c>
      <c r="C48" s="531"/>
      <c r="D48" s="568"/>
      <c r="E48" s="569"/>
      <c r="F48" s="570"/>
      <c r="G48" s="568"/>
      <c r="H48" s="571"/>
      <c r="I48" s="531"/>
      <c r="J48" s="568"/>
      <c r="K48" s="568"/>
      <c r="L48" s="531"/>
      <c r="M48" s="531"/>
      <c r="N48" s="848"/>
      <c r="O48" s="531"/>
      <c r="P48" s="531"/>
      <c r="Q48" s="531"/>
      <c r="R48" s="531"/>
      <c r="W48" s="554" t="s">
        <v>59</v>
      </c>
      <c r="X48" s="531" t="s">
        <v>572</v>
      </c>
      <c r="Y48" s="554" t="s">
        <v>573</v>
      </c>
    </row>
    <row r="49" spans="2:22">
      <c r="B49" s="559"/>
      <c r="C49" s="559"/>
      <c r="D49" s="572"/>
      <c r="E49" s="573"/>
      <c r="F49" s="546"/>
      <c r="G49" s="572"/>
      <c r="H49" s="537"/>
      <c r="I49" s="546"/>
      <c r="J49" s="572"/>
      <c r="K49" s="572"/>
      <c r="L49" s="546"/>
      <c r="M49" s="1162"/>
      <c r="N49" s="849"/>
      <c r="O49" s="531"/>
      <c r="P49" s="531"/>
      <c r="Q49" s="531"/>
      <c r="R49" s="559"/>
    </row>
    <row r="50" spans="2:22">
      <c r="B50" s="559" t="s">
        <v>59</v>
      </c>
      <c r="C50" s="559"/>
      <c r="D50" s="573"/>
      <c r="E50" s="573"/>
      <c r="F50" s="546"/>
      <c r="G50" s="573"/>
      <c r="H50" s="537"/>
      <c r="I50" s="546"/>
      <c r="J50" s="573"/>
      <c r="K50" s="573"/>
      <c r="L50" s="546"/>
      <c r="M50" s="1162"/>
      <c r="N50" s="849"/>
      <c r="O50" s="531"/>
      <c r="P50" s="1038">
        <v>581400</v>
      </c>
      <c r="Q50" s="1038">
        <f>(599000+609000)/2</f>
        <v>604000</v>
      </c>
      <c r="R50" s="1038">
        <v>677300</v>
      </c>
      <c r="S50" s="1038">
        <f>(2710000+2730000)/2</f>
        <v>2720000</v>
      </c>
      <c r="T50" s="1038">
        <f>(2521000+2541000)/2</f>
        <v>2531000</v>
      </c>
      <c r="U50" s="1046">
        <f>IF(AND(ISNUMBER(T50), ISNUMBER(S50)), T50-S50, "-")</f>
        <v>-189000</v>
      </c>
      <c r="V50" s="1038">
        <v>2713900</v>
      </c>
    </row>
    <row r="51" spans="2:22" s="57" customFormat="1">
      <c r="E51" s="60"/>
      <c r="H51" s="60"/>
      <c r="N51" s="194"/>
    </row>
    <row r="52" spans="2:22">
      <c r="B52" s="574"/>
      <c r="C52" s="531"/>
      <c r="D52" s="575"/>
      <c r="E52" s="576"/>
      <c r="F52" s="577"/>
      <c r="G52" s="575"/>
      <c r="H52" s="578"/>
      <c r="I52" s="579"/>
      <c r="J52" s="575"/>
      <c r="K52" s="575"/>
      <c r="L52" s="580"/>
      <c r="M52" s="1163"/>
      <c r="N52" s="850"/>
      <c r="O52" s="531"/>
      <c r="P52" s="531"/>
      <c r="Q52" s="531"/>
      <c r="R52" s="531"/>
    </row>
    <row r="53" spans="2:22">
      <c r="B53" s="531"/>
      <c r="C53" s="531"/>
      <c r="D53" s="582"/>
      <c r="E53" s="581"/>
      <c r="F53" s="581"/>
      <c r="G53" s="582"/>
      <c r="H53" s="531"/>
      <c r="I53" s="531"/>
      <c r="J53" s="531"/>
      <c r="K53" s="531"/>
      <c r="L53" s="531"/>
      <c r="M53" s="531"/>
      <c r="N53" s="848"/>
      <c r="O53" s="531"/>
      <c r="P53" s="531"/>
      <c r="Q53" s="531"/>
      <c r="R53" s="531"/>
    </row>
    <row r="54" spans="2:22">
      <c r="B54" s="531"/>
      <c r="C54" s="531"/>
      <c r="D54" s="582"/>
      <c r="E54" s="583"/>
      <c r="F54" s="583"/>
      <c r="G54" s="582"/>
      <c r="H54" s="531"/>
      <c r="I54" s="531"/>
      <c r="J54" s="531"/>
      <c r="K54" s="531"/>
      <c r="L54" s="531"/>
      <c r="M54" s="531"/>
      <c r="N54" s="848"/>
      <c r="O54" s="531"/>
      <c r="P54" s="531"/>
      <c r="Q54" s="531"/>
      <c r="R54" s="531"/>
    </row>
    <row r="55" spans="2:22">
      <c r="B55" s="531"/>
      <c r="C55" s="531"/>
      <c r="D55" s="531"/>
      <c r="E55" s="531"/>
      <c r="F55" s="531"/>
      <c r="G55" s="531"/>
      <c r="H55" s="531"/>
      <c r="I55" s="531"/>
      <c r="J55" s="531"/>
      <c r="K55" s="531"/>
      <c r="L55" s="531"/>
      <c r="M55" s="531"/>
      <c r="N55" s="848"/>
      <c r="O55" s="531"/>
      <c r="P55" s="531"/>
      <c r="Q55" s="531"/>
      <c r="R55" s="531"/>
    </row>
    <row r="56" spans="2:22">
      <c r="B56" s="574"/>
      <c r="C56" s="574"/>
      <c r="D56" s="584"/>
      <c r="E56" s="531"/>
      <c r="F56" s="531"/>
      <c r="G56" s="584"/>
      <c r="H56" s="531"/>
      <c r="I56" s="531"/>
      <c r="J56" s="531"/>
      <c r="K56" s="531"/>
      <c r="L56" s="531"/>
      <c r="M56" s="531"/>
      <c r="N56" s="848"/>
      <c r="O56" s="531"/>
      <c r="P56" s="531"/>
      <c r="Q56" s="531"/>
      <c r="R56" s="531"/>
    </row>
    <row r="57" spans="2:22">
      <c r="B57" s="531"/>
      <c r="C57" s="531"/>
      <c r="D57" s="585"/>
      <c r="E57" s="582"/>
      <c r="F57" s="582"/>
      <c r="G57" s="585"/>
      <c r="H57" s="531"/>
      <c r="I57" s="531"/>
      <c r="J57" s="531"/>
      <c r="K57" s="531"/>
      <c r="L57" s="531"/>
      <c r="M57" s="531"/>
      <c r="N57" s="848"/>
      <c r="O57" s="531"/>
      <c r="P57" s="531"/>
      <c r="Q57" s="531"/>
      <c r="R57" s="531"/>
    </row>
    <row r="58" spans="2:22">
      <c r="B58" s="531"/>
      <c r="C58" s="531"/>
      <c r="D58" s="585"/>
      <c r="E58" s="582"/>
      <c r="F58" s="582"/>
      <c r="G58" s="585"/>
      <c r="H58" s="531"/>
      <c r="I58" s="531"/>
      <c r="J58" s="531"/>
      <c r="K58" s="531"/>
      <c r="L58" s="531"/>
      <c r="M58" s="531"/>
      <c r="N58" s="848"/>
      <c r="O58" s="531"/>
      <c r="P58" s="531"/>
      <c r="Q58" s="531"/>
      <c r="R58" s="531"/>
    </row>
    <row r="59" spans="2:22">
      <c r="B59" s="531"/>
      <c r="C59" s="531"/>
      <c r="D59" s="585"/>
      <c r="E59" s="582"/>
      <c r="F59" s="582"/>
      <c r="G59" s="585"/>
      <c r="H59" s="531"/>
      <c r="I59" s="531"/>
      <c r="J59" s="531"/>
      <c r="K59" s="531"/>
      <c r="L59" s="531"/>
      <c r="M59" s="531"/>
      <c r="N59" s="848"/>
      <c r="O59" s="531"/>
      <c r="P59" s="531"/>
      <c r="Q59" s="531"/>
      <c r="R59" s="531"/>
    </row>
    <row r="60" spans="2:22">
      <c r="B60" s="531"/>
      <c r="C60" s="531"/>
      <c r="D60" s="531"/>
      <c r="E60" s="531"/>
      <c r="F60" s="531"/>
      <c r="G60" s="531"/>
      <c r="H60" s="531"/>
      <c r="I60" s="531"/>
      <c r="J60" s="531"/>
      <c r="K60" s="531"/>
      <c r="L60" s="531"/>
      <c r="M60" s="531"/>
      <c r="N60" s="848"/>
      <c r="O60" s="531"/>
      <c r="P60" s="531"/>
      <c r="Q60" s="531"/>
      <c r="R60" s="531"/>
    </row>
    <row r="61" spans="2:22">
      <c r="B61" s="567"/>
      <c r="C61" s="567"/>
      <c r="D61" s="531"/>
      <c r="E61" s="531"/>
      <c r="F61" s="531"/>
      <c r="G61" s="531"/>
      <c r="H61" s="531"/>
      <c r="I61" s="531"/>
      <c r="J61" s="531"/>
      <c r="K61" s="531"/>
      <c r="L61" s="531"/>
      <c r="M61" s="531"/>
      <c r="N61" s="848"/>
      <c r="O61" s="531"/>
      <c r="P61" s="531"/>
      <c r="Q61" s="531"/>
      <c r="R61" s="531"/>
    </row>
    <row r="62" spans="2:22">
      <c r="B62" s="531"/>
      <c r="C62" s="531"/>
      <c r="D62" s="531"/>
      <c r="E62" s="531"/>
      <c r="F62" s="531"/>
      <c r="G62" s="531"/>
      <c r="H62" s="531"/>
      <c r="I62" s="531"/>
      <c r="J62" s="531"/>
      <c r="K62" s="531"/>
      <c r="L62" s="531"/>
      <c r="M62" s="531"/>
      <c r="N62" s="848"/>
      <c r="O62" s="531"/>
      <c r="P62" s="531"/>
      <c r="Q62" s="531"/>
      <c r="R62" s="531"/>
    </row>
  </sheetData>
  <pageMargins left="0.75" right="0.75" top="1" bottom="1" header="0.5" footer="0.5"/>
  <pageSetup scale="73" orientation="portrait" r:id="rId1"/>
  <headerFooter alignWithMargins="0"/>
  <ignoredErrors>
    <ignoredError sqref="L31"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CFF5D-5E36-491C-BE9C-61AC3520881C}">
  <sheetPr>
    <pageSetUpPr fitToPage="1"/>
  </sheetPr>
  <dimension ref="A1:P35"/>
  <sheetViews>
    <sheetView showGridLines="0" zoomScale="110" zoomScaleNormal="110" workbookViewId="0">
      <selection activeCell="K18" sqref="K18"/>
    </sheetView>
  </sheetViews>
  <sheetFormatPr defaultRowHeight="13.5" outlineLevelCol="1"/>
  <cols>
    <col min="1" max="1" width="8.5625" style="277"/>
    <col min="2" max="2" width="0.8125" style="277" customWidth="1"/>
    <col min="3" max="3" width="23.5" style="81" customWidth="1"/>
    <col min="4" max="5" width="12.0625" style="81" customWidth="1"/>
    <col min="6" max="6" width="9.5625" style="81" customWidth="1"/>
    <col min="7" max="7" width="9.3125" style="81" customWidth="1" outlineLevel="1"/>
    <col min="8" max="8" width="10.5" style="277" customWidth="1" outlineLevel="1"/>
    <col min="9" max="9" width="8.8125" style="277" customWidth="1" outlineLevel="1"/>
    <col min="10" max="10" width="13" style="277" customWidth="1" outlineLevel="1"/>
    <col min="12" max="12" width="25.8125" bestFit="1" customWidth="1"/>
    <col min="13" max="13" width="9" customWidth="1"/>
  </cols>
  <sheetData>
    <row r="1" spans="3:16">
      <c r="C1" s="277"/>
      <c r="D1" s="277"/>
      <c r="E1" s="277"/>
      <c r="F1" s="277"/>
      <c r="G1" s="277"/>
    </row>
    <row r="2" spans="3:16">
      <c r="C2" s="277"/>
      <c r="D2" s="277"/>
      <c r="E2" s="277"/>
      <c r="F2" s="277"/>
      <c r="G2" s="277"/>
    </row>
    <row r="3" spans="3:16">
      <c r="C3" s="277"/>
      <c r="D3" s="277"/>
      <c r="E3" s="277"/>
      <c r="F3" s="277"/>
      <c r="G3" s="277"/>
    </row>
    <row r="4" spans="3:16">
      <c r="C4" s="277"/>
      <c r="D4" s="277"/>
      <c r="E4" s="277"/>
      <c r="F4" s="277"/>
      <c r="G4" s="277"/>
    </row>
    <row r="5" spans="3:16" ht="23.25">
      <c r="C5" s="1188" t="s">
        <v>625</v>
      </c>
      <c r="D5" s="1189" t="s">
        <v>636</v>
      </c>
      <c r="E5" s="1189" t="s">
        <v>632</v>
      </c>
      <c r="F5" s="1190" t="s">
        <v>587</v>
      </c>
      <c r="G5" s="1221" t="s">
        <v>638</v>
      </c>
      <c r="H5" s="1221" t="s">
        <v>639</v>
      </c>
      <c r="I5" s="1222" t="s">
        <v>640</v>
      </c>
      <c r="J5" s="1191" t="s">
        <v>588</v>
      </c>
    </row>
    <row r="6" spans="3:16">
      <c r="C6" s="1192" t="s">
        <v>591</v>
      </c>
      <c r="D6" s="1193">
        <f>AVERAGE(3189,3201)</f>
        <v>3195</v>
      </c>
      <c r="E6" s="1193">
        <f>AVERAGE(3208,3212)</f>
        <v>3210</v>
      </c>
      <c r="F6" s="1194">
        <f>E6-D6</f>
        <v>15</v>
      </c>
      <c r="G6" s="1195">
        <f>AVERAGE(804,808)</f>
        <v>806</v>
      </c>
      <c r="H6" s="1193">
        <f>Comparison!K7/1000</f>
        <v>818.35</v>
      </c>
      <c r="I6" s="1194">
        <f>H6-G6</f>
        <v>12.350000000000023</v>
      </c>
      <c r="J6" s="1194">
        <f>F6-I6</f>
        <v>2.6499999999999773</v>
      </c>
    </row>
    <row r="7" spans="3:16">
      <c r="C7" s="1196" t="s">
        <v>453</v>
      </c>
      <c r="D7" s="1197">
        <f>D6/(IS!BQ13/1000)-1</f>
        <v>7.3322182428489757E-2</v>
      </c>
      <c r="E7" s="1197">
        <f>E6/(IS!BQ13/1000)-1</f>
        <v>7.8361253707496692E-2</v>
      </c>
      <c r="F7" s="1198"/>
      <c r="G7" s="1199"/>
      <c r="H7" s="1197"/>
      <c r="I7" s="1198"/>
      <c r="J7" s="1200"/>
    </row>
    <row r="8" spans="3:16">
      <c r="C8" s="1192" t="s">
        <v>233</v>
      </c>
      <c r="D8" s="1193">
        <f>AVERAGE(3121,3133)</f>
        <v>3127</v>
      </c>
      <c r="E8" s="1193">
        <f>AVERAGE(3140,3144)</f>
        <v>3142</v>
      </c>
      <c r="F8" s="1194">
        <f>E8-D8</f>
        <v>15</v>
      </c>
      <c r="G8" s="1195">
        <f>AVERAGE(786,790)</f>
        <v>788</v>
      </c>
      <c r="H8" s="1193">
        <f>Comparison!K5/1000</f>
        <v>800.95799999999997</v>
      </c>
      <c r="I8" s="1194">
        <f>H8-G8</f>
        <v>12.95799999999997</v>
      </c>
      <c r="J8" s="1194">
        <f>F8-I8</f>
        <v>2.04200000000003</v>
      </c>
    </row>
    <row r="9" spans="3:16">
      <c r="C9" s="1196" t="s">
        <v>453</v>
      </c>
      <c r="D9" s="1197">
        <f>D8/(IS!BQ5/1000)-1</f>
        <v>7.7789370246326595E-2</v>
      </c>
      <c r="E9" s="1197">
        <f>E8/(IS!BQ5/1000)-1</f>
        <v>8.2959450372228405E-2</v>
      </c>
      <c r="F9" s="1194"/>
      <c r="G9" s="1199"/>
      <c r="H9" s="1197"/>
      <c r="I9" s="1194"/>
      <c r="J9" s="1200"/>
    </row>
    <row r="10" spans="3:16">
      <c r="C10" s="1192" t="s">
        <v>59</v>
      </c>
      <c r="D10" s="1193">
        <f>AVERAGE(3325,3355)</f>
        <v>3340</v>
      </c>
      <c r="E10" s="1193">
        <f>AVERAGE(3379,3389)</f>
        <v>3384</v>
      </c>
      <c r="F10" s="1194">
        <f>E10-D10</f>
        <v>44</v>
      </c>
      <c r="G10" s="1195">
        <f>AVERAGE(785,795)</f>
        <v>790</v>
      </c>
      <c r="H10" s="1193">
        <f>IS!BO108/1000</f>
        <v>752.30700000000002</v>
      </c>
      <c r="I10" s="1194">
        <f>H10-G10</f>
        <v>-37.692999999999984</v>
      </c>
      <c r="J10" s="1194">
        <f>F10-I10</f>
        <v>81.692999999999984</v>
      </c>
    </row>
    <row r="11" spans="3:16">
      <c r="C11" s="1196" t="s">
        <v>453</v>
      </c>
      <c r="D11" s="1197">
        <f>D10/(IS!BQ108/1000)-1</f>
        <v>7.4107293027725119E-2</v>
      </c>
      <c r="E11" s="1197">
        <f>E10/(IS!BQ108/1000)-1</f>
        <v>8.8257209462820896E-2</v>
      </c>
      <c r="F11" s="1194"/>
      <c r="G11" s="1199"/>
      <c r="H11" s="1197"/>
      <c r="I11" s="1194"/>
      <c r="J11" s="1200"/>
    </row>
    <row r="12" spans="3:16">
      <c r="C12" s="1201" t="s">
        <v>88</v>
      </c>
      <c r="D12" s="1205">
        <f>AVERAGE(28.6%,29.6%)</f>
        <v>0.29100000000000004</v>
      </c>
      <c r="E12" s="1205">
        <f>AVERAGE(29.8%,29.9%)</f>
        <v>0.29849999999999999</v>
      </c>
      <c r="F12" s="1202">
        <f>E12-D12</f>
        <v>7.4999999999999512E-3</v>
      </c>
      <c r="G12" s="1203">
        <f>AVERAGE(28%,29%)</f>
        <v>0.28500000000000003</v>
      </c>
      <c r="H12" s="1205">
        <f>Comparison!K24</f>
        <v>0.31411009959063968</v>
      </c>
      <c r="I12" s="1202"/>
      <c r="J12" s="1202"/>
    </row>
    <row r="13" spans="3:16" ht="13.9" thickBot="1">
      <c r="C13" s="277"/>
      <c r="D13" s="277"/>
      <c r="E13" s="277"/>
      <c r="F13" s="277"/>
      <c r="G13" s="277"/>
    </row>
    <row r="14" spans="3:16" ht="13.9">
      <c r="C14" s="277"/>
      <c r="D14" s="277"/>
      <c r="E14" s="277"/>
      <c r="F14" s="277"/>
      <c r="G14" s="277"/>
      <c r="L14" s="1224" t="s">
        <v>618</v>
      </c>
      <c r="M14" s="1225" t="s">
        <v>571</v>
      </c>
      <c r="N14" s="1225" t="s">
        <v>598</v>
      </c>
      <c r="O14" s="1225" t="s">
        <v>617</v>
      </c>
      <c r="P14" s="1226" t="s">
        <v>610</v>
      </c>
    </row>
    <row r="15" spans="3:16">
      <c r="C15" s="277"/>
      <c r="D15" s="277"/>
      <c r="E15" s="277"/>
      <c r="F15" s="277"/>
      <c r="G15" s="277"/>
      <c r="L15" s="92" t="s">
        <v>619</v>
      </c>
      <c r="M15" s="1227">
        <v>0.17499999999999999</v>
      </c>
      <c r="N15" s="1227">
        <v>7.3999999999999996E-2</v>
      </c>
      <c r="O15" s="1227">
        <v>5.8000000000000003E-2</v>
      </c>
      <c r="P15" s="1228">
        <v>5.2999999999999999E-2</v>
      </c>
    </row>
    <row r="16" spans="3:16">
      <c r="C16" s="277"/>
      <c r="D16" s="277"/>
      <c r="E16" s="277"/>
      <c r="F16" s="277"/>
      <c r="G16" s="277"/>
      <c r="L16" s="92" t="s">
        <v>620</v>
      </c>
      <c r="M16" s="1227">
        <f>IS!BG14</f>
        <v>0.19395381482555396</v>
      </c>
      <c r="N16" s="1227">
        <f>IS!BL14</f>
        <v>9.7764431628254433E-2</v>
      </c>
      <c r="O16" s="1227">
        <f>IS!BQ14</f>
        <v>7.7793692851468643E-2</v>
      </c>
      <c r="P16" s="1228" t="s">
        <v>621</v>
      </c>
    </row>
    <row r="17" spans="3:16">
      <c r="C17" s="277"/>
      <c r="D17" s="277"/>
      <c r="E17" s="277"/>
      <c r="F17" s="277"/>
      <c r="G17" s="277"/>
      <c r="L17" s="1083" t="s">
        <v>622</v>
      </c>
      <c r="M17" s="1229">
        <f>M16-M15</f>
        <v>1.8953814825553972E-2</v>
      </c>
      <c r="N17" s="1229">
        <f>N16-N15</f>
        <v>2.3764431628254437E-2</v>
      </c>
      <c r="O17" s="1229">
        <f>O16-O15</f>
        <v>1.979369285146864E-2</v>
      </c>
      <c r="P17" s="1230" t="s">
        <v>621</v>
      </c>
    </row>
    <row r="18" spans="3:16">
      <c r="C18" s="277"/>
      <c r="D18" s="277"/>
      <c r="E18" s="277"/>
      <c r="F18" s="277"/>
      <c r="G18" s="277"/>
      <c r="L18" s="92"/>
      <c r="M18" s="1227"/>
      <c r="N18" s="1227"/>
      <c r="O18" s="1227"/>
      <c r="P18" s="1228"/>
    </row>
    <row r="19" spans="3:16">
      <c r="C19" s="277"/>
      <c r="D19" s="277"/>
      <c r="E19" s="277"/>
      <c r="F19" s="277"/>
      <c r="G19" s="277"/>
      <c r="L19" s="92" t="s">
        <v>624</v>
      </c>
      <c r="M19" s="1227">
        <v>0.17</v>
      </c>
      <c r="N19" s="1227">
        <v>0.22</v>
      </c>
      <c r="O19" s="1227">
        <v>0.27250000000000002</v>
      </c>
      <c r="P19" s="1228">
        <v>0.28299999999999997</v>
      </c>
    </row>
    <row r="20" spans="3:16">
      <c r="C20" s="277"/>
      <c r="D20" s="277"/>
      <c r="E20" s="277"/>
      <c r="F20" s="277"/>
      <c r="G20" s="277"/>
      <c r="L20" s="92" t="s">
        <v>623</v>
      </c>
      <c r="M20" s="1227">
        <f>IS!BG36</f>
        <v>0.20544811728536139</v>
      </c>
      <c r="N20" s="1227">
        <f>IS!BL36</f>
        <v>0.25756639856445712</v>
      </c>
      <c r="O20" s="1227">
        <f>IS!BQ36</f>
        <v>0.29764047167050922</v>
      </c>
      <c r="P20" s="1228" t="s">
        <v>621</v>
      </c>
    </row>
    <row r="21" spans="3:16" ht="13.9" thickBot="1">
      <c r="C21" s="277"/>
      <c r="D21" s="277"/>
      <c r="E21" s="277"/>
      <c r="F21" s="277"/>
      <c r="G21" s="277"/>
      <c r="L21" s="1231" t="s">
        <v>622</v>
      </c>
      <c r="M21" s="1232">
        <f>M20-M19</f>
        <v>3.5448117285361375E-2</v>
      </c>
      <c r="N21" s="1232">
        <f>N20-N19</f>
        <v>3.7566398564457121E-2</v>
      </c>
      <c r="O21" s="1232">
        <f>O20-O19</f>
        <v>2.5140471670509201E-2</v>
      </c>
      <c r="P21" s="1233" t="s">
        <v>621</v>
      </c>
    </row>
    <row r="22" spans="3:16">
      <c r="C22" s="277"/>
      <c r="D22" s="277"/>
      <c r="E22" s="277"/>
      <c r="F22" s="277"/>
      <c r="G22" s="277"/>
    </row>
    <row r="23" spans="3:16">
      <c r="C23" s="277"/>
      <c r="D23" s="277"/>
      <c r="E23" s="277"/>
      <c r="F23" s="277"/>
      <c r="G23" s="277"/>
    </row>
    <row r="24" spans="3:16">
      <c r="C24" s="277"/>
      <c r="D24" s="277"/>
      <c r="E24" s="277"/>
      <c r="F24" s="277"/>
      <c r="G24" s="277"/>
    </row>
    <row r="25" spans="3:16">
      <c r="C25" s="277"/>
      <c r="D25" s="277"/>
      <c r="E25" s="277"/>
      <c r="F25" s="277"/>
      <c r="G25" s="277"/>
    </row>
    <row r="26" spans="3:16">
      <c r="C26" s="277"/>
      <c r="D26" s="277"/>
      <c r="E26" s="277"/>
      <c r="F26" s="277"/>
      <c r="G26" s="277"/>
    </row>
    <row r="27" spans="3:16">
      <c r="C27" s="277"/>
      <c r="D27" s="277"/>
      <c r="E27" s="277"/>
      <c r="F27" s="277"/>
      <c r="G27" s="277"/>
    </row>
    <row r="28" spans="3:16">
      <c r="C28" s="277"/>
      <c r="D28" s="277"/>
      <c r="E28" s="277"/>
      <c r="F28" s="277"/>
      <c r="G28" s="277"/>
    </row>
    <row r="29" spans="3:16">
      <c r="C29" s="277"/>
      <c r="D29" s="277"/>
      <c r="E29" s="277"/>
      <c r="F29" s="277"/>
      <c r="G29" s="277"/>
    </row>
    <row r="30" spans="3:16">
      <c r="C30" s="277"/>
      <c r="D30" s="277"/>
      <c r="E30" s="277"/>
      <c r="F30" s="277"/>
      <c r="G30" s="277"/>
    </row>
    <row r="31" spans="3:16">
      <c r="C31" s="277"/>
      <c r="D31" s="277"/>
      <c r="E31" s="277"/>
      <c r="F31" s="277"/>
      <c r="G31" s="277"/>
    </row>
    <row r="32" spans="3:16">
      <c r="C32" s="277"/>
      <c r="D32" s="277"/>
      <c r="E32" s="277"/>
      <c r="F32" s="277"/>
      <c r="G32" s="277"/>
    </row>
    <row r="33" spans="3:7">
      <c r="C33" s="277"/>
      <c r="D33" s="277"/>
      <c r="E33" s="277"/>
      <c r="F33" s="277"/>
      <c r="G33" s="277"/>
    </row>
    <row r="34" spans="3:7">
      <c r="C34" s="277"/>
      <c r="D34" s="277"/>
      <c r="E34" s="277"/>
      <c r="F34" s="277"/>
      <c r="G34" s="277"/>
    </row>
    <row r="35" spans="3:7">
      <c r="C35" s="277"/>
      <c r="D35" s="277"/>
      <c r="E35" s="277"/>
      <c r="F35" s="277"/>
      <c r="G35" s="277"/>
    </row>
  </sheetData>
  <pageMargins left="0.7" right="0.7" top="0.75" bottom="0.75" header="0.3" footer="0.3"/>
  <pageSetup scale="84"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CA185"/>
  <sheetViews>
    <sheetView showGridLines="0" zoomScaleNormal="100" workbookViewId="0">
      <pane xSplit="3" ySplit="4" topLeftCell="BK83" activePane="bottomRight" state="frozen"/>
      <selection activeCell="B4" sqref="B4:BV87"/>
      <selection pane="topRight" activeCell="B4" sqref="B4:BV87"/>
      <selection pane="bottomLeft" activeCell="B4" sqref="B4:BV87"/>
      <selection pane="bottomRight" activeCell="BR120" sqref="BR120"/>
    </sheetView>
  </sheetViews>
  <sheetFormatPr defaultColWidth="9" defaultRowHeight="12.75" outlineLevelRow="1" outlineLevelCol="2"/>
  <cols>
    <col min="1" max="1" width="1.5625" style="53" customWidth="1"/>
    <col min="2" max="2" width="2" style="53" customWidth="1"/>
    <col min="3" max="3" width="33.0625" style="53" customWidth="1"/>
    <col min="4" max="4" width="8" style="53" hidden="1" customWidth="1" outlineLevel="1"/>
    <col min="5" max="5" width="8.0625" style="53" hidden="1" customWidth="1" outlineLevel="1"/>
    <col min="6" max="7" width="7.5625" style="53" hidden="1" customWidth="1" outlineLevel="1"/>
    <col min="8" max="9" width="8" style="53" hidden="1" customWidth="1" outlineLevel="1"/>
    <col min="10" max="10" width="8.0625" style="53" hidden="1" customWidth="1" outlineLevel="1"/>
    <col min="11" max="11" width="6.5625" style="53" hidden="1" customWidth="1" outlineLevel="1"/>
    <col min="12" max="13" width="7.0625" style="53" hidden="1" customWidth="1" outlineLevel="1"/>
    <col min="14" max="14" width="8" style="53" hidden="1" customWidth="1" outlineLevel="1"/>
    <col min="15" max="18" width="6.8125" style="53" hidden="1" customWidth="1" outlineLevel="1"/>
    <col min="19" max="19" width="7.5625" style="53" hidden="1" customWidth="1" outlineLevel="1"/>
    <col min="20" max="20" width="7.0625" style="53" hidden="1" customWidth="1" outlineLevel="2"/>
    <col min="21" max="21" width="7.5625" style="53" hidden="1" customWidth="1" outlineLevel="2"/>
    <col min="22" max="22" width="7.0625" style="53" hidden="1" customWidth="1" outlineLevel="2"/>
    <col min="23" max="23" width="8" style="53" hidden="1" customWidth="1" outlineLevel="2"/>
    <col min="24" max="24" width="9.5625" style="53" hidden="1" customWidth="1" collapsed="1"/>
    <col min="25" max="28" width="9.5625" style="53" hidden="1" customWidth="1" outlineLevel="1"/>
    <col min="29" max="29" width="9.5625" style="53" hidden="1" customWidth="1" collapsed="1"/>
    <col min="30" max="33" width="9.5625" style="53" hidden="1" customWidth="1" outlineLevel="1"/>
    <col min="34" max="34" width="9.5625" style="53" hidden="1" customWidth="1" collapsed="1"/>
    <col min="35" max="38" width="9.5625" style="53" hidden="1" customWidth="1" outlineLevel="1"/>
    <col min="39" max="39" width="9.5625" style="53" customWidth="1" collapsed="1"/>
    <col min="40" max="43" width="9.5625" style="53" hidden="1" customWidth="1" outlineLevel="1"/>
    <col min="44" max="44" width="9.5625" style="53" customWidth="1" collapsed="1"/>
    <col min="45" max="48" width="9.0625" style="53" hidden="1" customWidth="1" outlineLevel="1"/>
    <col min="49" max="49" width="9.5625" style="53" customWidth="1" collapsed="1"/>
    <col min="50" max="52" width="9.0625" style="53" hidden="1" customWidth="1" outlineLevel="1"/>
    <col min="53" max="53" width="10.5625" style="53" hidden="1" customWidth="1" outlineLevel="1"/>
    <col min="54" max="54" width="9.5625" style="53" customWidth="1" collapsed="1"/>
    <col min="55" max="55" width="9.8125" style="53" customWidth="1" outlineLevel="1"/>
    <col min="56" max="57" width="9.75" style="53" customWidth="1" outlineLevel="1"/>
    <col min="58" max="58" width="10.0625" style="53" customWidth="1" outlineLevel="1"/>
    <col min="59" max="59" width="9.5625" style="53" customWidth="1"/>
    <col min="60" max="60" width="9.3125" style="53" bestFit="1" customWidth="1" outlineLevel="1"/>
    <col min="61" max="61" width="10.3125" style="53" customWidth="1" outlineLevel="1"/>
    <col min="62" max="63" width="9.3125" style="53" bestFit="1" customWidth="1" outlineLevel="1"/>
    <col min="64" max="64" width="9.3125" style="53" bestFit="1" customWidth="1"/>
    <col min="65" max="65" width="9.3125" style="53" bestFit="1" customWidth="1" outlineLevel="1"/>
    <col min="66" max="66" width="10.3125" style="53" customWidth="1" outlineLevel="1"/>
    <col min="67" max="68" width="9.3125" style="53" bestFit="1" customWidth="1" outlineLevel="1"/>
    <col min="69" max="69" width="9.5625" style="53" customWidth="1"/>
    <col min="70" max="72" width="9.3125" style="53" bestFit="1" customWidth="1" outlineLevel="1"/>
    <col min="73" max="73" width="9.0625" style="53" customWidth="1" outlineLevel="1"/>
    <col min="74" max="74" width="9.5625" style="53" customWidth="1"/>
    <col min="75" max="78" width="9.0625" style="53" customWidth="1" outlineLevel="1"/>
    <col min="79" max="79" width="9.5625" style="53" customWidth="1"/>
    <col min="80" max="16384" width="9" style="53"/>
  </cols>
  <sheetData>
    <row r="1" spans="1:79" ht="10.5" customHeight="1">
      <c r="A1" s="81"/>
      <c r="B1" s="81"/>
      <c r="C1" s="81"/>
      <c r="D1" s="81"/>
      <c r="E1" s="81"/>
      <c r="F1" s="81"/>
      <c r="G1" s="81"/>
      <c r="H1" s="81"/>
      <c r="I1" s="81"/>
      <c r="J1" s="81"/>
      <c r="K1" s="81"/>
      <c r="L1" s="81"/>
      <c r="M1" s="81"/>
      <c r="N1" s="81"/>
      <c r="O1" s="81"/>
      <c r="P1" s="81"/>
      <c r="Q1" s="81"/>
      <c r="R1" s="81"/>
      <c r="S1" s="81"/>
      <c r="T1" s="103"/>
      <c r="U1" s="75"/>
      <c r="V1" s="103"/>
      <c r="W1" s="103"/>
      <c r="X1" s="81"/>
      <c r="Y1" s="103"/>
      <c r="Z1" s="103"/>
      <c r="AA1" s="103"/>
      <c r="AB1" s="103"/>
      <c r="AC1" s="103"/>
      <c r="AD1" s="103"/>
      <c r="AE1" s="103"/>
      <c r="AF1" s="103"/>
      <c r="AG1" s="103"/>
      <c r="AI1" s="103"/>
      <c r="AJ1" s="404"/>
      <c r="AK1" s="103"/>
      <c r="AL1" s="103"/>
      <c r="AN1" s="103"/>
      <c r="AO1" s="103"/>
      <c r="AP1" s="103"/>
      <c r="AQ1" s="103"/>
      <c r="BP1" s="1186"/>
      <c r="BQ1" s="1186"/>
      <c r="BS1" s="1186"/>
      <c r="BT1" s="1186"/>
      <c r="BU1" s="1186"/>
      <c r="BV1" s="1186"/>
      <c r="BX1" s="1186"/>
      <c r="BY1" s="1186"/>
      <c r="BZ1" s="1186"/>
      <c r="CA1" s="1186"/>
    </row>
    <row r="2" spans="1:79" ht="15">
      <c r="A2" s="81"/>
      <c r="B2" s="134" t="s">
        <v>470</v>
      </c>
      <c r="E2" s="81"/>
      <c r="F2" s="81"/>
      <c r="G2" s="81"/>
      <c r="H2" s="81"/>
      <c r="I2" s="81"/>
      <c r="J2" s="81"/>
      <c r="K2" s="81"/>
      <c r="L2" s="81"/>
      <c r="M2" s="81"/>
      <c r="N2" s="81"/>
      <c r="O2" s="103"/>
      <c r="P2" s="103"/>
      <c r="Q2" s="103"/>
      <c r="R2" s="103"/>
      <c r="S2" s="81"/>
      <c r="T2" s="103"/>
      <c r="U2" s="103"/>
      <c r="V2" s="103"/>
      <c r="W2" s="103"/>
      <c r="X2" s="103"/>
      <c r="Y2" s="103"/>
      <c r="Z2" s="101"/>
      <c r="AA2" s="103"/>
      <c r="AB2" s="103"/>
      <c r="AC2" s="103"/>
      <c r="AD2" s="103"/>
      <c r="AE2" s="103"/>
      <c r="AF2" s="103"/>
      <c r="AG2" s="103"/>
      <c r="AH2" s="130"/>
      <c r="AI2" s="130"/>
      <c r="AJ2" s="404"/>
      <c r="AK2" s="130"/>
      <c r="AL2" s="130"/>
      <c r="AM2" s="130"/>
      <c r="AN2" s="130"/>
      <c r="AO2" s="130"/>
      <c r="AP2" s="130"/>
      <c r="AQ2" s="130"/>
      <c r="AR2" s="130"/>
      <c r="AT2" s="468"/>
      <c r="BA2" s="853"/>
      <c r="BE2" s="1184"/>
      <c r="BF2" s="1186"/>
      <c r="BH2" s="1204"/>
      <c r="BM2" s="1147"/>
      <c r="BR2" s="1147"/>
      <c r="BW2" s="1147"/>
    </row>
    <row r="3" spans="1:79" ht="5.55" customHeight="1" thickBot="1">
      <c r="A3" s="81"/>
      <c r="B3" s="134"/>
      <c r="E3" s="81"/>
      <c r="F3" s="81"/>
      <c r="G3" s="81"/>
      <c r="H3" s="81"/>
      <c r="I3" s="81"/>
      <c r="J3" s="81"/>
      <c r="K3" s="81"/>
      <c r="L3" s="81"/>
      <c r="M3" s="81"/>
      <c r="N3" s="81"/>
      <c r="O3" s="103"/>
      <c r="P3" s="103"/>
      <c r="Q3" s="103"/>
      <c r="R3" s="103"/>
      <c r="S3" s="81"/>
      <c r="T3" s="103"/>
      <c r="U3" s="103"/>
      <c r="V3" s="103"/>
      <c r="W3" s="103"/>
      <c r="X3" s="103"/>
      <c r="Y3" s="103"/>
      <c r="Z3" s="101"/>
      <c r="AA3" s="103"/>
      <c r="AB3" s="103"/>
      <c r="AC3" s="103"/>
      <c r="AD3" s="103"/>
      <c r="AE3" s="103"/>
      <c r="AF3" s="415"/>
      <c r="AG3" s="415"/>
      <c r="AH3" s="412"/>
      <c r="AI3" s="130"/>
      <c r="AJ3" s="404"/>
      <c r="AK3" s="130"/>
      <c r="AL3" s="130"/>
      <c r="AM3" s="130"/>
      <c r="AN3" s="130"/>
      <c r="AO3" s="130"/>
      <c r="AP3" s="130"/>
      <c r="AQ3" s="130"/>
      <c r="AR3" s="130"/>
      <c r="BF3" s="1186"/>
    </row>
    <row r="4" spans="1:79" ht="13.5" thickBot="1">
      <c r="A4" s="81"/>
      <c r="B4" s="1169" t="s">
        <v>549</v>
      </c>
      <c r="C4" s="1170"/>
      <c r="D4" s="1171">
        <v>2012</v>
      </c>
      <c r="E4" s="1172" t="s">
        <v>102</v>
      </c>
      <c r="F4" s="1173" t="s">
        <v>101</v>
      </c>
      <c r="G4" s="1173" t="s">
        <v>100</v>
      </c>
      <c r="H4" s="1173" t="s">
        <v>99</v>
      </c>
      <c r="I4" s="1171" t="s">
        <v>607</v>
      </c>
      <c r="J4" s="1173" t="s">
        <v>67</v>
      </c>
      <c r="K4" s="1173" t="s">
        <v>66</v>
      </c>
      <c r="L4" s="1173" t="s">
        <v>65</v>
      </c>
      <c r="M4" s="1173" t="s">
        <v>64</v>
      </c>
      <c r="N4" s="1171" t="s">
        <v>606</v>
      </c>
      <c r="O4" s="1173" t="s">
        <v>63</v>
      </c>
      <c r="P4" s="1173" t="s">
        <v>62</v>
      </c>
      <c r="Q4" s="1173" t="s">
        <v>61</v>
      </c>
      <c r="R4" s="1173" t="s">
        <v>140</v>
      </c>
      <c r="S4" s="1171" t="s">
        <v>608</v>
      </c>
      <c r="T4" s="1173" t="s">
        <v>155</v>
      </c>
      <c r="U4" s="1173" t="s">
        <v>156</v>
      </c>
      <c r="V4" s="1173" t="s">
        <v>164</v>
      </c>
      <c r="W4" s="1173" t="s">
        <v>165</v>
      </c>
      <c r="X4" s="1171" t="s">
        <v>609</v>
      </c>
      <c r="Y4" s="1172" t="s">
        <v>179</v>
      </c>
      <c r="Z4" s="1173" t="s">
        <v>183</v>
      </c>
      <c r="AA4" s="1173" t="s">
        <v>184</v>
      </c>
      <c r="AB4" s="1173" t="s">
        <v>185</v>
      </c>
      <c r="AC4" s="1171" t="s">
        <v>196</v>
      </c>
      <c r="AD4" s="1173" t="s">
        <v>186</v>
      </c>
      <c r="AE4" s="1173" t="s">
        <v>187</v>
      </c>
      <c r="AF4" s="1173" t="s">
        <v>189</v>
      </c>
      <c r="AG4" s="1173" t="s">
        <v>207</v>
      </c>
      <c r="AH4" s="1171" t="s">
        <v>206</v>
      </c>
      <c r="AI4" s="1174" t="s">
        <v>208</v>
      </c>
      <c r="AJ4" s="1172" t="s">
        <v>212</v>
      </c>
      <c r="AK4" s="1172" t="s">
        <v>226</v>
      </c>
      <c r="AL4" s="1175" t="s">
        <v>227</v>
      </c>
      <c r="AM4" s="1171" t="s">
        <v>228</v>
      </c>
      <c r="AN4" s="1173" t="s">
        <v>241</v>
      </c>
      <c r="AO4" s="1173" t="s">
        <v>245</v>
      </c>
      <c r="AP4" s="1173" t="s">
        <v>246</v>
      </c>
      <c r="AQ4" s="1173" t="s">
        <v>247</v>
      </c>
      <c r="AR4" s="1171" t="s">
        <v>248</v>
      </c>
      <c r="AS4" s="1173" t="s">
        <v>254</v>
      </c>
      <c r="AT4" s="1173" t="s">
        <v>255</v>
      </c>
      <c r="AU4" s="1173" t="s">
        <v>399</v>
      </c>
      <c r="AV4" s="1173" t="s">
        <v>400</v>
      </c>
      <c r="AW4" s="1171" t="s">
        <v>371</v>
      </c>
      <c r="AX4" s="1173" t="s">
        <v>408</v>
      </c>
      <c r="AY4" s="1173" t="s">
        <v>417</v>
      </c>
      <c r="AZ4" s="1173" t="s">
        <v>475</v>
      </c>
      <c r="BA4" s="1173" t="s">
        <v>569</v>
      </c>
      <c r="BB4" s="1171" t="s">
        <v>590</v>
      </c>
      <c r="BC4" s="1173" t="s">
        <v>570</v>
      </c>
      <c r="BD4" s="1173" t="s">
        <v>579</v>
      </c>
      <c r="BE4" s="1173" t="s">
        <v>582</v>
      </c>
      <c r="BF4" s="1173" t="s">
        <v>589</v>
      </c>
      <c r="BG4" s="1171" t="s">
        <v>571</v>
      </c>
      <c r="BH4" s="1173" t="s">
        <v>592</v>
      </c>
      <c r="BI4" s="1173" t="s">
        <v>594</v>
      </c>
      <c r="BJ4" s="1173" t="s">
        <v>596</v>
      </c>
      <c r="BK4" s="1173" t="s">
        <v>597</v>
      </c>
      <c r="BL4" s="1171" t="s">
        <v>598</v>
      </c>
      <c r="BM4" s="1181" t="s">
        <v>601</v>
      </c>
      <c r="BN4" s="1173" t="s">
        <v>605</v>
      </c>
      <c r="BO4" s="1173" t="s">
        <v>615</v>
      </c>
      <c r="BP4" s="1181" t="s">
        <v>616</v>
      </c>
      <c r="BQ4" s="1171" t="s">
        <v>617</v>
      </c>
      <c r="BR4" s="1181" t="s">
        <v>631</v>
      </c>
      <c r="BS4" s="1181" t="s">
        <v>635</v>
      </c>
      <c r="BT4" s="1181" t="s">
        <v>637</v>
      </c>
      <c r="BU4" s="1181" t="s">
        <v>600</v>
      </c>
      <c r="BV4" s="1171" t="s">
        <v>610</v>
      </c>
      <c r="BW4" s="1181" t="s">
        <v>626</v>
      </c>
      <c r="BX4" s="1181" t="s">
        <v>627</v>
      </c>
      <c r="BY4" s="1181" t="s">
        <v>628</v>
      </c>
      <c r="BZ4" s="1181" t="s">
        <v>629</v>
      </c>
      <c r="CA4" s="1171" t="s">
        <v>630</v>
      </c>
    </row>
    <row r="5" spans="1:79" ht="18" customHeight="1">
      <c r="A5" s="75"/>
      <c r="B5" s="181" t="s">
        <v>188</v>
      </c>
      <c r="C5" s="177"/>
      <c r="D5" s="180"/>
      <c r="E5" s="346"/>
      <c r="F5" s="346"/>
      <c r="G5" s="346"/>
      <c r="H5" s="346"/>
      <c r="I5" s="180"/>
      <c r="J5" s="307"/>
      <c r="K5" s="346"/>
      <c r="L5" s="346"/>
      <c r="M5" s="308"/>
      <c r="N5" s="177"/>
      <c r="O5" s="346"/>
      <c r="P5" s="346"/>
      <c r="Q5" s="346"/>
      <c r="R5" s="308"/>
      <c r="S5" s="348"/>
      <c r="T5" s="181"/>
      <c r="U5" s="347"/>
      <c r="V5" s="347"/>
      <c r="W5" s="300"/>
      <c r="X5" s="416">
        <f>229127</f>
        <v>229127</v>
      </c>
      <c r="Y5" s="313"/>
      <c r="Z5" s="347"/>
      <c r="AA5" s="347"/>
      <c r="AB5" s="300"/>
      <c r="AC5" s="348">
        <f>348563</f>
        <v>348563</v>
      </c>
      <c r="AD5" s="313">
        <v>106847</v>
      </c>
      <c r="AE5" s="347">
        <v>117553</v>
      </c>
      <c r="AF5" s="347">
        <v>122905</v>
      </c>
      <c r="AG5" s="341">
        <v>137276</v>
      </c>
      <c r="AH5" s="180">
        <f>SUM(AD5:AG5)</f>
        <v>484581</v>
      </c>
      <c r="AI5" s="313">
        <v>148198</v>
      </c>
      <c r="AJ5" s="347">
        <v>158461</v>
      </c>
      <c r="AK5" s="347">
        <v>169426</v>
      </c>
      <c r="AL5" s="347">
        <f>187572</f>
        <v>187572</v>
      </c>
      <c r="AM5" s="180">
        <f>SUM(AI5:AL5)</f>
        <v>663657</v>
      </c>
      <c r="AN5" s="313">
        <f>201458</f>
        <v>201458</v>
      </c>
      <c r="AO5" s="347">
        <v>220811</v>
      </c>
      <c r="AP5" s="347">
        <f>238072</f>
        <v>238072</v>
      </c>
      <c r="AQ5" s="347">
        <v>258122</v>
      </c>
      <c r="AR5" s="180">
        <f>SUM(AN5:AQ5)</f>
        <v>918463</v>
      </c>
      <c r="AS5" s="313">
        <v>280922</v>
      </c>
      <c r="AT5" s="347">
        <f>323643</f>
        <v>323643</v>
      </c>
      <c r="AU5" s="347">
        <f>366617</f>
        <v>366617</v>
      </c>
      <c r="AV5" s="348">
        <v>410215</v>
      </c>
      <c r="AW5" s="180">
        <f>SUM(AS5:AV5)</f>
        <v>1381397</v>
      </c>
      <c r="AX5" s="348">
        <v>451935</v>
      </c>
      <c r="AY5" s="348">
        <v>492758</v>
      </c>
      <c r="AZ5" s="347">
        <v>528573</v>
      </c>
      <c r="BA5" s="347">
        <v>564006</v>
      </c>
      <c r="BB5" s="180">
        <f>SUM(AX5:BA5)</f>
        <v>2037272</v>
      </c>
      <c r="BC5" s="313">
        <v>569251</v>
      </c>
      <c r="BD5" s="347">
        <v>605194</v>
      </c>
      <c r="BE5" s="347">
        <v>624055</v>
      </c>
      <c r="BF5" s="347">
        <v>643677</v>
      </c>
      <c r="BG5" s="180">
        <f>SUM(BC5:BF5)</f>
        <v>2442177</v>
      </c>
      <c r="BH5" s="313">
        <v>639307</v>
      </c>
      <c r="BI5" s="347">
        <v>669367</v>
      </c>
      <c r="BJ5" s="347">
        <v>682352</v>
      </c>
      <c r="BK5" s="347">
        <v>695682</v>
      </c>
      <c r="BL5" s="180">
        <f>SUM(BH5:BK5)</f>
        <v>2686708</v>
      </c>
      <c r="BM5" s="313">
        <v>691483</v>
      </c>
      <c r="BN5" s="347">
        <v>717366</v>
      </c>
      <c r="BO5" s="347">
        <v>734693</v>
      </c>
      <c r="BP5" s="347">
        <v>757767</v>
      </c>
      <c r="BQ5" s="180">
        <f>SUM(BM5:BP5)</f>
        <v>2901309</v>
      </c>
      <c r="BR5" s="313">
        <v>746202</v>
      </c>
      <c r="BS5" s="347">
        <v>784388</v>
      </c>
      <c r="BT5" s="347">
        <v>800958</v>
      </c>
      <c r="BU5" s="347">
        <f>BP5*(1+BU6)</f>
        <v>810280.25309999997</v>
      </c>
      <c r="BV5" s="180">
        <f>SUM(BR5:BU5)</f>
        <v>3141828.2530999999</v>
      </c>
      <c r="BW5" s="313">
        <f>BR5*(1+BW6)</f>
        <v>790974.12</v>
      </c>
      <c r="BX5" s="347">
        <f>BS5*(1+BX6)</f>
        <v>831451.28</v>
      </c>
      <c r="BY5" s="347">
        <f>BT5*(1+BY6)</f>
        <v>849015.4800000001</v>
      </c>
      <c r="BZ5" s="347">
        <f>BU5*(1+BZ6)</f>
        <v>858897.06828600005</v>
      </c>
      <c r="CA5" s="180">
        <f>SUM(BW5:BZ5)</f>
        <v>3330337.9482859997</v>
      </c>
    </row>
    <row r="6" spans="1:79" s="956" customFormat="1" ht="12" customHeight="1">
      <c r="A6" s="941"/>
      <c r="B6" s="942"/>
      <c r="C6" s="943" t="s">
        <v>98</v>
      </c>
      <c r="D6" s="944"/>
      <c r="E6" s="945"/>
      <c r="F6" s="945"/>
      <c r="G6" s="945"/>
      <c r="H6" s="945"/>
      <c r="I6" s="944"/>
      <c r="J6" s="942"/>
      <c r="K6" s="945"/>
      <c r="L6" s="945"/>
      <c r="M6" s="943"/>
      <c r="N6" s="943"/>
      <c r="O6" s="946" t="e">
        <f>O5/J5-1</f>
        <v>#DIV/0!</v>
      </c>
      <c r="P6" s="946" t="e">
        <f>P5/K5-1</f>
        <v>#DIV/0!</v>
      </c>
      <c r="Q6" s="946" t="e">
        <f>Q5/L5-1</f>
        <v>#DIV/0!</v>
      </c>
      <c r="R6" s="947" t="e">
        <f>R5/M5-1</f>
        <v>#DIV/0!</v>
      </c>
      <c r="S6" s="945"/>
      <c r="T6" s="948"/>
      <c r="U6" s="949"/>
      <c r="V6" s="949" t="e">
        <f t="shared" ref="V6:BT6" si="0">V5/Q5-1</f>
        <v>#DIV/0!</v>
      </c>
      <c r="W6" s="950" t="e">
        <f t="shared" si="0"/>
        <v>#DIV/0!</v>
      </c>
      <c r="X6" s="951" t="e">
        <f t="shared" si="0"/>
        <v>#DIV/0!</v>
      </c>
      <c r="Y6" s="952" t="e">
        <f t="shared" si="0"/>
        <v>#DIV/0!</v>
      </c>
      <c r="Z6" s="953" t="e">
        <f t="shared" si="0"/>
        <v>#DIV/0!</v>
      </c>
      <c r="AA6" s="953" t="e">
        <f t="shared" si="0"/>
        <v>#DIV/0!</v>
      </c>
      <c r="AB6" s="954" t="e">
        <f t="shared" si="0"/>
        <v>#DIV/0!</v>
      </c>
      <c r="AC6" s="945">
        <f t="shared" si="0"/>
        <v>0.52126549904638031</v>
      </c>
      <c r="AD6" s="952" t="e">
        <f>AD5/Y5-1</f>
        <v>#DIV/0!</v>
      </c>
      <c r="AE6" s="953" t="e">
        <f>AE5/Z5-1</f>
        <v>#DIV/0!</v>
      </c>
      <c r="AF6" s="953" t="e">
        <f>AF5/AA5-1</f>
        <v>#DIV/0!</v>
      </c>
      <c r="AG6" s="953" t="e">
        <f>AG5/AB5-1</f>
        <v>#DIV/0!</v>
      </c>
      <c r="AH6" s="944">
        <f t="shared" si="0"/>
        <v>0.39022500953916506</v>
      </c>
      <c r="AI6" s="942">
        <f t="shared" si="0"/>
        <v>0.38701133396351795</v>
      </c>
      <c r="AJ6" s="953">
        <f t="shared" si="0"/>
        <v>0.34799622298027266</v>
      </c>
      <c r="AK6" s="953">
        <f t="shared" si="0"/>
        <v>0.37851185875269522</v>
      </c>
      <c r="AL6" s="953">
        <f t="shared" si="0"/>
        <v>0.36638596695707926</v>
      </c>
      <c r="AM6" s="944">
        <f>AM5/AH5-1</f>
        <v>0.36954812508125578</v>
      </c>
      <c r="AN6" s="942">
        <f t="shared" si="0"/>
        <v>0.35938406726136662</v>
      </c>
      <c r="AO6" s="945">
        <f t="shared" si="0"/>
        <v>0.39347221082790096</v>
      </c>
      <c r="AP6" s="945">
        <f t="shared" si="0"/>
        <v>0.40516803796347678</v>
      </c>
      <c r="AQ6" s="945">
        <f t="shared" si="0"/>
        <v>0.37612223572814707</v>
      </c>
      <c r="AR6" s="944">
        <f>AR5/AM5-1</f>
        <v>0.38394230754742287</v>
      </c>
      <c r="AS6" s="945">
        <f t="shared" si="0"/>
        <v>0.39444449959793104</v>
      </c>
      <c r="AT6" s="945">
        <f t="shared" si="0"/>
        <v>0.46570143697551303</v>
      </c>
      <c r="AU6" s="945">
        <f t="shared" si="0"/>
        <v>0.53994169830975514</v>
      </c>
      <c r="AV6" s="945">
        <f t="shared" si="0"/>
        <v>0.58922912421258156</v>
      </c>
      <c r="AW6" s="944">
        <f>AW5/AR5-1</f>
        <v>0.50403119124014784</v>
      </c>
      <c r="AX6" s="945">
        <f t="shared" si="0"/>
        <v>0.60875616719231673</v>
      </c>
      <c r="AY6" s="945">
        <f t="shared" si="0"/>
        <v>0.52253563339852871</v>
      </c>
      <c r="AZ6" s="945">
        <f t="shared" si="0"/>
        <v>0.4417580199499751</v>
      </c>
      <c r="BA6" s="945">
        <f t="shared" si="0"/>
        <v>0.37490340431237268</v>
      </c>
      <c r="BB6" s="944">
        <f>BB5/AW5-1</f>
        <v>0.47479109915542028</v>
      </c>
      <c r="BC6" s="945">
        <f t="shared" si="0"/>
        <v>0.25958600241185126</v>
      </c>
      <c r="BD6" s="945">
        <f t="shared" si="0"/>
        <v>0.22817691442858368</v>
      </c>
      <c r="BE6" s="945">
        <f t="shared" si="0"/>
        <v>0.18064108458055927</v>
      </c>
      <c r="BF6" s="945">
        <f t="shared" si="0"/>
        <v>0.14125913554111125</v>
      </c>
      <c r="BG6" s="944">
        <f>BG5/BB5-1</f>
        <v>0.19874862070454991</v>
      </c>
      <c r="BH6" s="945">
        <f t="shared" si="0"/>
        <v>0.12306697748444884</v>
      </c>
      <c r="BI6" s="945">
        <f t="shared" si="0"/>
        <v>0.10603707240983873</v>
      </c>
      <c r="BJ6" s="945">
        <f t="shared" si="0"/>
        <v>9.3416445665846837E-2</v>
      </c>
      <c r="BK6" s="945">
        <f t="shared" si="0"/>
        <v>8.0793627859935935E-2</v>
      </c>
      <c r="BL6" s="944">
        <f>BL5/BG5-1</f>
        <v>0.1001282871798399</v>
      </c>
      <c r="BM6" s="945">
        <f t="shared" si="0"/>
        <v>8.1613371979346372E-2</v>
      </c>
      <c r="BN6" s="945">
        <f t="shared" si="0"/>
        <v>7.1708046557419136E-2</v>
      </c>
      <c r="BO6" s="945">
        <f t="shared" si="0"/>
        <v>7.6706743733439664E-2</v>
      </c>
      <c r="BP6" s="945">
        <f t="shared" si="0"/>
        <v>8.9243361190888937E-2</v>
      </c>
      <c r="BQ6" s="944">
        <f>BQ5/BL5-1</f>
        <v>7.9875073882238024E-2</v>
      </c>
      <c r="BR6" s="945">
        <f t="shared" si="0"/>
        <v>7.9132820329639308E-2</v>
      </c>
      <c r="BS6" s="945">
        <f t="shared" si="0"/>
        <v>9.3427901517495915E-2</v>
      </c>
      <c r="BT6" s="945">
        <f t="shared" si="0"/>
        <v>9.0194135509661821E-2</v>
      </c>
      <c r="BU6" s="955">
        <v>6.93E-2</v>
      </c>
      <c r="BV6" s="944">
        <f>BV5/BQ5-1</f>
        <v>8.290025402327017E-2</v>
      </c>
      <c r="BW6" s="955">
        <v>0.06</v>
      </c>
      <c r="BX6" s="955">
        <v>0.06</v>
      </c>
      <c r="BY6" s="955">
        <v>0.06</v>
      </c>
      <c r="BZ6" s="955">
        <v>0.06</v>
      </c>
      <c r="CA6" s="944">
        <f>CA5/BV5-1</f>
        <v>6.0000000000000053E-2</v>
      </c>
    </row>
    <row r="7" spans="1:79" s="956" customFormat="1" ht="12" customHeight="1">
      <c r="A7" s="941"/>
      <c r="B7" s="942"/>
      <c r="C7" s="943" t="s">
        <v>97</v>
      </c>
      <c r="D7" s="944"/>
      <c r="E7" s="945"/>
      <c r="F7" s="945" t="e">
        <f>F5/E5-1</f>
        <v>#DIV/0!</v>
      </c>
      <c r="G7" s="945" t="e">
        <f>G5/F5-1</f>
        <v>#DIV/0!</v>
      </c>
      <c r="H7" s="945" t="e">
        <f>H5/G5-1</f>
        <v>#DIV/0!</v>
      </c>
      <c r="I7" s="944"/>
      <c r="J7" s="942"/>
      <c r="K7" s="945"/>
      <c r="L7" s="945"/>
      <c r="M7" s="943"/>
      <c r="N7" s="943"/>
      <c r="O7" s="946" t="e">
        <f>O5/M5-1</f>
        <v>#DIV/0!</v>
      </c>
      <c r="P7" s="945" t="e">
        <f>P5/O5-1</f>
        <v>#DIV/0!</v>
      </c>
      <c r="Q7" s="945" t="e">
        <f>Q5/P5-1</f>
        <v>#DIV/0!</v>
      </c>
      <c r="R7" s="943" t="e">
        <f>R5/Q5-1</f>
        <v>#DIV/0!</v>
      </c>
      <c r="S7" s="945"/>
      <c r="T7" s="948" t="e">
        <f>T5/R5-1</f>
        <v>#DIV/0!</v>
      </c>
      <c r="U7" s="957" t="e">
        <f>U5/T5-1</f>
        <v>#DIV/0!</v>
      </c>
      <c r="V7" s="957" t="e">
        <f>V5/U5-1</f>
        <v>#DIV/0!</v>
      </c>
      <c r="W7" s="954" t="e">
        <f>W5/V5-1</f>
        <v>#DIV/0!</v>
      </c>
      <c r="X7" s="951"/>
      <c r="Y7" s="952" t="e">
        <f>Y5/W5-1</f>
        <v>#DIV/0!</v>
      </c>
      <c r="Z7" s="953" t="e">
        <f>Z5/Y5-1</f>
        <v>#DIV/0!</v>
      </c>
      <c r="AA7" s="953" t="e">
        <f>AA5/Z5-1</f>
        <v>#DIV/0!</v>
      </c>
      <c r="AB7" s="954" t="e">
        <f>AB5/AA5-1</f>
        <v>#DIV/0!</v>
      </c>
      <c r="AC7" s="945"/>
      <c r="AD7" s="952" t="e">
        <f>AD5/AB5-1</f>
        <v>#DIV/0!</v>
      </c>
      <c r="AE7" s="953">
        <f>AE5/AD5-1</f>
        <v>0.10019935047310646</v>
      </c>
      <c r="AF7" s="953">
        <f>AF5/AE5-1</f>
        <v>4.5528399955764742E-2</v>
      </c>
      <c r="AG7" s="953">
        <f>AG5/AF5-1</f>
        <v>0.11692770839266098</v>
      </c>
      <c r="AH7" s="944"/>
      <c r="AI7" s="952">
        <f>AI5/AG5-1</f>
        <v>7.9562341560068806E-2</v>
      </c>
      <c r="AJ7" s="953">
        <f>AJ5/AI5-1</f>
        <v>6.9251946719928847E-2</v>
      </c>
      <c r="AK7" s="953">
        <f>AK5/AJ5-1</f>
        <v>6.9196837076630935E-2</v>
      </c>
      <c r="AL7" s="953">
        <f>AL5/AK5-1</f>
        <v>0.10710280594477828</v>
      </c>
      <c r="AM7" s="944"/>
      <c r="AN7" s="942">
        <f>AN5/AL5-1</f>
        <v>7.4030239054869496E-2</v>
      </c>
      <c r="AO7" s="953">
        <f>AO5/AN5-1</f>
        <v>9.6064688421408029E-2</v>
      </c>
      <c r="AP7" s="953">
        <f>AP5/AO5-1</f>
        <v>7.8170924455756241E-2</v>
      </c>
      <c r="AQ7" s="953">
        <f>AQ5/AP5-1</f>
        <v>8.4218219698242613E-2</v>
      </c>
      <c r="AR7" s="944"/>
      <c r="AS7" s="952">
        <f>AS5/AQ5-1</f>
        <v>8.8330324420235362E-2</v>
      </c>
      <c r="AT7" s="953">
        <f>AT5/AS5-1</f>
        <v>0.15207424124846036</v>
      </c>
      <c r="AU7" s="953">
        <f>AU5/AT5-1</f>
        <v>0.13278210868147933</v>
      </c>
      <c r="AV7" s="945">
        <f>AV5/AU5-1</f>
        <v>0.11891974458358456</v>
      </c>
      <c r="AW7" s="944"/>
      <c r="AX7" s="945">
        <f>AX5/AV5-1</f>
        <v>0.10170276562290503</v>
      </c>
      <c r="AY7" s="945">
        <f>AY5/AX5-1</f>
        <v>9.0329361523227902E-2</v>
      </c>
      <c r="AZ7" s="953">
        <f>AZ5/AY5-1</f>
        <v>7.2682736759220656E-2</v>
      </c>
      <c r="BA7" s="953">
        <f>BA5/AZ5-1</f>
        <v>6.7035206111549339E-2</v>
      </c>
      <c r="BB7" s="944"/>
      <c r="BC7" s="952">
        <f>BC5/BA5-1</f>
        <v>9.2995464587255494E-3</v>
      </c>
      <c r="BD7" s="953">
        <f>BD5/BC5-1</f>
        <v>6.3140864047669609E-2</v>
      </c>
      <c r="BE7" s="953">
        <f>BE5/BD5-1</f>
        <v>3.1165213138266479E-2</v>
      </c>
      <c r="BF7" s="953">
        <f>BF5/BE5-1</f>
        <v>3.144274142503467E-2</v>
      </c>
      <c r="BG7" s="944"/>
      <c r="BH7" s="952">
        <f>BH5/BF5-1</f>
        <v>-6.789119387518916E-3</v>
      </c>
      <c r="BI7" s="953">
        <f>BI5/BH5-1</f>
        <v>4.7019663479361151E-2</v>
      </c>
      <c r="BJ7" s="953">
        <f>BJ5/BI5-1</f>
        <v>1.939892465568227E-2</v>
      </c>
      <c r="BK7" s="953">
        <f>BK5/BJ5-1</f>
        <v>1.9535371772926524E-2</v>
      </c>
      <c r="BL7" s="944"/>
      <c r="BM7" s="952">
        <f>BM5/BK5-1</f>
        <v>-6.035803714915744E-3</v>
      </c>
      <c r="BN7" s="953">
        <f>BN5/BM5-1</f>
        <v>3.7431144366528279E-2</v>
      </c>
      <c r="BO7" s="953">
        <f>BO5/BN5-1</f>
        <v>2.4153639843538688E-2</v>
      </c>
      <c r="BP7" s="953">
        <f>BP5/BO5-1</f>
        <v>3.1406315290876563E-2</v>
      </c>
      <c r="BQ7" s="944"/>
      <c r="BR7" s="952">
        <f>BR5/BP5-1</f>
        <v>-1.5261947274030185E-2</v>
      </c>
      <c r="BS7" s="953">
        <f>BS5/BR5-1</f>
        <v>5.1173810844784562E-2</v>
      </c>
      <c r="BT7" s="953">
        <f>BT5/BS5-1</f>
        <v>2.1124749486223671E-2</v>
      </c>
      <c r="BU7" s="953">
        <f>BU5/BT5-1</f>
        <v>1.1638878817615828E-2</v>
      </c>
      <c r="BV7" s="944"/>
      <c r="BW7" s="952">
        <f>BW5/BU5-1</f>
        <v>-2.3826488460181316E-2</v>
      </c>
      <c r="BX7" s="953">
        <f>BX5/BW5-1</f>
        <v>5.1173810844784784E-2</v>
      </c>
      <c r="BY7" s="953">
        <f>BY5/BX5-1</f>
        <v>2.1124749486223671E-2</v>
      </c>
      <c r="BZ7" s="953">
        <f>BZ5/BY5-1</f>
        <v>1.1638878817615828E-2</v>
      </c>
      <c r="CA7" s="944"/>
    </row>
    <row r="8" spans="1:79" s="956" customFormat="1" ht="12" hidden="1" customHeight="1" outlineLevel="1">
      <c r="A8" s="941"/>
      <c r="B8" s="942"/>
      <c r="C8" s="943" t="s">
        <v>182</v>
      </c>
      <c r="D8" s="944" t="e">
        <f t="shared" ref="D8:AM8" si="1">D5/D13</f>
        <v>#DIV/0!</v>
      </c>
      <c r="E8" s="945" t="e">
        <f t="shared" si="1"/>
        <v>#DIV/0!</v>
      </c>
      <c r="F8" s="945" t="e">
        <f t="shared" si="1"/>
        <v>#DIV/0!</v>
      </c>
      <c r="G8" s="945" t="e">
        <f t="shared" si="1"/>
        <v>#DIV/0!</v>
      </c>
      <c r="H8" s="945" t="e">
        <f t="shared" si="1"/>
        <v>#DIV/0!</v>
      </c>
      <c r="I8" s="944"/>
      <c r="J8" s="942"/>
      <c r="K8" s="945"/>
      <c r="L8" s="945"/>
      <c r="M8" s="943"/>
      <c r="N8" s="943"/>
      <c r="O8" s="945" t="e">
        <f t="shared" si="1"/>
        <v>#DIV/0!</v>
      </c>
      <c r="P8" s="945" t="e">
        <f t="shared" si="1"/>
        <v>#DIV/0!</v>
      </c>
      <c r="Q8" s="945" t="e">
        <f t="shared" si="1"/>
        <v>#DIV/0!</v>
      </c>
      <c r="R8" s="943" t="e">
        <f t="shared" si="1"/>
        <v>#DIV/0!</v>
      </c>
      <c r="S8" s="945" t="e">
        <f t="shared" si="1"/>
        <v>#DIV/0!</v>
      </c>
      <c r="T8" s="942" t="e">
        <f t="shared" si="1"/>
        <v>#DIV/0!</v>
      </c>
      <c r="U8" s="945" t="e">
        <f t="shared" si="1"/>
        <v>#DIV/0!</v>
      </c>
      <c r="V8" s="945" t="e">
        <f t="shared" si="1"/>
        <v>#DIV/0!</v>
      </c>
      <c r="W8" s="943" t="e">
        <f t="shared" si="1"/>
        <v>#DIV/0!</v>
      </c>
      <c r="X8" s="944">
        <f t="shared" si="1"/>
        <v>0.91474802480028428</v>
      </c>
      <c r="Y8" s="942" t="e">
        <f t="shared" si="1"/>
        <v>#DIV/0!</v>
      </c>
      <c r="Z8" s="945" t="e">
        <f t="shared" si="1"/>
        <v>#DIV/0!</v>
      </c>
      <c r="AA8" s="945" t="e">
        <f t="shared" si="1"/>
        <v>#DIV/0!</v>
      </c>
      <c r="AB8" s="943" t="e">
        <f t="shared" si="1"/>
        <v>#DIV/0!</v>
      </c>
      <c r="AC8" s="945">
        <f t="shared" si="1"/>
        <v>0.91376268484948575</v>
      </c>
      <c r="AD8" s="942">
        <f t="shared" si="1"/>
        <v>0.94139984845547942</v>
      </c>
      <c r="AE8" s="945">
        <f t="shared" si="1"/>
        <v>0.93635646750515755</v>
      </c>
      <c r="AF8" s="945">
        <f t="shared" si="1"/>
        <v>0.94115890312354022</v>
      </c>
      <c r="AG8" s="945">
        <f t="shared" si="1"/>
        <v>0.92209519459408629</v>
      </c>
      <c r="AH8" s="944">
        <f t="shared" si="1"/>
        <v>0.93457523953527843</v>
      </c>
      <c r="AI8" s="942">
        <f t="shared" si="1"/>
        <v>0.95115783528445264</v>
      </c>
      <c r="AJ8" s="945">
        <f t="shared" si="1"/>
        <v>0.94861832810516988</v>
      </c>
      <c r="AK8" s="945">
        <f t="shared" si="1"/>
        <v>0.94977716736272666</v>
      </c>
      <c r="AL8" s="945">
        <f t="shared" si="1"/>
        <v>0.93911841868103263</v>
      </c>
      <c r="AM8" s="944">
        <f t="shared" si="1"/>
        <v>0.94677082724057693</v>
      </c>
      <c r="AN8" s="942">
        <f t="shared" ref="AN8:AW8" si="2">AN5/AN13</f>
        <v>0.94155971621128987</v>
      </c>
      <c r="AO8" s="945">
        <f t="shared" si="2"/>
        <v>0.93718061898375293</v>
      </c>
      <c r="AP8" s="945">
        <f t="shared" si="2"/>
        <v>0.95418874397800424</v>
      </c>
      <c r="AQ8" s="945">
        <f t="shared" si="2"/>
        <v>0.93898397569981262</v>
      </c>
      <c r="AR8" s="944">
        <f t="shared" si="2"/>
        <v>0.94300857007036143</v>
      </c>
      <c r="AS8" s="942">
        <f t="shared" si="2"/>
        <v>0.94581118252490604</v>
      </c>
      <c r="AT8" s="945">
        <f t="shared" si="2"/>
        <v>0.94574660514480913</v>
      </c>
      <c r="AU8" s="945">
        <f t="shared" si="2"/>
        <v>0.95741702639956339</v>
      </c>
      <c r="AV8" s="945">
        <f t="shared" si="2"/>
        <v>0.95200024135642314</v>
      </c>
      <c r="AW8" s="944">
        <f t="shared" si="2"/>
        <v>0.9506898262754061</v>
      </c>
      <c r="AX8" s="945">
        <f t="shared" ref="AX8:CA8" si="3">AX5/AX13</f>
        <v>0.96345383923356032</v>
      </c>
      <c r="AY8" s="945">
        <f t="shared" si="3"/>
        <v>0.96271129484764895</v>
      </c>
      <c r="AZ8" s="945">
        <f t="shared" si="3"/>
        <v>0.96903547995006079</v>
      </c>
      <c r="BA8" s="945">
        <f t="shared" si="3"/>
        <v>0.97103789762201542</v>
      </c>
      <c r="BB8" s="944">
        <f t="shared" si="3"/>
        <v>0.96680876589125064</v>
      </c>
      <c r="BC8" s="942">
        <f t="shared" si="3"/>
        <v>0.96697593988027697</v>
      </c>
      <c r="BD8" s="945">
        <f t="shared" si="3"/>
        <v>0.97269296542501893</v>
      </c>
      <c r="BE8" s="945">
        <f t="shared" si="3"/>
        <v>0.96683311049587661</v>
      </c>
      <c r="BF8" s="945">
        <f t="shared" si="3"/>
        <v>0.97589512050165561</v>
      </c>
      <c r="BG8" s="944">
        <f t="shared" si="3"/>
        <v>0.97069137868330213</v>
      </c>
      <c r="BH8" s="942">
        <f t="shared" si="3"/>
        <v>0.96661415084640179</v>
      </c>
      <c r="BI8" s="945">
        <f t="shared" si="3"/>
        <v>0.97335997335997337</v>
      </c>
      <c r="BJ8" s="945">
        <f t="shared" si="3"/>
        <v>0.97420265811561901</v>
      </c>
      <c r="BK8" s="945">
        <f t="shared" si="3"/>
        <v>0.97655203779973221</v>
      </c>
      <c r="BL8" s="944">
        <f t="shared" si="3"/>
        <v>0.97278160326907526</v>
      </c>
      <c r="BM8" s="942">
        <f t="shared" si="3"/>
        <v>0.97441378727241978</v>
      </c>
      <c r="BN8" s="945">
        <f t="shared" si="3"/>
        <v>0.97464631052936912</v>
      </c>
      <c r="BO8" s="945">
        <f t="shared" si="3"/>
        <v>0.97333536472271531</v>
      </c>
      <c r="BP8" s="945">
        <f t="shared" si="3"/>
        <v>0.97618685684545736</v>
      </c>
      <c r="BQ8" s="944">
        <f t="shared" si="3"/>
        <v>0.97466019022830019</v>
      </c>
      <c r="BR8" s="942">
        <f t="shared" si="3"/>
        <v>0.97714671827817312</v>
      </c>
      <c r="BS8" s="945">
        <f t="shared" si="3"/>
        <v>0.97970613362376913</v>
      </c>
      <c r="BT8" s="945">
        <f t="shared" si="3"/>
        <v>0.97874747968473153</v>
      </c>
      <c r="BU8" s="945">
        <f t="shared" si="3"/>
        <v>0.97953094309883448</v>
      </c>
      <c r="BV8" s="944">
        <f t="shared" si="3"/>
        <v>0.97880766804007946</v>
      </c>
      <c r="BW8" s="942">
        <f t="shared" si="3"/>
        <v>0.98095354979639404</v>
      </c>
      <c r="BX8" s="945">
        <f t="shared" si="3"/>
        <v>0.98309400163774263</v>
      </c>
      <c r="BY8" s="945">
        <f t="shared" si="3"/>
        <v>0.98229249327946011</v>
      </c>
      <c r="BZ8" s="945">
        <f t="shared" si="3"/>
        <v>0.98294754845168486</v>
      </c>
      <c r="CA8" s="944">
        <f t="shared" si="3"/>
        <v>0.98234282307489917</v>
      </c>
    </row>
    <row r="9" spans="1:79" ht="18" customHeight="1" collapsed="1">
      <c r="A9" s="75"/>
      <c r="B9" s="74" t="s">
        <v>585</v>
      </c>
      <c r="C9" s="77"/>
      <c r="D9" s="71"/>
      <c r="E9" s="172"/>
      <c r="F9" s="172"/>
      <c r="G9" s="172"/>
      <c r="H9" s="172"/>
      <c r="I9" s="71"/>
      <c r="J9" s="74"/>
      <c r="K9" s="113"/>
      <c r="L9" s="113"/>
      <c r="M9" s="340"/>
      <c r="N9" s="77"/>
      <c r="O9" s="72"/>
      <c r="P9" s="113"/>
      <c r="Q9" s="113"/>
      <c r="R9" s="340"/>
      <c r="S9" s="72"/>
      <c r="T9" s="74"/>
      <c r="U9" s="113"/>
      <c r="V9" s="113"/>
      <c r="W9" s="340"/>
      <c r="X9" s="71">
        <f>21354</f>
        <v>21354</v>
      </c>
      <c r="Y9" s="339"/>
      <c r="Z9" s="113"/>
      <c r="AA9" s="113"/>
      <c r="AB9" s="340"/>
      <c r="AC9" s="72">
        <f>32896</f>
        <v>32896</v>
      </c>
      <c r="AD9" s="339">
        <v>6651</v>
      </c>
      <c r="AE9" s="113">
        <v>7990</v>
      </c>
      <c r="AF9" s="113">
        <v>7684</v>
      </c>
      <c r="AG9" s="113">
        <f>11598</f>
        <v>11598</v>
      </c>
      <c r="AH9" s="71">
        <f>SUM(AD9:AG9)</f>
        <v>33923</v>
      </c>
      <c r="AI9" s="339">
        <v>7610</v>
      </c>
      <c r="AJ9" s="113">
        <v>8583</v>
      </c>
      <c r="AK9" s="113">
        <v>8959</v>
      </c>
      <c r="AL9" s="113">
        <f>12160</f>
        <v>12160</v>
      </c>
      <c r="AM9" s="71">
        <f>SUM(AI9:AL9)</f>
        <v>37312</v>
      </c>
      <c r="AN9" s="74">
        <f>12504</f>
        <v>12504</v>
      </c>
      <c r="AO9" s="113">
        <v>14801</v>
      </c>
      <c r="AP9" s="113">
        <f>11430</f>
        <v>11430</v>
      </c>
      <c r="AQ9" s="113">
        <f>16773</f>
        <v>16773</v>
      </c>
      <c r="AR9" s="71">
        <f>SUM(AN9:AQ9)</f>
        <v>55508</v>
      </c>
      <c r="AS9" s="339">
        <f>16095</f>
        <v>16095</v>
      </c>
      <c r="AT9" s="113">
        <f>18566</f>
        <v>18566</v>
      </c>
      <c r="AU9" s="113">
        <f>16306</f>
        <v>16306</v>
      </c>
      <c r="AV9" s="72">
        <v>20683</v>
      </c>
      <c r="AW9" s="71">
        <f>SUM(AS9:AV9)</f>
        <v>71650</v>
      </c>
      <c r="AX9" s="72">
        <v>17143</v>
      </c>
      <c r="AY9" s="72">
        <v>19086</v>
      </c>
      <c r="AZ9" s="113">
        <v>16890</v>
      </c>
      <c r="BA9" s="113">
        <v>16822</v>
      </c>
      <c r="BB9" s="71">
        <f>SUM(AX9:BA9)</f>
        <v>69941</v>
      </c>
      <c r="BC9" s="339">
        <v>19441</v>
      </c>
      <c r="BD9" s="113">
        <v>16990</v>
      </c>
      <c r="BE9" s="113">
        <v>21408</v>
      </c>
      <c r="BF9" s="113">
        <v>15899</v>
      </c>
      <c r="BG9" s="71">
        <f>SUM(BC9:BF9)</f>
        <v>73738</v>
      </c>
      <c r="BH9" s="339">
        <v>22081</v>
      </c>
      <c r="BI9" s="113">
        <v>18320</v>
      </c>
      <c r="BJ9" s="113">
        <v>18069</v>
      </c>
      <c r="BK9" s="113">
        <v>16704</v>
      </c>
      <c r="BL9" s="71">
        <f>SUM(BH9:BK9)</f>
        <v>75174</v>
      </c>
      <c r="BM9" s="339">
        <v>18157</v>
      </c>
      <c r="BN9" s="113">
        <v>18661</v>
      </c>
      <c r="BO9" s="113">
        <v>20127</v>
      </c>
      <c r="BP9" s="113">
        <v>18485</v>
      </c>
      <c r="BQ9" s="71">
        <f>SUM(BM9:BP9)</f>
        <v>75430</v>
      </c>
      <c r="BR9" s="339">
        <v>17452</v>
      </c>
      <c r="BS9" s="113">
        <v>16248</v>
      </c>
      <c r="BT9" s="113">
        <v>17392</v>
      </c>
      <c r="BU9" s="113">
        <f>BP9*(1+BU10)</f>
        <v>16932.260000000002</v>
      </c>
      <c r="BV9" s="71">
        <f>SUM(BR9:BU9)</f>
        <v>68024.260000000009</v>
      </c>
      <c r="BW9" s="339">
        <f>BR9*(1+BW10)</f>
        <v>15357.76</v>
      </c>
      <c r="BX9" s="113">
        <f>BS9*(1+BX10)</f>
        <v>14298.24</v>
      </c>
      <c r="BY9" s="113">
        <f>BT9*(1+BY10)</f>
        <v>15304.960000000001</v>
      </c>
      <c r="BZ9" s="113">
        <f>BU9*(1+BZ10)</f>
        <v>14900.388800000002</v>
      </c>
      <c r="CA9" s="71">
        <f>SUM(BW9:BZ9)</f>
        <v>59861.3488</v>
      </c>
    </row>
    <row r="10" spans="1:79" s="956" customFormat="1" ht="12" customHeight="1">
      <c r="A10" s="941"/>
      <c r="B10" s="942"/>
      <c r="C10" s="943" t="s">
        <v>98</v>
      </c>
      <c r="D10" s="944"/>
      <c r="E10" s="945"/>
      <c r="F10" s="945"/>
      <c r="G10" s="945"/>
      <c r="H10" s="945"/>
      <c r="I10" s="951"/>
      <c r="J10" s="952"/>
      <c r="K10" s="953"/>
      <c r="L10" s="953"/>
      <c r="M10" s="954"/>
      <c r="N10" s="954"/>
      <c r="O10" s="953" t="e">
        <f t="shared" ref="O10:AG10" si="4">O9/J9-1</f>
        <v>#DIV/0!</v>
      </c>
      <c r="P10" s="953" t="e">
        <f t="shared" si="4"/>
        <v>#DIV/0!</v>
      </c>
      <c r="Q10" s="953" t="e">
        <f t="shared" si="4"/>
        <v>#DIV/0!</v>
      </c>
      <c r="R10" s="954" t="e">
        <f t="shared" si="4"/>
        <v>#DIV/0!</v>
      </c>
      <c r="S10" s="953"/>
      <c r="T10" s="952"/>
      <c r="U10" s="953"/>
      <c r="V10" s="953" t="e">
        <f t="shared" si="4"/>
        <v>#DIV/0!</v>
      </c>
      <c r="W10" s="954" t="e">
        <f t="shared" si="4"/>
        <v>#DIV/0!</v>
      </c>
      <c r="X10" s="944" t="e">
        <f t="shared" si="4"/>
        <v>#DIV/0!</v>
      </c>
      <c r="Y10" s="952" t="e">
        <f t="shared" si="4"/>
        <v>#DIV/0!</v>
      </c>
      <c r="Z10" s="953" t="e">
        <f t="shared" si="4"/>
        <v>#DIV/0!</v>
      </c>
      <c r="AA10" s="953" t="e">
        <f t="shared" si="4"/>
        <v>#DIV/0!</v>
      </c>
      <c r="AB10" s="954" t="e">
        <f t="shared" si="4"/>
        <v>#DIV/0!</v>
      </c>
      <c r="AC10" s="945">
        <f t="shared" si="4"/>
        <v>0.54050763323030804</v>
      </c>
      <c r="AD10" s="952" t="e">
        <f t="shared" si="4"/>
        <v>#DIV/0!</v>
      </c>
      <c r="AE10" s="953" t="e">
        <f t="shared" si="4"/>
        <v>#DIV/0!</v>
      </c>
      <c r="AF10" s="953" t="e">
        <f t="shared" si="4"/>
        <v>#DIV/0!</v>
      </c>
      <c r="AG10" s="953" t="e">
        <f t="shared" si="4"/>
        <v>#DIV/0!</v>
      </c>
      <c r="AH10" s="944">
        <f t="shared" ref="AH10:BT10" si="5">AH9/AC9-1</f>
        <v>3.1219601167315147E-2</v>
      </c>
      <c r="AI10" s="942">
        <f t="shared" si="5"/>
        <v>0.14418884378288976</v>
      </c>
      <c r="AJ10" s="953">
        <f t="shared" si="5"/>
        <v>7.421777221526904E-2</v>
      </c>
      <c r="AK10" s="953">
        <f t="shared" si="5"/>
        <v>0.16592920353982299</v>
      </c>
      <c r="AL10" s="953">
        <f t="shared" si="5"/>
        <v>4.845663045352655E-2</v>
      </c>
      <c r="AM10" s="944">
        <f t="shared" si="5"/>
        <v>9.9902720867847794E-2</v>
      </c>
      <c r="AN10" s="942">
        <f t="shared" si="5"/>
        <v>0.64310118265440219</v>
      </c>
      <c r="AO10" s="945">
        <f t="shared" si="5"/>
        <v>0.72445531865315149</v>
      </c>
      <c r="AP10" s="945">
        <f t="shared" si="5"/>
        <v>0.27581203259292342</v>
      </c>
      <c r="AQ10" s="945">
        <f t="shared" si="5"/>
        <v>0.37935855263157903</v>
      </c>
      <c r="AR10" s="944">
        <f>AR9/AM9-1</f>
        <v>0.48767152658662094</v>
      </c>
      <c r="AS10" s="945">
        <f t="shared" si="5"/>
        <v>0.28718809980806137</v>
      </c>
      <c r="AT10" s="945">
        <f t="shared" si="5"/>
        <v>0.25437470441186405</v>
      </c>
      <c r="AU10" s="945">
        <f t="shared" si="5"/>
        <v>0.426596675415573</v>
      </c>
      <c r="AV10" s="945">
        <f t="shared" si="5"/>
        <v>0.23311274071424304</v>
      </c>
      <c r="AW10" s="944">
        <f>AW9/AR9-1</f>
        <v>0.29080492901924049</v>
      </c>
      <c r="AX10" s="945">
        <f t="shared" si="5"/>
        <v>6.5113389251320264E-2</v>
      </c>
      <c r="AY10" s="945">
        <f t="shared" si="5"/>
        <v>2.8008187008510266E-2</v>
      </c>
      <c r="AZ10" s="945">
        <f t="shared" si="5"/>
        <v>3.5815037409542505E-2</v>
      </c>
      <c r="BA10" s="945">
        <f t="shared" si="5"/>
        <v>-0.18667504714016336</v>
      </c>
      <c r="BB10" s="944">
        <f>BB9/AW9-1</f>
        <v>-2.3852058618283323E-2</v>
      </c>
      <c r="BC10" s="945">
        <f t="shared" si="5"/>
        <v>0.13404888292597561</v>
      </c>
      <c r="BD10" s="945">
        <f t="shared" si="5"/>
        <v>-0.10981871528869325</v>
      </c>
      <c r="BE10" s="945">
        <f t="shared" si="5"/>
        <v>0.26749555950266424</v>
      </c>
      <c r="BF10" s="945">
        <f t="shared" si="5"/>
        <v>-5.4868624420401857E-2</v>
      </c>
      <c r="BG10" s="944">
        <f>BG9/BB9-1</f>
        <v>5.4288614689524062E-2</v>
      </c>
      <c r="BH10" s="945">
        <f t="shared" si="5"/>
        <v>0.13579548377141104</v>
      </c>
      <c r="BI10" s="945">
        <f t="shared" si="5"/>
        <v>7.8281341965862339E-2</v>
      </c>
      <c r="BJ10" s="945">
        <f t="shared" si="5"/>
        <v>-0.15596973094170408</v>
      </c>
      <c r="BK10" s="945">
        <f t="shared" si="5"/>
        <v>5.0632115227372765E-2</v>
      </c>
      <c r="BL10" s="944">
        <f>BL9/BG9-1</f>
        <v>1.9474355149312395E-2</v>
      </c>
      <c r="BM10" s="945">
        <f t="shared" si="5"/>
        <v>-0.177709342873964</v>
      </c>
      <c r="BN10" s="945">
        <f t="shared" si="5"/>
        <v>1.8613537117903922E-2</v>
      </c>
      <c r="BO10" s="945">
        <f t="shared" si="5"/>
        <v>0.11389672920471527</v>
      </c>
      <c r="BP10" s="945">
        <f t="shared" si="5"/>
        <v>0.10662116858237547</v>
      </c>
      <c r="BQ10" s="944">
        <f>BQ9/BL9-1</f>
        <v>3.4054327294010811E-3</v>
      </c>
      <c r="BR10" s="945">
        <f t="shared" si="5"/>
        <v>-3.8828000220300751E-2</v>
      </c>
      <c r="BS10" s="945">
        <f t="shared" si="5"/>
        <v>-0.12930711108729431</v>
      </c>
      <c r="BT10" s="945">
        <f t="shared" si="5"/>
        <v>-0.13588711680826748</v>
      </c>
      <c r="BU10" s="955">
        <v>-8.4000000000000005E-2</v>
      </c>
      <c r="BV10" s="944">
        <f>BV9/BQ9-1</f>
        <v>-9.8180299615537425E-2</v>
      </c>
      <c r="BW10" s="955">
        <v>-0.12</v>
      </c>
      <c r="BX10" s="955">
        <v>-0.12</v>
      </c>
      <c r="BY10" s="955">
        <v>-0.12</v>
      </c>
      <c r="BZ10" s="955">
        <v>-0.12</v>
      </c>
      <c r="CA10" s="944">
        <f>CA9/BV9-1</f>
        <v>-0.12000000000000011</v>
      </c>
    </row>
    <row r="11" spans="1:79" s="958" customFormat="1" ht="12" customHeight="1" thickBot="1">
      <c r="A11" s="945"/>
      <c r="B11" s="942"/>
      <c r="C11" s="943" t="s">
        <v>97</v>
      </c>
      <c r="D11" s="944"/>
      <c r="E11" s="945"/>
      <c r="F11" s="945" t="e">
        <f>F9/E9-1</f>
        <v>#DIV/0!</v>
      </c>
      <c r="G11" s="945" t="e">
        <f>G9/F9-1</f>
        <v>#DIV/0!</v>
      </c>
      <c r="H11" s="945" t="e">
        <f>H9/G9-1</f>
        <v>#DIV/0!</v>
      </c>
      <c r="I11" s="944"/>
      <c r="J11" s="952"/>
      <c r="K11" s="953"/>
      <c r="L11" s="953"/>
      <c r="M11" s="954"/>
      <c r="N11" s="943"/>
      <c r="O11" s="953" t="e">
        <f>O9/M9-1</f>
        <v>#DIV/0!</v>
      </c>
      <c r="P11" s="953" t="e">
        <f>P9/O9-1</f>
        <v>#DIV/0!</v>
      </c>
      <c r="Q11" s="953" t="e">
        <f>Q9/P9-1</f>
        <v>#DIV/0!</v>
      </c>
      <c r="R11" s="954" t="e">
        <f>R9/Q9-1</f>
        <v>#DIV/0!</v>
      </c>
      <c r="S11" s="945"/>
      <c r="T11" s="952" t="e">
        <f>T9/R9-1</f>
        <v>#DIV/0!</v>
      </c>
      <c r="U11" s="953" t="e">
        <f>U9/T9-1</f>
        <v>#DIV/0!</v>
      </c>
      <c r="V11" s="953" t="e">
        <f>V9/U9-1</f>
        <v>#DIV/0!</v>
      </c>
      <c r="W11" s="954" t="e">
        <f>W9/V9-1</f>
        <v>#DIV/0!</v>
      </c>
      <c r="X11" s="951"/>
      <c r="Y11" s="952" t="e">
        <f>Y9/W9-1</f>
        <v>#DIV/0!</v>
      </c>
      <c r="Z11" s="953" t="e">
        <f>Z9/Y9-1</f>
        <v>#DIV/0!</v>
      </c>
      <c r="AA11" s="953" t="e">
        <f>AA9/Z9-1</f>
        <v>#DIV/0!</v>
      </c>
      <c r="AB11" s="954" t="e">
        <f>AB9/AA9-1</f>
        <v>#DIV/0!</v>
      </c>
      <c r="AC11" s="953"/>
      <c r="AD11" s="952" t="e">
        <f>AD9/AB9-1</f>
        <v>#DIV/0!</v>
      </c>
      <c r="AE11" s="953">
        <f>AE9/AD9-1</f>
        <v>0.20132310930687125</v>
      </c>
      <c r="AF11" s="953">
        <f>AF9/AE9-1</f>
        <v>-3.8297872340425587E-2</v>
      </c>
      <c r="AG11" s="953">
        <f>AG9/AF9-1</f>
        <v>0.50937011972930768</v>
      </c>
      <c r="AH11" s="951"/>
      <c r="AI11" s="952">
        <f>AI9/AG9-1</f>
        <v>-0.34385238834281773</v>
      </c>
      <c r="AJ11" s="953">
        <f>AJ9/AI9-1</f>
        <v>0.1278580814717476</v>
      </c>
      <c r="AK11" s="953">
        <f>AK9/AJ9-1</f>
        <v>4.3807526505883709E-2</v>
      </c>
      <c r="AL11" s="953">
        <f>AL9/AK9-1</f>
        <v>0.35729434088625966</v>
      </c>
      <c r="AM11" s="951"/>
      <c r="AN11" s="942">
        <f>AN9/AL9-1</f>
        <v>2.8289473684210531E-2</v>
      </c>
      <c r="AO11" s="953">
        <f>AO9/AN9-1</f>
        <v>0.1837012156110045</v>
      </c>
      <c r="AP11" s="953">
        <f>AP9/AO9-1</f>
        <v>-0.22775488142693057</v>
      </c>
      <c r="AQ11" s="953">
        <f>AQ9/AP9-1</f>
        <v>0.46745406824146984</v>
      </c>
      <c r="AR11" s="951"/>
      <c r="AS11" s="952">
        <f>AS9/AQ9-1</f>
        <v>-4.0422106957610393E-2</v>
      </c>
      <c r="AT11" s="953">
        <f>AT9/AS9-1</f>
        <v>0.15352593973283635</v>
      </c>
      <c r="AU11" s="953">
        <f>AU9/AT9-1</f>
        <v>-0.1217278896908327</v>
      </c>
      <c r="AV11" s="945">
        <f>AV9/AU9-1</f>
        <v>0.26842879921501295</v>
      </c>
      <c r="AW11" s="951"/>
      <c r="AX11" s="945">
        <f>AX9/AV9-1</f>
        <v>-0.17115505487598515</v>
      </c>
      <c r="AY11" s="945">
        <f>AY9/AX9-1</f>
        <v>0.11334072216064861</v>
      </c>
      <c r="AZ11" s="953">
        <f>AZ9/AY9-1</f>
        <v>-0.11505815781200879</v>
      </c>
      <c r="BA11" s="953">
        <f>BA9/AZ9-1</f>
        <v>-4.0260509177028059E-3</v>
      </c>
      <c r="BB11" s="951"/>
      <c r="BC11" s="952">
        <f>BC9/BA9-1</f>
        <v>0.15568897871834508</v>
      </c>
      <c r="BD11" s="953">
        <f>BD9/BC9-1</f>
        <v>-0.12607376163777584</v>
      </c>
      <c r="BE11" s="953">
        <f>BE9/BD9-1</f>
        <v>0.26003531489111231</v>
      </c>
      <c r="BF11" s="953">
        <f>BF9/BE9-1</f>
        <v>-0.25733370702541103</v>
      </c>
      <c r="BG11" s="951"/>
      <c r="BH11" s="952">
        <f>BH9/BF9-1</f>
        <v>0.38882948613120316</v>
      </c>
      <c r="BI11" s="953">
        <f>BI9/BH9-1</f>
        <v>-0.17032743082287938</v>
      </c>
      <c r="BJ11" s="953">
        <f>BJ9/BI9-1</f>
        <v>-1.3700873362445409E-2</v>
      </c>
      <c r="BK11" s="953">
        <f>BK9/BJ9-1</f>
        <v>-7.5543748962311086E-2</v>
      </c>
      <c r="BL11" s="951"/>
      <c r="BM11" s="952">
        <f>BM9/BK9-1</f>
        <v>8.6985153256704972E-2</v>
      </c>
      <c r="BN11" s="953">
        <f>BN9/BM9-1</f>
        <v>2.7757889519193668E-2</v>
      </c>
      <c r="BO11" s="953">
        <f>BO9/BN9-1</f>
        <v>7.8559562724398457E-2</v>
      </c>
      <c r="BP11" s="953">
        <f>BP9/BO9-1</f>
        <v>-8.1581954588363925E-2</v>
      </c>
      <c r="BQ11" s="951"/>
      <c r="BR11" s="952">
        <f>BR9/BP9-1</f>
        <v>-5.5883148498782842E-2</v>
      </c>
      <c r="BS11" s="953">
        <f>BS9/BR9-1</f>
        <v>-6.8989227595691038E-2</v>
      </c>
      <c r="BT11" s="953">
        <f>BT9/BS9-1</f>
        <v>7.0408665681930049E-2</v>
      </c>
      <c r="BU11" s="953">
        <f>BU9/BT9-1</f>
        <v>-2.6433992640294224E-2</v>
      </c>
      <c r="BV11" s="951"/>
      <c r="BW11" s="952">
        <f>BW9/BU9-1</f>
        <v>-9.2988177597083999E-2</v>
      </c>
      <c r="BX11" s="953">
        <f>BX9/BW9-1</f>
        <v>-6.8989227595691038E-2</v>
      </c>
      <c r="BY11" s="953">
        <f>BY9/BX9-1</f>
        <v>7.0408665681930271E-2</v>
      </c>
      <c r="BZ11" s="953">
        <f>BZ9/BY9-1</f>
        <v>-2.6433992640294335E-2</v>
      </c>
      <c r="CA11" s="951"/>
    </row>
    <row r="12" spans="1:79" s="965" customFormat="1" ht="15" hidden="1" customHeight="1" outlineLevel="1" thickBot="1">
      <c r="A12" s="959"/>
      <c r="B12" s="960"/>
      <c r="C12" s="961" t="s">
        <v>182</v>
      </c>
      <c r="D12" s="962" t="e">
        <f t="shared" ref="D12:AM12" si="6">D9/D13</f>
        <v>#DIV/0!</v>
      </c>
      <c r="E12" s="963" t="e">
        <f t="shared" si="6"/>
        <v>#DIV/0!</v>
      </c>
      <c r="F12" s="963" t="e">
        <f t="shared" si="6"/>
        <v>#DIV/0!</v>
      </c>
      <c r="G12" s="963" t="e">
        <f t="shared" si="6"/>
        <v>#DIV/0!</v>
      </c>
      <c r="H12" s="963" t="e">
        <f t="shared" si="6"/>
        <v>#DIV/0!</v>
      </c>
      <c r="I12" s="962"/>
      <c r="J12" s="960"/>
      <c r="K12" s="963"/>
      <c r="L12" s="963"/>
      <c r="M12" s="961"/>
      <c r="N12" s="961"/>
      <c r="O12" s="963" t="e">
        <f t="shared" si="6"/>
        <v>#DIV/0!</v>
      </c>
      <c r="P12" s="963" t="e">
        <f t="shared" si="6"/>
        <v>#DIV/0!</v>
      </c>
      <c r="Q12" s="963" t="e">
        <f t="shared" si="6"/>
        <v>#DIV/0!</v>
      </c>
      <c r="R12" s="961" t="e">
        <f t="shared" si="6"/>
        <v>#DIV/0!</v>
      </c>
      <c r="S12" s="963" t="e">
        <f t="shared" si="6"/>
        <v>#DIV/0!</v>
      </c>
      <c r="T12" s="960" t="e">
        <f t="shared" si="6"/>
        <v>#DIV/0!</v>
      </c>
      <c r="U12" s="963" t="e">
        <f t="shared" si="6"/>
        <v>#DIV/0!</v>
      </c>
      <c r="V12" s="963" t="e">
        <f t="shared" si="6"/>
        <v>#DIV/0!</v>
      </c>
      <c r="W12" s="961" t="e">
        <f t="shared" si="6"/>
        <v>#DIV/0!</v>
      </c>
      <c r="X12" s="962">
        <f>X9/X13</f>
        <v>8.5251975199715752E-2</v>
      </c>
      <c r="Y12" s="960" t="e">
        <f t="shared" si="6"/>
        <v>#DIV/0!</v>
      </c>
      <c r="Z12" s="963" t="e">
        <f t="shared" si="6"/>
        <v>#DIV/0!</v>
      </c>
      <c r="AA12" s="963" t="e">
        <f t="shared" si="6"/>
        <v>#DIV/0!</v>
      </c>
      <c r="AB12" s="961" t="e">
        <f t="shared" si="6"/>
        <v>#DIV/0!</v>
      </c>
      <c r="AC12" s="963">
        <f t="shared" si="6"/>
        <v>8.6237315150514207E-2</v>
      </c>
      <c r="AD12" s="960">
        <f t="shared" si="6"/>
        <v>5.8600151544520605E-2</v>
      </c>
      <c r="AE12" s="963">
        <f t="shared" si="6"/>
        <v>6.3643532494842406E-2</v>
      </c>
      <c r="AF12" s="963">
        <f t="shared" si="6"/>
        <v>5.8841096876459734E-2</v>
      </c>
      <c r="AG12" s="964">
        <f t="shared" si="6"/>
        <v>7.7904805405913727E-2</v>
      </c>
      <c r="AH12" s="962">
        <f t="shared" si="6"/>
        <v>6.5424760464721579E-2</v>
      </c>
      <c r="AI12" s="960">
        <f t="shared" si="6"/>
        <v>4.8842164715547337E-2</v>
      </c>
      <c r="AJ12" s="963">
        <f t="shared" si="6"/>
        <v>5.1381671894830103E-2</v>
      </c>
      <c r="AK12" s="963">
        <f t="shared" si="6"/>
        <v>5.0222832637273312E-2</v>
      </c>
      <c r="AL12" s="963">
        <f t="shared" si="6"/>
        <v>6.0881581318967419E-2</v>
      </c>
      <c r="AM12" s="962">
        <f t="shared" si="6"/>
        <v>5.322917275942303E-2</v>
      </c>
      <c r="AN12" s="960">
        <f t="shared" ref="AN12:AW12" si="7">AN9/AN13</f>
        <v>5.8440283788710141E-2</v>
      </c>
      <c r="AO12" s="963">
        <f t="shared" si="7"/>
        <v>6.2819381016247053E-2</v>
      </c>
      <c r="AP12" s="963">
        <f t="shared" si="7"/>
        <v>4.5811256021995816E-2</v>
      </c>
      <c r="AQ12" s="963">
        <f t="shared" si="7"/>
        <v>6.1016024300187342E-2</v>
      </c>
      <c r="AR12" s="962">
        <f t="shared" si="7"/>
        <v>5.6991429929638564E-2</v>
      </c>
      <c r="AS12" s="960">
        <f t="shared" si="7"/>
        <v>5.418881747509402E-2</v>
      </c>
      <c r="AT12" s="963">
        <f t="shared" si="7"/>
        <v>5.4253394855190831E-2</v>
      </c>
      <c r="AU12" s="963">
        <f t="shared" si="7"/>
        <v>4.2582973600436641E-2</v>
      </c>
      <c r="AV12" s="963">
        <f t="shared" si="7"/>
        <v>4.7999758643576904E-2</v>
      </c>
      <c r="AW12" s="962">
        <f t="shared" si="7"/>
        <v>4.9310173724593905E-2</v>
      </c>
      <c r="AX12" s="963">
        <f t="shared" ref="AX12:CA12" si="8">AX9/AX13</f>
        <v>3.6546160766439698E-2</v>
      </c>
      <c r="AY12" s="963">
        <f t="shared" si="8"/>
        <v>3.7288705152351109E-2</v>
      </c>
      <c r="AZ12" s="963">
        <f t="shared" si="8"/>
        <v>3.0964520049939225E-2</v>
      </c>
      <c r="BA12" s="963">
        <f t="shared" si="8"/>
        <v>2.8962102377984533E-2</v>
      </c>
      <c r="BB12" s="962">
        <f t="shared" si="8"/>
        <v>3.3191234108749329E-2</v>
      </c>
      <c r="BC12" s="960">
        <f t="shared" si="8"/>
        <v>3.3024060119723045E-2</v>
      </c>
      <c r="BD12" s="963">
        <f t="shared" si="8"/>
        <v>2.7307034574981036E-2</v>
      </c>
      <c r="BE12" s="963">
        <f t="shared" si="8"/>
        <v>3.3166889504123394E-2</v>
      </c>
      <c r="BF12" s="963">
        <f t="shared" si="8"/>
        <v>2.4104879498344389E-2</v>
      </c>
      <c r="BG12" s="962">
        <f t="shared" si="8"/>
        <v>2.9308621316697901E-2</v>
      </c>
      <c r="BH12" s="960">
        <f t="shared" si="8"/>
        <v>3.3385849153598192E-2</v>
      </c>
      <c r="BI12" s="963">
        <f t="shared" si="8"/>
        <v>2.664002664002664E-2</v>
      </c>
      <c r="BJ12" s="963">
        <f t="shared" si="8"/>
        <v>2.5797341884380966E-2</v>
      </c>
      <c r="BK12" s="963">
        <f t="shared" si="8"/>
        <v>2.3447962200267833E-2</v>
      </c>
      <c r="BL12" s="962">
        <f t="shared" si="8"/>
        <v>2.7218396730924781E-2</v>
      </c>
      <c r="BM12" s="960">
        <f t="shared" si="8"/>
        <v>2.5586212727580181E-2</v>
      </c>
      <c r="BN12" s="963">
        <f t="shared" si="8"/>
        <v>2.5353689470630832E-2</v>
      </c>
      <c r="BO12" s="963">
        <f t="shared" si="8"/>
        <v>2.6664635277284649E-2</v>
      </c>
      <c r="BP12" s="963">
        <f t="shared" si="8"/>
        <v>2.3813143154542596E-2</v>
      </c>
      <c r="BQ12" s="962">
        <f t="shared" si="8"/>
        <v>2.5339809771699837E-2</v>
      </c>
      <c r="BR12" s="960">
        <f t="shared" si="8"/>
        <v>2.28532817218269E-2</v>
      </c>
      <c r="BS12" s="963">
        <f t="shared" si="8"/>
        <v>2.0293866376230898E-2</v>
      </c>
      <c r="BT12" s="963">
        <f t="shared" si="8"/>
        <v>2.1252520315268527E-2</v>
      </c>
      <c r="BU12" s="963">
        <f t="shared" si="8"/>
        <v>2.0469056901165489E-2</v>
      </c>
      <c r="BV12" s="962">
        <f t="shared" si="8"/>
        <v>2.1192331959920419E-2</v>
      </c>
      <c r="BW12" s="960">
        <f t="shared" si="8"/>
        <v>1.9046450203605989E-2</v>
      </c>
      <c r="BX12" s="963">
        <f t="shared" si="8"/>
        <v>1.690599836225742E-2</v>
      </c>
      <c r="BY12" s="963">
        <f t="shared" si="8"/>
        <v>1.7707506720539896E-2</v>
      </c>
      <c r="BZ12" s="963">
        <f t="shared" si="8"/>
        <v>1.705245154831515E-2</v>
      </c>
      <c r="CA12" s="962">
        <f t="shared" si="8"/>
        <v>1.765717692510084E-2</v>
      </c>
    </row>
    <row r="13" spans="1:79" s="96" customFormat="1" ht="14.25" customHeight="1" collapsed="1" thickBot="1">
      <c r="A13" s="128"/>
      <c r="B13" s="430" t="s">
        <v>1</v>
      </c>
      <c r="C13" s="431"/>
      <c r="D13" s="221">
        <f>D5+D9</f>
        <v>0</v>
      </c>
      <c r="E13" s="220">
        <f t="shared" ref="E13:AM13" si="9">E5+E9</f>
        <v>0</v>
      </c>
      <c r="F13" s="220">
        <f t="shared" si="9"/>
        <v>0</v>
      </c>
      <c r="G13" s="220">
        <f t="shared" si="9"/>
        <v>0</v>
      </c>
      <c r="H13" s="220">
        <f t="shared" si="9"/>
        <v>0</v>
      </c>
      <c r="I13" s="221"/>
      <c r="J13" s="294"/>
      <c r="K13" s="220"/>
      <c r="L13" s="220"/>
      <c r="M13" s="295"/>
      <c r="N13" s="295"/>
      <c r="O13" s="220">
        <f t="shared" si="9"/>
        <v>0</v>
      </c>
      <c r="P13" s="220">
        <f t="shared" si="9"/>
        <v>0</v>
      </c>
      <c r="Q13" s="220">
        <f t="shared" si="9"/>
        <v>0</v>
      </c>
      <c r="R13" s="295">
        <f t="shared" si="9"/>
        <v>0</v>
      </c>
      <c r="S13" s="220">
        <f t="shared" si="9"/>
        <v>0</v>
      </c>
      <c r="T13" s="294">
        <f t="shared" si="9"/>
        <v>0</v>
      </c>
      <c r="U13" s="220">
        <f t="shared" si="9"/>
        <v>0</v>
      </c>
      <c r="V13" s="220">
        <f t="shared" si="9"/>
        <v>0</v>
      </c>
      <c r="W13" s="295">
        <f t="shared" si="9"/>
        <v>0</v>
      </c>
      <c r="X13" s="221">
        <f t="shared" si="9"/>
        <v>250481</v>
      </c>
      <c r="Y13" s="294">
        <f t="shared" si="9"/>
        <v>0</v>
      </c>
      <c r="Z13" s="220">
        <f t="shared" si="9"/>
        <v>0</v>
      </c>
      <c r="AA13" s="220">
        <f t="shared" si="9"/>
        <v>0</v>
      </c>
      <c r="AB13" s="220">
        <f t="shared" si="9"/>
        <v>0</v>
      </c>
      <c r="AC13" s="221">
        <f t="shared" si="9"/>
        <v>381459</v>
      </c>
      <c r="AD13" s="220">
        <f t="shared" si="9"/>
        <v>113498</v>
      </c>
      <c r="AE13" s="220">
        <f>AE5+AE9</f>
        <v>125543</v>
      </c>
      <c r="AF13" s="220">
        <f t="shared" si="9"/>
        <v>130589</v>
      </c>
      <c r="AG13" s="220">
        <f t="shared" si="9"/>
        <v>148874</v>
      </c>
      <c r="AH13" s="221">
        <f>AH5+AH9</f>
        <v>518504</v>
      </c>
      <c r="AI13" s="220">
        <f t="shared" si="9"/>
        <v>155808</v>
      </c>
      <c r="AJ13" s="220">
        <f t="shared" si="9"/>
        <v>167044</v>
      </c>
      <c r="AK13" s="220">
        <f t="shared" si="9"/>
        <v>178385</v>
      </c>
      <c r="AL13" s="220">
        <f t="shared" si="9"/>
        <v>199732</v>
      </c>
      <c r="AM13" s="221">
        <f t="shared" si="9"/>
        <v>700969</v>
      </c>
      <c r="AN13" s="220">
        <f t="shared" ref="AN13:AW13" si="10">AN5+AN9</f>
        <v>213962</v>
      </c>
      <c r="AO13" s="220">
        <f t="shared" si="10"/>
        <v>235612</v>
      </c>
      <c r="AP13" s="220">
        <f t="shared" si="10"/>
        <v>249502</v>
      </c>
      <c r="AQ13" s="220">
        <f t="shared" si="10"/>
        <v>274895</v>
      </c>
      <c r="AR13" s="221">
        <f t="shared" si="10"/>
        <v>973971</v>
      </c>
      <c r="AS13" s="220">
        <f t="shared" si="10"/>
        <v>297017</v>
      </c>
      <c r="AT13" s="220">
        <f t="shared" si="10"/>
        <v>342209</v>
      </c>
      <c r="AU13" s="220">
        <f t="shared" si="10"/>
        <v>382923</v>
      </c>
      <c r="AV13" s="220">
        <f t="shared" si="10"/>
        <v>430898</v>
      </c>
      <c r="AW13" s="221">
        <f t="shared" si="10"/>
        <v>1453047</v>
      </c>
      <c r="AX13" s="220">
        <f t="shared" ref="AX13:CA13" si="11">AX5+AX9</f>
        <v>469078</v>
      </c>
      <c r="AY13" s="220">
        <f t="shared" si="11"/>
        <v>511844</v>
      </c>
      <c r="AZ13" s="220">
        <f t="shared" si="11"/>
        <v>545463</v>
      </c>
      <c r="BA13" s="220">
        <f t="shared" si="11"/>
        <v>580828</v>
      </c>
      <c r="BB13" s="221">
        <f t="shared" si="11"/>
        <v>2107213</v>
      </c>
      <c r="BC13" s="220">
        <f t="shared" si="11"/>
        <v>588692</v>
      </c>
      <c r="BD13" s="220">
        <f t="shared" si="11"/>
        <v>622184</v>
      </c>
      <c r="BE13" s="220">
        <f t="shared" si="11"/>
        <v>645463</v>
      </c>
      <c r="BF13" s="220">
        <f t="shared" si="11"/>
        <v>659576</v>
      </c>
      <c r="BG13" s="221">
        <f t="shared" si="11"/>
        <v>2515915</v>
      </c>
      <c r="BH13" s="220">
        <f t="shared" si="11"/>
        <v>661388</v>
      </c>
      <c r="BI13" s="220">
        <f t="shared" si="11"/>
        <v>687687</v>
      </c>
      <c r="BJ13" s="220">
        <f t="shared" si="11"/>
        <v>700421</v>
      </c>
      <c r="BK13" s="220">
        <f t="shared" si="11"/>
        <v>712386</v>
      </c>
      <c r="BL13" s="221">
        <f t="shared" si="11"/>
        <v>2761882</v>
      </c>
      <c r="BM13" s="220">
        <f t="shared" si="11"/>
        <v>709640</v>
      </c>
      <c r="BN13" s="220">
        <f t="shared" si="11"/>
        <v>736027</v>
      </c>
      <c r="BO13" s="220">
        <f t="shared" si="11"/>
        <v>754820</v>
      </c>
      <c r="BP13" s="220">
        <f t="shared" si="11"/>
        <v>776252</v>
      </c>
      <c r="BQ13" s="221">
        <f t="shared" si="11"/>
        <v>2976739</v>
      </c>
      <c r="BR13" s="220">
        <f t="shared" si="11"/>
        <v>763654</v>
      </c>
      <c r="BS13" s="220">
        <f t="shared" si="11"/>
        <v>800636</v>
      </c>
      <c r="BT13" s="220">
        <f t="shared" si="11"/>
        <v>818350</v>
      </c>
      <c r="BU13" s="220">
        <f t="shared" si="11"/>
        <v>827212.51309999998</v>
      </c>
      <c r="BV13" s="221">
        <f t="shared" si="11"/>
        <v>3209852.5131000001</v>
      </c>
      <c r="BW13" s="220">
        <f t="shared" si="11"/>
        <v>806331.88</v>
      </c>
      <c r="BX13" s="220">
        <f t="shared" si="11"/>
        <v>845749.52</v>
      </c>
      <c r="BY13" s="220">
        <f t="shared" si="11"/>
        <v>864320.44000000006</v>
      </c>
      <c r="BZ13" s="220">
        <f t="shared" si="11"/>
        <v>873797.45708600001</v>
      </c>
      <c r="CA13" s="221">
        <f t="shared" si="11"/>
        <v>3390199.2970859995</v>
      </c>
    </row>
    <row r="14" spans="1:79" s="956" customFormat="1" ht="15" customHeight="1">
      <c r="A14" s="941"/>
      <c r="B14" s="966"/>
      <c r="C14" s="943" t="s">
        <v>98</v>
      </c>
      <c r="D14" s="944"/>
      <c r="E14" s="945"/>
      <c r="F14" s="945"/>
      <c r="G14" s="945"/>
      <c r="H14" s="945"/>
      <c r="I14" s="944"/>
      <c r="J14" s="942"/>
      <c r="K14" s="945"/>
      <c r="L14" s="945"/>
      <c r="M14" s="943"/>
      <c r="N14" s="943"/>
      <c r="O14" s="946" t="e">
        <f>O13/J13-1</f>
        <v>#DIV/0!</v>
      </c>
      <c r="P14" s="946" t="e">
        <f>P13/K13-1</f>
        <v>#DIV/0!</v>
      </c>
      <c r="Q14" s="946" t="e">
        <f>Q13/L13-1</f>
        <v>#DIV/0!</v>
      </c>
      <c r="R14" s="947" t="e">
        <f>R13/M13-1</f>
        <v>#DIV/0!</v>
      </c>
      <c r="S14" s="945"/>
      <c r="T14" s="942"/>
      <c r="U14" s="945"/>
      <c r="V14" s="945" t="e">
        <f t="shared" ref="V14:AC14" si="12">V13/Q13-1</f>
        <v>#DIV/0!</v>
      </c>
      <c r="W14" s="943" t="e">
        <f t="shared" si="12"/>
        <v>#DIV/0!</v>
      </c>
      <c r="X14" s="951" t="e">
        <f t="shared" si="12"/>
        <v>#DIV/0!</v>
      </c>
      <c r="Y14" s="952" t="e">
        <f t="shared" si="12"/>
        <v>#DIV/0!</v>
      </c>
      <c r="Z14" s="953" t="e">
        <f t="shared" si="12"/>
        <v>#DIV/0!</v>
      </c>
      <c r="AA14" s="953" t="e">
        <f t="shared" si="12"/>
        <v>#DIV/0!</v>
      </c>
      <c r="AB14" s="953" t="e">
        <f t="shared" si="12"/>
        <v>#DIV/0!</v>
      </c>
      <c r="AC14" s="944">
        <f t="shared" si="12"/>
        <v>0.52290592899261812</v>
      </c>
      <c r="AD14" s="953" t="e">
        <f t="shared" ref="AD14:AM14" si="13">AD13/Y13-1</f>
        <v>#DIV/0!</v>
      </c>
      <c r="AE14" s="953" t="e">
        <f t="shared" si="13"/>
        <v>#DIV/0!</v>
      </c>
      <c r="AF14" s="953" t="e">
        <f t="shared" si="13"/>
        <v>#DIV/0!</v>
      </c>
      <c r="AG14" s="953" t="e">
        <f t="shared" si="13"/>
        <v>#DIV/0!</v>
      </c>
      <c r="AH14" s="944">
        <f t="shared" si="13"/>
        <v>0.3592653469966629</v>
      </c>
      <c r="AI14" s="953">
        <f t="shared" si="13"/>
        <v>0.37278189924051519</v>
      </c>
      <c r="AJ14" s="953">
        <f t="shared" si="13"/>
        <v>0.33057199525262271</v>
      </c>
      <c r="AK14" s="953">
        <f t="shared" si="13"/>
        <v>0.36600326214305956</v>
      </c>
      <c r="AL14" s="953">
        <f t="shared" si="13"/>
        <v>0.34161774386393873</v>
      </c>
      <c r="AM14" s="944">
        <f t="shared" si="13"/>
        <v>0.35190663910018061</v>
      </c>
      <c r="AN14" s="945">
        <f t="shared" ref="AN14:AW14" si="14">AN13/AI13-1</f>
        <v>0.37324142534401306</v>
      </c>
      <c r="AO14" s="953">
        <f t="shared" si="14"/>
        <v>0.41047867627690904</v>
      </c>
      <c r="AP14" s="953">
        <f t="shared" si="14"/>
        <v>0.3986714129551252</v>
      </c>
      <c r="AQ14" s="953">
        <f t="shared" si="14"/>
        <v>0.37631926781887737</v>
      </c>
      <c r="AR14" s="944">
        <f t="shared" si="14"/>
        <v>0.38946372806786034</v>
      </c>
      <c r="AS14" s="953">
        <f t="shared" si="14"/>
        <v>0.38817640515605567</v>
      </c>
      <c r="AT14" s="953">
        <f t="shared" si="14"/>
        <v>0.45242602244367869</v>
      </c>
      <c r="AU14" s="953">
        <f t="shared" si="14"/>
        <v>0.53474922044713069</v>
      </c>
      <c r="AV14" s="945">
        <f t="shared" si="14"/>
        <v>0.56750031830335224</v>
      </c>
      <c r="AW14" s="944">
        <f t="shared" si="14"/>
        <v>0.49187912165762637</v>
      </c>
      <c r="AX14" s="945">
        <f t="shared" ref="AX14:CA14" si="15">AX13/AS13-1</f>
        <v>0.57929680792681904</v>
      </c>
      <c r="AY14" s="945">
        <f t="shared" si="15"/>
        <v>0.49570584058280165</v>
      </c>
      <c r="AZ14" s="953">
        <f t="shared" si="15"/>
        <v>0.4244717606411732</v>
      </c>
      <c r="BA14" s="953">
        <f t="shared" si="15"/>
        <v>0.34794777418321732</v>
      </c>
      <c r="BB14" s="944">
        <f t="shared" si="15"/>
        <v>0.45020291841901883</v>
      </c>
      <c r="BC14" s="953">
        <f t="shared" si="15"/>
        <v>0.25499810266096468</v>
      </c>
      <c r="BD14" s="953">
        <f t="shared" si="15"/>
        <v>0.21557349504927292</v>
      </c>
      <c r="BE14" s="953">
        <f t="shared" si="15"/>
        <v>0.18333049171071192</v>
      </c>
      <c r="BF14" s="953">
        <f t="shared" si="15"/>
        <v>0.13557886327794111</v>
      </c>
      <c r="BG14" s="944">
        <f t="shared" si="15"/>
        <v>0.19395381482555396</v>
      </c>
      <c r="BH14" s="953">
        <f t="shared" si="15"/>
        <v>0.12348732444130373</v>
      </c>
      <c r="BI14" s="953">
        <f t="shared" si="15"/>
        <v>0.10527914571895125</v>
      </c>
      <c r="BJ14" s="953">
        <f t="shared" si="15"/>
        <v>8.5145081902448405E-2</v>
      </c>
      <c r="BK14" s="953">
        <f t="shared" si="15"/>
        <v>8.0066588232440283E-2</v>
      </c>
      <c r="BL14" s="944">
        <f t="shared" si="15"/>
        <v>9.7764431628254433E-2</v>
      </c>
      <c r="BM14" s="953">
        <f t="shared" si="15"/>
        <v>7.2955662939152122E-2</v>
      </c>
      <c r="BN14" s="953">
        <f t="shared" si="15"/>
        <v>7.029360741151125E-2</v>
      </c>
      <c r="BO14" s="953">
        <f t="shared" si="15"/>
        <v>7.7666146503317268E-2</v>
      </c>
      <c r="BP14" s="953">
        <f t="shared" si="15"/>
        <v>8.9650835361728021E-2</v>
      </c>
      <c r="BQ14" s="944">
        <f t="shared" si="15"/>
        <v>7.7793692851468643E-2</v>
      </c>
      <c r="BR14" s="953">
        <f t="shared" si="15"/>
        <v>7.611464968152859E-2</v>
      </c>
      <c r="BS14" s="953">
        <f t="shared" si="15"/>
        <v>8.7780747173677121E-2</v>
      </c>
      <c r="BT14" s="953">
        <f t="shared" si="15"/>
        <v>8.4165761373572456E-2</v>
      </c>
      <c r="BU14" s="953">
        <f t="shared" si="15"/>
        <v>6.5649445154408514E-2</v>
      </c>
      <c r="BV14" s="944">
        <f t="shared" si="15"/>
        <v>7.8311707240708683E-2</v>
      </c>
      <c r="BW14" s="953">
        <f t="shared" si="15"/>
        <v>5.5886409290071271E-2</v>
      </c>
      <c r="BX14" s="953">
        <f t="shared" si="15"/>
        <v>5.6347104052278496E-2</v>
      </c>
      <c r="BY14" s="953">
        <f t="shared" si="15"/>
        <v>5.6174546343251697E-2</v>
      </c>
      <c r="BZ14" s="953">
        <f t="shared" si="15"/>
        <v>5.6315569757790174E-2</v>
      </c>
      <c r="CA14" s="944">
        <f t="shared" si="15"/>
        <v>5.618538024721409E-2</v>
      </c>
    </row>
    <row r="15" spans="1:79" s="956" customFormat="1" ht="12" customHeight="1">
      <c r="A15" s="941"/>
      <c r="B15" s="966"/>
      <c r="C15" s="943" t="s">
        <v>97</v>
      </c>
      <c r="D15" s="944"/>
      <c r="E15" s="945"/>
      <c r="F15" s="945" t="e">
        <f>F13/E13-1</f>
        <v>#DIV/0!</v>
      </c>
      <c r="G15" s="945" t="e">
        <f>G13/F13-1</f>
        <v>#DIV/0!</v>
      </c>
      <c r="H15" s="945" t="e">
        <f>H13/G13-1</f>
        <v>#DIV/0!</v>
      </c>
      <c r="I15" s="944"/>
      <c r="J15" s="942"/>
      <c r="K15" s="945"/>
      <c r="L15" s="945"/>
      <c r="M15" s="943"/>
      <c r="N15" s="943"/>
      <c r="O15" s="946" t="e">
        <f>O13/M13-1</f>
        <v>#DIV/0!</v>
      </c>
      <c r="P15" s="945" t="e">
        <f>P13/O13-1</f>
        <v>#DIV/0!</v>
      </c>
      <c r="Q15" s="945" t="e">
        <f>Q13/P13-1</f>
        <v>#DIV/0!</v>
      </c>
      <c r="R15" s="943" t="e">
        <f>R13/Q13-1</f>
        <v>#DIV/0!</v>
      </c>
      <c r="S15" s="945"/>
      <c r="T15" s="942" t="e">
        <f>T13/R13-1</f>
        <v>#DIV/0!</v>
      </c>
      <c r="U15" s="945" t="e">
        <f>U13/T13-1</f>
        <v>#DIV/0!</v>
      </c>
      <c r="V15" s="945" t="e">
        <f>V13/U13-1</f>
        <v>#DIV/0!</v>
      </c>
      <c r="W15" s="943" t="e">
        <f>W13/V13-1</f>
        <v>#DIV/0!</v>
      </c>
      <c r="X15" s="951"/>
      <c r="Y15" s="952" t="e">
        <f>Y13/W13-1</f>
        <v>#DIV/0!</v>
      </c>
      <c r="Z15" s="953" t="e">
        <f>Z13/Y13-1</f>
        <v>#DIV/0!</v>
      </c>
      <c r="AA15" s="953" t="e">
        <f>AA13/Z13-1</f>
        <v>#DIV/0!</v>
      </c>
      <c r="AB15" s="953" t="e">
        <f>AB13/AA13-1</f>
        <v>#DIV/0!</v>
      </c>
      <c r="AC15" s="967">
        <f>AC13-X13</f>
        <v>130978</v>
      </c>
      <c r="AD15" s="953" t="e">
        <f>AD13/AB13-1</f>
        <v>#DIV/0!</v>
      </c>
      <c r="AE15" s="953">
        <f>AE13/AD13-1</f>
        <v>0.10612521806551656</v>
      </c>
      <c r="AF15" s="953">
        <f>AF13/AE13-1</f>
        <v>4.0193399870960489E-2</v>
      </c>
      <c r="AG15" s="953">
        <f>AG13/AF13-1</f>
        <v>0.14001945033655216</v>
      </c>
      <c r="AH15" s="944"/>
      <c r="AI15" s="953">
        <f>AI13/AG13-1</f>
        <v>4.6576299420986844E-2</v>
      </c>
      <c r="AJ15" s="953">
        <f>AJ13/AI13-1</f>
        <v>7.2114397206818559E-2</v>
      </c>
      <c r="AK15" s="953">
        <f>AK13/AJ13-1</f>
        <v>6.7892291851248787E-2</v>
      </c>
      <c r="AL15" s="953">
        <f>AL13/AK13-1</f>
        <v>0.11966813353140671</v>
      </c>
      <c r="AM15" s="944"/>
      <c r="AN15" s="945">
        <f>AN13/AL13-1</f>
        <v>7.124546892836392E-2</v>
      </c>
      <c r="AO15" s="953">
        <f>AO13/AN13-1</f>
        <v>0.10118619194062495</v>
      </c>
      <c r="AP15" s="953">
        <f>AP13/AO13-1</f>
        <v>5.8952854693309353E-2</v>
      </c>
      <c r="AQ15" s="953">
        <f>AQ13/AP13-1</f>
        <v>0.10177473527266323</v>
      </c>
      <c r="AR15" s="967"/>
      <c r="AS15" s="953">
        <f>AS13/AQ13-1</f>
        <v>8.047436293857646E-2</v>
      </c>
      <c r="AT15" s="953">
        <f>AT13/AS13-1</f>
        <v>0.15215290707265905</v>
      </c>
      <c r="AU15" s="953">
        <f>AU13/AT13-1</f>
        <v>0.11897407724519216</v>
      </c>
      <c r="AV15" s="945">
        <f>AV13/AU13-1</f>
        <v>0.12528628470998093</v>
      </c>
      <c r="AW15" s="967"/>
      <c r="AX15" s="945">
        <f>AX13/AV13-1</f>
        <v>8.8605656094945973E-2</v>
      </c>
      <c r="AY15" s="945">
        <f>AY13/AX13-1</f>
        <v>9.117033840853761E-2</v>
      </c>
      <c r="AZ15" s="953">
        <f>AZ13/AY13-1</f>
        <v>6.5682121896515344E-2</v>
      </c>
      <c r="BA15" s="953">
        <f>BA13/AZ13-1</f>
        <v>6.4834828393493193E-2</v>
      </c>
      <c r="BB15" s="967"/>
      <c r="BC15" s="953">
        <f>BC13/BA13-1</f>
        <v>1.3539292182883855E-2</v>
      </c>
      <c r="BD15" s="953">
        <f>BD13/BC13-1</f>
        <v>5.6892228873502537E-2</v>
      </c>
      <c r="BE15" s="953">
        <f>BE13/BD13-1</f>
        <v>3.7414976920010723E-2</v>
      </c>
      <c r="BF15" s="953">
        <f>BF13/BE13-1</f>
        <v>2.1864924867885493E-2</v>
      </c>
      <c r="BG15" s="967"/>
      <c r="BH15" s="953">
        <f>BH13/BF13-1</f>
        <v>2.7472194258129079E-3</v>
      </c>
      <c r="BI15" s="953">
        <f>BI13/BH13-1</f>
        <v>3.9763346175013758E-2</v>
      </c>
      <c r="BJ15" s="953">
        <f>BJ13/BI13-1</f>
        <v>1.851714515469971E-2</v>
      </c>
      <c r="BK15" s="953">
        <f>BK13/BJ13-1</f>
        <v>1.7082583189253375E-2</v>
      </c>
      <c r="BL15" s="967"/>
      <c r="BM15" s="953">
        <f>BM13/BK13-1</f>
        <v>-3.8546518320123901E-3</v>
      </c>
      <c r="BN15" s="953">
        <f>BN13/BM13-1</f>
        <v>3.7183642410236084E-2</v>
      </c>
      <c r="BO15" s="953">
        <f>BO13/BN13-1</f>
        <v>2.553303071762314E-2</v>
      </c>
      <c r="BP15" s="953">
        <f>BP13/BO13-1</f>
        <v>2.8393524283935268E-2</v>
      </c>
      <c r="BQ15" s="967"/>
      <c r="BR15" s="953">
        <f>BR13/BP13-1</f>
        <v>-1.6229265753904709E-2</v>
      </c>
      <c r="BS15" s="953">
        <f>BS13/BR13-1</f>
        <v>4.8427691074753643E-2</v>
      </c>
      <c r="BT15" s="953">
        <f>BT13/BS13-1</f>
        <v>2.2124910695996647E-2</v>
      </c>
      <c r="BU15" s="953">
        <f>BU13/BT13-1</f>
        <v>1.0829734343495989E-2</v>
      </c>
      <c r="BV15" s="967"/>
      <c r="BW15" s="953">
        <f>BW13/BU13-1</f>
        <v>-2.5242163010505303E-2</v>
      </c>
      <c r="BX15" s="953">
        <f>BX13/BW13-1</f>
        <v>4.8885131516814173E-2</v>
      </c>
      <c r="BY15" s="953">
        <f>BY13/BX13-1</f>
        <v>2.1957943292713944E-2</v>
      </c>
      <c r="BZ15" s="953">
        <f>BZ13/BY13-1</f>
        <v>1.0964703190404546E-2</v>
      </c>
      <c r="CA15" s="967"/>
    </row>
    <row r="16" spans="1:79" s="126" customFormat="1" ht="7.9" customHeight="1">
      <c r="A16" s="90"/>
      <c r="B16" s="133"/>
      <c r="C16" s="132"/>
      <c r="D16" s="93"/>
      <c r="E16" s="94"/>
      <c r="F16" s="94"/>
      <c r="G16" s="94"/>
      <c r="H16" s="94"/>
      <c r="I16" s="93"/>
      <c r="J16" s="247"/>
      <c r="K16" s="94"/>
      <c r="L16" s="94"/>
      <c r="M16" s="132"/>
      <c r="N16" s="132"/>
      <c r="O16" s="290"/>
      <c r="P16" s="94"/>
      <c r="Q16" s="94"/>
      <c r="R16" s="132"/>
      <c r="S16" s="94"/>
      <c r="T16" s="247"/>
      <c r="U16" s="94"/>
      <c r="V16" s="94"/>
      <c r="W16" s="132"/>
      <c r="X16" s="337"/>
      <c r="Y16" s="338"/>
      <c r="Z16" s="153"/>
      <c r="AA16" s="153"/>
      <c r="AB16" s="153"/>
      <c r="AC16" s="93"/>
      <c r="AD16" s="153"/>
      <c r="AE16" s="153"/>
      <c r="AF16" s="153"/>
      <c r="AG16" s="153"/>
      <c r="AH16" s="93"/>
      <c r="AI16" s="153"/>
      <c r="AJ16" s="153"/>
      <c r="AK16" s="153"/>
      <c r="AL16" s="153"/>
      <c r="AM16" s="93"/>
      <c r="AN16" s="94"/>
      <c r="AO16" s="153"/>
      <c r="AP16" s="153"/>
      <c r="AQ16" s="153"/>
      <c r="AR16" s="93"/>
      <c r="AS16" s="153"/>
      <c r="AT16" s="153"/>
      <c r="AU16" s="153"/>
      <c r="AV16" s="94"/>
      <c r="AW16" s="93"/>
      <c r="AX16" s="94"/>
      <c r="AY16" s="94"/>
      <c r="AZ16" s="153"/>
      <c r="BA16" s="153"/>
      <c r="BB16" s="93"/>
      <c r="BC16" s="153"/>
      <c r="BD16" s="153"/>
      <c r="BE16" s="153"/>
      <c r="BF16" s="153"/>
      <c r="BG16" s="93"/>
      <c r="BH16" s="153"/>
      <c r="BI16" s="153"/>
      <c r="BJ16" s="153"/>
      <c r="BK16" s="153"/>
      <c r="BL16" s="93"/>
      <c r="BM16" s="153"/>
      <c r="BN16" s="153"/>
      <c r="BO16" s="153"/>
      <c r="BP16" s="153"/>
      <c r="BQ16" s="93"/>
      <c r="BR16" s="153"/>
      <c r="BS16" s="153"/>
      <c r="BT16" s="153"/>
      <c r="BU16" s="153"/>
      <c r="BV16" s="93"/>
      <c r="BW16" s="153"/>
      <c r="BX16" s="153"/>
      <c r="BY16" s="153"/>
      <c r="BZ16" s="153"/>
      <c r="CA16" s="93"/>
    </row>
    <row r="17" spans="1:79" s="126" customFormat="1" ht="14.25" customHeight="1">
      <c r="A17" s="90"/>
      <c r="B17" s="352" t="s">
        <v>96</v>
      </c>
      <c r="C17" s="132"/>
      <c r="D17" s="93"/>
      <c r="E17" s="191"/>
      <c r="F17" s="124"/>
      <c r="G17" s="124"/>
      <c r="H17" s="124"/>
      <c r="I17" s="93"/>
      <c r="J17" s="217"/>
      <c r="K17" s="124"/>
      <c r="L17" s="124"/>
      <c r="M17" s="351"/>
      <c r="N17" s="351"/>
      <c r="O17" s="312"/>
      <c r="P17" s="191"/>
      <c r="Q17" s="191"/>
      <c r="R17" s="260"/>
      <c r="S17" s="191"/>
      <c r="T17" s="350"/>
      <c r="U17" s="124"/>
      <c r="V17" s="124"/>
      <c r="W17" s="351"/>
      <c r="X17" s="337"/>
      <c r="Y17" s="349"/>
      <c r="Z17" s="191"/>
      <c r="AA17" s="191"/>
      <c r="AB17" s="191"/>
      <c r="AC17" s="93"/>
      <c r="AD17" s="153"/>
      <c r="AE17" s="345"/>
      <c r="AF17" s="153"/>
      <c r="AG17" s="345"/>
      <c r="AH17" s="93"/>
      <c r="AI17" s="345"/>
      <c r="AJ17" s="153"/>
      <c r="AK17" s="153"/>
      <c r="AL17" s="153"/>
      <c r="AM17" s="93"/>
      <c r="AN17" s="153">
        <f>+((AN9+AO9-AN20-AO20)/(AN9+AO9))</f>
        <v>-0.15663797839223587</v>
      </c>
      <c r="AO17" s="153"/>
      <c r="AP17" s="153"/>
      <c r="AQ17" s="153"/>
      <c r="AR17" s="93"/>
      <c r="AS17" s="153"/>
      <c r="AT17" s="153"/>
      <c r="AU17" s="153"/>
      <c r="AV17" s="94"/>
      <c r="AW17" s="93"/>
      <c r="AX17" s="94"/>
      <c r="AY17" s="94"/>
      <c r="AZ17" s="153"/>
      <c r="BA17" s="153"/>
      <c r="BB17" s="93"/>
      <c r="BC17" s="153"/>
      <c r="BD17" s="345"/>
      <c r="BE17" s="153"/>
      <c r="BF17" s="153"/>
      <c r="BG17" s="93"/>
      <c r="BH17" s="153"/>
      <c r="BI17" s="153"/>
      <c r="BJ17" s="153"/>
      <c r="BK17" s="153"/>
      <c r="BL17" s="93"/>
      <c r="BM17" s="153"/>
      <c r="BN17" s="153"/>
      <c r="BO17" s="153"/>
      <c r="BP17" s="153"/>
      <c r="BQ17" s="93"/>
      <c r="BR17" s="153"/>
      <c r="BS17" s="153"/>
      <c r="BT17" s="153"/>
      <c r="BU17" s="153"/>
      <c r="BV17" s="93"/>
      <c r="BW17" s="153"/>
      <c r="BX17" s="153"/>
      <c r="BY17" s="153"/>
      <c r="BZ17" s="153"/>
      <c r="CA17" s="93"/>
    </row>
    <row r="18" spans="1:79" ht="18" customHeight="1">
      <c r="A18" s="75"/>
      <c r="B18" s="74"/>
      <c r="C18" s="137" t="s">
        <v>188</v>
      </c>
      <c r="D18" s="71"/>
      <c r="E18" s="72"/>
      <c r="F18" s="172"/>
      <c r="G18" s="172"/>
      <c r="H18" s="172"/>
      <c r="I18" s="71"/>
      <c r="J18" s="74"/>
      <c r="K18" s="113"/>
      <c r="L18" s="113"/>
      <c r="M18" s="340"/>
      <c r="N18" s="77"/>
      <c r="O18" s="72"/>
      <c r="P18" s="113"/>
      <c r="Q18" s="113"/>
      <c r="R18" s="340"/>
      <c r="S18" s="72"/>
      <c r="T18" s="74"/>
      <c r="U18" s="113"/>
      <c r="V18" s="113"/>
      <c r="W18" s="340"/>
      <c r="X18" s="71">
        <f>48656-1074-1965</f>
        <v>45617</v>
      </c>
      <c r="Y18" s="339"/>
      <c r="Z18" s="113"/>
      <c r="AA18" s="113"/>
      <c r="AB18" s="113"/>
      <c r="AC18" s="71">
        <f>73363-1190-6940</f>
        <v>65233</v>
      </c>
      <c r="AD18" s="113">
        <f>19293-238-1697</f>
        <v>17358</v>
      </c>
      <c r="AE18" s="113">
        <f>20040-231-1691</f>
        <v>18118</v>
      </c>
      <c r="AF18" s="113">
        <f>22335-228-1691</f>
        <v>20416</v>
      </c>
      <c r="AG18" s="113">
        <f>22166-214-1714</f>
        <v>20238</v>
      </c>
      <c r="AH18" s="71">
        <f>SUM(AD18:AG18)</f>
        <v>76130</v>
      </c>
      <c r="AI18" s="113">
        <f>32438-9955-1668</f>
        <v>20815</v>
      </c>
      <c r="AJ18" s="113">
        <f>23057-1588-1003</f>
        <v>20466</v>
      </c>
      <c r="AK18" s="113">
        <f>28709-2398-1632</f>
        <v>24679</v>
      </c>
      <c r="AL18" s="113">
        <f>33560-2241-1778-830</f>
        <v>28711</v>
      </c>
      <c r="AM18" s="71">
        <f>SUM(AI18:AL18)</f>
        <v>94671</v>
      </c>
      <c r="AN18" s="72">
        <f>33119-2282-1627-221</f>
        <v>28989</v>
      </c>
      <c r="AO18" s="113">
        <f>39472-3115-1381-211</f>
        <v>34765</v>
      </c>
      <c r="AP18" s="113">
        <f>43178-3534-1348-337</f>
        <v>37959</v>
      </c>
      <c r="AQ18" s="113">
        <f>48162-3951-1348-285</f>
        <v>42578</v>
      </c>
      <c r="AR18" s="71">
        <f>SUM(AN18:AQ18)</f>
        <v>144291</v>
      </c>
      <c r="AS18" s="113">
        <f>52010-3864-1348-535</f>
        <v>46263</v>
      </c>
      <c r="AT18" s="113">
        <f>64730-5014-3132-926</f>
        <v>55658</v>
      </c>
      <c r="AU18" s="113">
        <f>69905-5777-3376-722</f>
        <v>60030</v>
      </c>
      <c r="AV18" s="72">
        <f>73347-6138-3196-1454+775</f>
        <v>63334</v>
      </c>
      <c r="AW18" s="71">
        <f>SUM(AS18:AV18)</f>
        <v>225285</v>
      </c>
      <c r="AX18" s="72">
        <f>78071-6018-3171-1442</f>
        <v>67440</v>
      </c>
      <c r="AY18" s="72">
        <f>84455-7539-3328-971</f>
        <v>72617</v>
      </c>
      <c r="AZ18" s="113">
        <f>84579-8095-2766-873</f>
        <v>72845</v>
      </c>
      <c r="BA18" s="113">
        <f>96556-9500-2403-417</f>
        <v>84236</v>
      </c>
      <c r="BB18" s="71">
        <f>SUM(AX18:BA18)</f>
        <v>297138</v>
      </c>
      <c r="BC18" s="113">
        <f>105159-10613-2403-508</f>
        <v>91635</v>
      </c>
      <c r="BD18" s="113">
        <f>107931-12994-2403-332-194</f>
        <v>92008</v>
      </c>
      <c r="BE18" s="113">
        <f>102524-11665-2425-310-127</f>
        <v>87997</v>
      </c>
      <c r="BF18" s="113">
        <f>110463-11644-2382-243-126</f>
        <v>96068</v>
      </c>
      <c r="BG18" s="71">
        <f>SUM(BC18:BF18)</f>
        <v>367708</v>
      </c>
      <c r="BH18" s="113">
        <f>108942-11357-2403-466-299</f>
        <v>94417</v>
      </c>
      <c r="BI18" s="113">
        <f>116185-13081-2314-465-206</f>
        <v>100119</v>
      </c>
      <c r="BJ18" s="113">
        <f>114227-13705-2070-301</f>
        <v>98151</v>
      </c>
      <c r="BK18" s="113">
        <f>120551-13517-2070-232</f>
        <v>104732</v>
      </c>
      <c r="BL18" s="71">
        <f>SUM(BH18:BK18)</f>
        <v>397419</v>
      </c>
      <c r="BM18" s="113">
        <f>126602-14181-2070-792</f>
        <v>109559</v>
      </c>
      <c r="BN18" s="113">
        <f>132372-15593-3067-595</f>
        <v>113117</v>
      </c>
      <c r="BO18" s="113">
        <f>134587-14862-3566-574</f>
        <v>115585</v>
      </c>
      <c r="BP18" s="113">
        <f>138884-13712-3564-921</f>
        <v>120687</v>
      </c>
      <c r="BQ18" s="71">
        <f>SUM(BM18:BP18)</f>
        <v>458948</v>
      </c>
      <c r="BR18" s="113">
        <f>137343-12996-3565-1445</f>
        <v>119337</v>
      </c>
      <c r="BS18" s="113">
        <f>144097-14425-1220-1562</f>
        <v>126890</v>
      </c>
      <c r="BT18" s="113">
        <f>150372-15018-889-1495</f>
        <v>132970</v>
      </c>
      <c r="BU18" s="113">
        <f>BU5*(1-BU19)</f>
        <v>140988.76403940003</v>
      </c>
      <c r="BV18" s="71">
        <f>SUM(BR18:BU18)</f>
        <v>520185.76403940003</v>
      </c>
      <c r="BW18" s="113">
        <f>BW5*(1-BW19)</f>
        <v>134465.60040000002</v>
      </c>
      <c r="BX18" s="113">
        <f>BX5*(1-BX19)</f>
        <v>139683.81504000004</v>
      </c>
      <c r="BY18" s="113">
        <f>BY5*(1-BY19)</f>
        <v>140087.55420000004</v>
      </c>
      <c r="BZ18" s="113">
        <f>BZ5*(1-BZ19)</f>
        <v>140000.22213061803</v>
      </c>
      <c r="CA18" s="71">
        <f>SUM(BW18:BZ18)</f>
        <v>554237.1917706182</v>
      </c>
    </row>
    <row r="19" spans="1:79" s="956" customFormat="1" ht="12" customHeight="1">
      <c r="A19" s="941"/>
      <c r="B19" s="942"/>
      <c r="C19" s="943" t="s">
        <v>95</v>
      </c>
      <c r="D19" s="951" t="e">
        <f t="shared" ref="D19:O19" si="16">((D5-D18)/(D5))</f>
        <v>#DIV/0!</v>
      </c>
      <c r="E19" s="953" t="e">
        <f t="shared" si="16"/>
        <v>#DIV/0!</v>
      </c>
      <c r="F19" s="953" t="e">
        <f t="shared" si="16"/>
        <v>#DIV/0!</v>
      </c>
      <c r="G19" s="953" t="e">
        <f t="shared" si="16"/>
        <v>#DIV/0!</v>
      </c>
      <c r="H19" s="953" t="e">
        <f t="shared" si="16"/>
        <v>#DIV/0!</v>
      </c>
      <c r="I19" s="951"/>
      <c r="J19" s="952"/>
      <c r="K19" s="953"/>
      <c r="L19" s="953"/>
      <c r="M19" s="954"/>
      <c r="N19" s="954"/>
      <c r="O19" s="953" t="e">
        <f t="shared" si="16"/>
        <v>#DIV/0!</v>
      </c>
      <c r="P19" s="953" t="e">
        <f>((P5-P18)/(P5))</f>
        <v>#DIV/0!</v>
      </c>
      <c r="Q19" s="953" t="e">
        <f t="shared" ref="Q19:AB19" si="17">((Q5-Q18)/(Q5))</f>
        <v>#DIV/0!</v>
      </c>
      <c r="R19" s="954" t="e">
        <f t="shared" si="17"/>
        <v>#DIV/0!</v>
      </c>
      <c r="S19" s="953" t="e">
        <f t="shared" si="17"/>
        <v>#DIV/0!</v>
      </c>
      <c r="T19" s="952" t="e">
        <f t="shared" si="17"/>
        <v>#DIV/0!</v>
      </c>
      <c r="U19" s="953" t="e">
        <f t="shared" si="17"/>
        <v>#DIV/0!</v>
      </c>
      <c r="V19" s="953" t="e">
        <f t="shared" si="17"/>
        <v>#DIV/0!</v>
      </c>
      <c r="W19" s="954" t="e">
        <f t="shared" si="17"/>
        <v>#DIV/0!</v>
      </c>
      <c r="X19" s="951">
        <f t="shared" si="17"/>
        <v>0.80090953925115771</v>
      </c>
      <c r="Y19" s="952" t="e">
        <f t="shared" si="17"/>
        <v>#DIV/0!</v>
      </c>
      <c r="Z19" s="953" t="e">
        <f t="shared" si="17"/>
        <v>#DIV/0!</v>
      </c>
      <c r="AA19" s="953" t="e">
        <f t="shared" si="17"/>
        <v>#DIV/0!</v>
      </c>
      <c r="AB19" s="953" t="e">
        <f t="shared" si="17"/>
        <v>#DIV/0!</v>
      </c>
      <c r="AC19" s="951">
        <f t="shared" ref="AC19:BC19" si="18">((AC5-AC18)/(AC5))</f>
        <v>0.81285162223184904</v>
      </c>
      <c r="AD19" s="953">
        <f t="shared" si="18"/>
        <v>0.83754340318399212</v>
      </c>
      <c r="AE19" s="953">
        <f t="shared" si="18"/>
        <v>0.84587377608397918</v>
      </c>
      <c r="AF19" s="953">
        <f t="shared" si="18"/>
        <v>0.83388796224726414</v>
      </c>
      <c r="AG19" s="953">
        <f t="shared" si="18"/>
        <v>0.85257437571024797</v>
      </c>
      <c r="AH19" s="951">
        <f>((AH5-AH18)/(AH5))</f>
        <v>0.84289520224688963</v>
      </c>
      <c r="AI19" s="952">
        <f t="shared" si="18"/>
        <v>0.85954601276670406</v>
      </c>
      <c r="AJ19" s="953">
        <f t="shared" si="18"/>
        <v>0.87084519219240064</v>
      </c>
      <c r="AK19" s="953">
        <f t="shared" si="18"/>
        <v>0.85433758691109984</v>
      </c>
      <c r="AL19" s="953">
        <f t="shared" si="18"/>
        <v>0.84693344422408456</v>
      </c>
      <c r="AM19" s="951">
        <f>((AM5-AM18)/(AM5))</f>
        <v>0.85734950433733093</v>
      </c>
      <c r="AN19" s="945">
        <f t="shared" si="18"/>
        <v>0.85610400182668345</v>
      </c>
      <c r="AO19" s="945">
        <f t="shared" si="18"/>
        <v>0.8425576624352954</v>
      </c>
      <c r="AP19" s="945">
        <f t="shared" si="18"/>
        <v>0.84055663832790084</v>
      </c>
      <c r="AQ19" s="945">
        <f t="shared" si="18"/>
        <v>0.83504699328224641</v>
      </c>
      <c r="AR19" s="951">
        <f>((AR5-AR18)/(AR5))</f>
        <v>0.84289949622358218</v>
      </c>
      <c r="AS19" s="945">
        <f t="shared" si="18"/>
        <v>0.83531727668178357</v>
      </c>
      <c r="AT19" s="945">
        <f t="shared" si="18"/>
        <v>0.82802656012952547</v>
      </c>
      <c r="AU19" s="945">
        <f t="shared" si="18"/>
        <v>0.83625963880562004</v>
      </c>
      <c r="AV19" s="945">
        <f t="shared" si="18"/>
        <v>0.84560779103640771</v>
      </c>
      <c r="AW19" s="951">
        <f>((AW5-AW18)/(AW5))</f>
        <v>0.83691509392303587</v>
      </c>
      <c r="AX19" s="945">
        <f t="shared" si="18"/>
        <v>0.85077500082976532</v>
      </c>
      <c r="AY19" s="945">
        <f t="shared" si="18"/>
        <v>0.85263151486125033</v>
      </c>
      <c r="AZ19" s="945">
        <f t="shared" si="18"/>
        <v>0.86218554485378562</v>
      </c>
      <c r="BA19" s="945">
        <f t="shared" si="18"/>
        <v>0.85064697893284824</v>
      </c>
      <c r="BB19" s="951">
        <f>((BB5-BB18)/(BB5))</f>
        <v>0.85414907778637317</v>
      </c>
      <c r="BC19" s="945">
        <f t="shared" si="18"/>
        <v>0.83902531572188721</v>
      </c>
      <c r="BD19" s="945">
        <f>((BD5-BD18)/(BD5))</f>
        <v>0.84796941146144877</v>
      </c>
      <c r="BE19" s="945">
        <f>((BE5-BE18)/(BE5))</f>
        <v>0.85899159529208158</v>
      </c>
      <c r="BF19" s="945">
        <f>((BF5-BF18)/(BF5))</f>
        <v>0.85075123081918413</v>
      </c>
      <c r="BG19" s="951">
        <f>((BG5-BG18)/(BG5))</f>
        <v>0.84943433665946411</v>
      </c>
      <c r="BH19" s="945">
        <f t="shared" ref="BH19:BM19" si="19">((BH5-BH18)/(BH5))</f>
        <v>0.85231352073416999</v>
      </c>
      <c r="BI19" s="945">
        <f t="shared" si="19"/>
        <v>0.85042734404295406</v>
      </c>
      <c r="BJ19" s="945">
        <f t="shared" si="19"/>
        <v>0.85615781883837083</v>
      </c>
      <c r="BK19" s="945">
        <f t="shared" si="19"/>
        <v>0.84945420465097554</v>
      </c>
      <c r="BL19" s="951">
        <f>((BL5-BL18)/(BL5))</f>
        <v>0.85207957098426779</v>
      </c>
      <c r="BM19" s="945">
        <f t="shared" si="19"/>
        <v>0.84155937311546347</v>
      </c>
      <c r="BN19" s="945">
        <f t="shared" ref="BN19:BT19" si="20">((BN5-BN18)/(BN5))</f>
        <v>0.84231619563793103</v>
      </c>
      <c r="BO19" s="945">
        <f t="shared" si="20"/>
        <v>0.84267578430718681</v>
      </c>
      <c r="BP19" s="945">
        <f t="shared" si="20"/>
        <v>0.84073336526927145</v>
      </c>
      <c r="BQ19" s="951">
        <f t="shared" si="20"/>
        <v>0.84181347109184168</v>
      </c>
      <c r="BR19" s="945">
        <f t="shared" si="20"/>
        <v>0.84007413542177589</v>
      </c>
      <c r="BS19" s="945">
        <f t="shared" si="20"/>
        <v>0.83823056956506214</v>
      </c>
      <c r="BT19" s="945">
        <f t="shared" si="20"/>
        <v>0.8339863014040686</v>
      </c>
      <c r="BU19" s="955">
        <v>0.82599999999999996</v>
      </c>
      <c r="BV19" s="951">
        <f>((BV5-BV18)/(BV5))</f>
        <v>0.83443214519248798</v>
      </c>
      <c r="BW19" s="955">
        <v>0.83</v>
      </c>
      <c r="BX19" s="955">
        <v>0.83199999999999996</v>
      </c>
      <c r="BY19" s="955">
        <v>0.83499999999999996</v>
      </c>
      <c r="BZ19" s="955">
        <v>0.83699999999999997</v>
      </c>
      <c r="CA19" s="951">
        <f>((CA5-CA18)/(CA5))</f>
        <v>0.83357929424073507</v>
      </c>
    </row>
    <row r="20" spans="1:79" ht="18" customHeight="1">
      <c r="A20" s="75"/>
      <c r="B20" s="74"/>
      <c r="C20" s="137" t="s">
        <v>585</v>
      </c>
      <c r="D20" s="71"/>
      <c r="E20" s="72"/>
      <c r="F20" s="172"/>
      <c r="G20" s="172"/>
      <c r="H20" s="172"/>
      <c r="I20" s="71"/>
      <c r="J20" s="74"/>
      <c r="K20" s="113"/>
      <c r="L20" s="113"/>
      <c r="M20" s="340"/>
      <c r="N20" s="77"/>
      <c r="O20" s="72"/>
      <c r="P20" s="113"/>
      <c r="Q20" s="113"/>
      <c r="R20" s="340"/>
      <c r="S20" s="72"/>
      <c r="T20" s="74"/>
      <c r="U20" s="113"/>
      <c r="V20" s="113"/>
      <c r="W20" s="340"/>
      <c r="X20" s="71">
        <f>25199-1297</f>
        <v>23902</v>
      </c>
      <c r="Y20" s="339"/>
      <c r="Z20" s="113"/>
      <c r="AA20" s="113"/>
      <c r="AB20" s="113"/>
      <c r="AC20" s="71">
        <f>29114-1021</f>
        <v>28093</v>
      </c>
      <c r="AD20" s="113">
        <f>7831-235</f>
        <v>7596</v>
      </c>
      <c r="AE20" s="113">
        <f>8418-254</f>
        <v>8164</v>
      </c>
      <c r="AF20" s="113">
        <f>8881-253</f>
        <v>8628</v>
      </c>
      <c r="AG20" s="113">
        <f>9309-234</f>
        <v>9075</v>
      </c>
      <c r="AH20" s="71">
        <f>SUM(AD20:AG20)</f>
        <v>33463</v>
      </c>
      <c r="AI20" s="113">
        <f>25856-16045</f>
        <v>9811</v>
      </c>
      <c r="AJ20" s="113">
        <f>13304-2822</f>
        <v>10482</v>
      </c>
      <c r="AK20" s="113">
        <f>16364-3578-108</f>
        <v>12678</v>
      </c>
      <c r="AL20" s="113">
        <f>19133-3413-1119</f>
        <v>14601</v>
      </c>
      <c r="AM20" s="71">
        <f>SUM(AI20:AL20)</f>
        <v>47572</v>
      </c>
      <c r="AN20" s="72">
        <f>18900-3440-431</f>
        <v>15029</v>
      </c>
      <c r="AO20" s="113">
        <f>21704-4821-330</f>
        <v>16553</v>
      </c>
      <c r="AP20" s="113">
        <f>18786-3616-378</f>
        <v>14792</v>
      </c>
      <c r="AQ20" s="113">
        <f>19913-3826-383</f>
        <v>15704</v>
      </c>
      <c r="AR20" s="71">
        <f>SUM(AN20:AQ20)</f>
        <v>62078</v>
      </c>
      <c r="AS20" s="113">
        <f>22022-4125-501</f>
        <v>17396</v>
      </c>
      <c r="AT20" s="113">
        <f>25885-5225-812</f>
        <v>19848</v>
      </c>
      <c r="AU20" s="113">
        <f>27926-6005-954</f>
        <v>20967</v>
      </c>
      <c r="AV20" s="72">
        <f>28233-6510-775</f>
        <v>20948</v>
      </c>
      <c r="AW20" s="71">
        <f>SUM(AS20:AV20)</f>
        <v>79159</v>
      </c>
      <c r="AX20" s="72">
        <f>27171-5535-1332</f>
        <v>20304</v>
      </c>
      <c r="AY20" s="72">
        <f>29325-6446-1150</f>
        <v>21729</v>
      </c>
      <c r="AZ20" s="113">
        <f>31396-7270-927</f>
        <v>23199</v>
      </c>
      <c r="BA20" s="113">
        <f>34898-8096-412</f>
        <v>26390</v>
      </c>
      <c r="BB20" s="71">
        <f>SUM(AX20:BA20)</f>
        <v>91622</v>
      </c>
      <c r="BC20" s="113">
        <f>27257-5082-283</f>
        <v>21892</v>
      </c>
      <c r="BD20" s="113">
        <f>28773-6478-198-71</f>
        <v>22026</v>
      </c>
      <c r="BE20" s="113">
        <f>27018-6767-161-286</f>
        <v>19804</v>
      </c>
      <c r="BF20" s="113">
        <f>26963-7431-149-286</f>
        <v>19097</v>
      </c>
      <c r="BG20" s="71">
        <f>SUM(BC20:BF20)</f>
        <v>82819</v>
      </c>
      <c r="BH20" s="113">
        <f>27545-6730-209-130</f>
        <v>20476</v>
      </c>
      <c r="BI20" s="113">
        <f>29397-7286-248-86</f>
        <v>21777</v>
      </c>
      <c r="BJ20" s="113">
        <f>28418-7343-236</f>
        <v>20839</v>
      </c>
      <c r="BK20" s="113">
        <f>27356-6977-105</f>
        <v>20274</v>
      </c>
      <c r="BL20" s="71">
        <f>SUM(BH20:BK20)</f>
        <v>83366</v>
      </c>
      <c r="BM20" s="113">
        <f>22844-4702-231</f>
        <v>17911</v>
      </c>
      <c r="BN20" s="113">
        <f>23093-4998-221</f>
        <v>17874</v>
      </c>
      <c r="BO20" s="113">
        <f>21950-4765-320</f>
        <v>16865</v>
      </c>
      <c r="BP20" s="113">
        <f>21327-4174-255</f>
        <v>16898</v>
      </c>
      <c r="BQ20" s="71">
        <f>SUM(BM20:BP20)</f>
        <v>69548</v>
      </c>
      <c r="BR20" s="113">
        <f>19926-3908-428</f>
        <v>15590</v>
      </c>
      <c r="BS20" s="113">
        <f>21366-4167-355</f>
        <v>16844</v>
      </c>
      <c r="BT20" s="113">
        <f>20174-3992-291</f>
        <v>15891</v>
      </c>
      <c r="BU20" s="113">
        <f>BU9*(1-BU21)</f>
        <v>16085.647000000001</v>
      </c>
      <c r="BV20" s="71">
        <f>SUM(BR20:BU20)</f>
        <v>64410.646999999997</v>
      </c>
      <c r="BW20" s="113">
        <f>BW9*(1-BW21)</f>
        <v>15050.604799999999</v>
      </c>
      <c r="BX20" s="113">
        <f>BX9*(1-BX21)</f>
        <v>14012.2752</v>
      </c>
      <c r="BY20" s="113">
        <f>BY9*(1-BY21)</f>
        <v>14845.8112</v>
      </c>
      <c r="BZ20" s="113">
        <f>BZ9*(1-BZ21)</f>
        <v>14602.381024000002</v>
      </c>
      <c r="CA20" s="71">
        <f>SUM(BW20:BZ20)</f>
        <v>58511.072224000003</v>
      </c>
    </row>
    <row r="21" spans="1:79" s="956" customFormat="1" ht="12" customHeight="1">
      <c r="A21" s="941"/>
      <c r="B21" s="942"/>
      <c r="C21" s="943" t="s">
        <v>95</v>
      </c>
      <c r="D21" s="951" t="e">
        <f t="shared" ref="D21:O21" si="21">(D9-D20)/D9</f>
        <v>#DIV/0!</v>
      </c>
      <c r="E21" s="953" t="e">
        <f t="shared" si="21"/>
        <v>#DIV/0!</v>
      </c>
      <c r="F21" s="953" t="e">
        <f t="shared" si="21"/>
        <v>#DIV/0!</v>
      </c>
      <c r="G21" s="953" t="e">
        <f t="shared" si="21"/>
        <v>#DIV/0!</v>
      </c>
      <c r="H21" s="953" t="e">
        <f t="shared" si="21"/>
        <v>#DIV/0!</v>
      </c>
      <c r="I21" s="951"/>
      <c r="J21" s="952"/>
      <c r="K21" s="953"/>
      <c r="L21" s="953"/>
      <c r="M21" s="954"/>
      <c r="N21" s="954"/>
      <c r="O21" s="953" t="e">
        <f t="shared" si="21"/>
        <v>#DIV/0!</v>
      </c>
      <c r="P21" s="953" t="e">
        <f>(P9-P20)/P9</f>
        <v>#DIV/0!</v>
      </c>
      <c r="Q21" s="953" t="e">
        <f t="shared" ref="Q21:AB21" si="22">(Q9-Q20)/Q9</f>
        <v>#DIV/0!</v>
      </c>
      <c r="R21" s="954" t="e">
        <f t="shared" si="22"/>
        <v>#DIV/0!</v>
      </c>
      <c r="S21" s="953" t="e">
        <f t="shared" si="22"/>
        <v>#DIV/0!</v>
      </c>
      <c r="T21" s="952" t="e">
        <f t="shared" si="22"/>
        <v>#DIV/0!</v>
      </c>
      <c r="U21" s="953" t="e">
        <f t="shared" si="22"/>
        <v>#DIV/0!</v>
      </c>
      <c r="V21" s="953" t="e">
        <f t="shared" si="22"/>
        <v>#DIV/0!</v>
      </c>
      <c r="W21" s="954" t="e">
        <f t="shared" si="22"/>
        <v>#DIV/0!</v>
      </c>
      <c r="X21" s="951">
        <f t="shared" si="22"/>
        <v>-0.11932190690268803</v>
      </c>
      <c r="Y21" s="952" t="e">
        <f t="shared" si="22"/>
        <v>#DIV/0!</v>
      </c>
      <c r="Z21" s="953" t="e">
        <f t="shared" si="22"/>
        <v>#DIV/0!</v>
      </c>
      <c r="AA21" s="953" t="e">
        <f t="shared" si="22"/>
        <v>#DIV/0!</v>
      </c>
      <c r="AB21" s="953" t="e">
        <f t="shared" si="22"/>
        <v>#DIV/0!</v>
      </c>
      <c r="AC21" s="951">
        <f t="shared" ref="AC21:BC21" si="23">(AC9-AC20)/AC9</f>
        <v>0.14600559338521402</v>
      </c>
      <c r="AD21" s="953">
        <f t="shared" si="23"/>
        <v>-0.14208389715832206</v>
      </c>
      <c r="AE21" s="953">
        <f t="shared" si="23"/>
        <v>-2.1777221526908634E-2</v>
      </c>
      <c r="AF21" s="953">
        <f t="shared" si="23"/>
        <v>-0.12285268089536699</v>
      </c>
      <c r="AG21" s="953">
        <f t="shared" si="23"/>
        <v>0.21753750646663217</v>
      </c>
      <c r="AH21" s="951">
        <f t="shared" si="23"/>
        <v>1.3560121451522565E-2</v>
      </c>
      <c r="AI21" s="952">
        <f t="shared" si="23"/>
        <v>-0.28922470433639946</v>
      </c>
      <c r="AJ21" s="953">
        <f t="shared" si="23"/>
        <v>-0.22125131073051379</v>
      </c>
      <c r="AK21" s="953">
        <f t="shared" si="23"/>
        <v>-0.41511329389440788</v>
      </c>
      <c r="AL21" s="953">
        <f t="shared" si="23"/>
        <v>-0.20074013157894738</v>
      </c>
      <c r="AM21" s="951">
        <f>(AM9-AM20)/AM9</f>
        <v>-0.27497855917667241</v>
      </c>
      <c r="AN21" s="945">
        <f t="shared" si="23"/>
        <v>-0.20193538067818298</v>
      </c>
      <c r="AO21" s="945">
        <f t="shared" si="23"/>
        <v>-0.11837038037970407</v>
      </c>
      <c r="AP21" s="945">
        <f t="shared" si="23"/>
        <v>-0.29413823272090989</v>
      </c>
      <c r="AQ21" s="945">
        <f t="shared" si="23"/>
        <v>6.3733381029034752E-2</v>
      </c>
      <c r="AR21" s="951">
        <f>(AR9-AR20)/AR9</f>
        <v>-0.11836131728759819</v>
      </c>
      <c r="AS21" s="945">
        <f t="shared" si="23"/>
        <v>-8.0832556694625662E-2</v>
      </c>
      <c r="AT21" s="945">
        <f t="shared" si="23"/>
        <v>-6.9050953355596245E-2</v>
      </c>
      <c r="AU21" s="945">
        <f t="shared" si="23"/>
        <v>-0.2858457009689685</v>
      </c>
      <c r="AV21" s="945">
        <f t="shared" si="23"/>
        <v>-1.2812454672919788E-2</v>
      </c>
      <c r="AW21" s="951">
        <f>(AW9-AW20)/AW9</f>
        <v>-0.10480111653872994</v>
      </c>
      <c r="AX21" s="945">
        <f t="shared" si="23"/>
        <v>-0.1843901300822493</v>
      </c>
      <c r="AY21" s="945">
        <f t="shared" si="23"/>
        <v>-0.13847846589122917</v>
      </c>
      <c r="AZ21" s="945">
        <f t="shared" si="23"/>
        <v>-0.37353463587921848</v>
      </c>
      <c r="BA21" s="945">
        <f t="shared" si="23"/>
        <v>-0.56877897990726434</v>
      </c>
      <c r="BB21" s="951">
        <f>(BB9-BB20)/BB9</f>
        <v>-0.30998984858666589</v>
      </c>
      <c r="BC21" s="945">
        <f t="shared" si="23"/>
        <v>-0.12607376163777584</v>
      </c>
      <c r="BD21" s="945">
        <f>(BD9-BD20)/BD9</f>
        <v>-0.29640965273690406</v>
      </c>
      <c r="BE21" s="945">
        <f>(BE9-BE20)/BE9</f>
        <v>7.4925261584454408E-2</v>
      </c>
      <c r="BF21" s="945">
        <f>(BF9-BF20)/BF9</f>
        <v>-0.20114472608340148</v>
      </c>
      <c r="BG21" s="951">
        <f>(BG9-BG20)/BG9</f>
        <v>-0.12315224172068676</v>
      </c>
      <c r="BH21" s="945">
        <f t="shared" ref="BH21:BM21" si="24">(BH9-BH20)/BH9</f>
        <v>7.2686925410986827E-2</v>
      </c>
      <c r="BI21" s="945">
        <f t="shared" si="24"/>
        <v>-0.18870087336244543</v>
      </c>
      <c r="BJ21" s="945">
        <f t="shared" si="24"/>
        <v>-0.15330123415795008</v>
      </c>
      <c r="BK21" s="945">
        <f t="shared" si="24"/>
        <v>-0.21372126436781611</v>
      </c>
      <c r="BL21" s="951">
        <f>(BL9-BL20)/BL9</f>
        <v>-0.10897384734083593</v>
      </c>
      <c r="BM21" s="945">
        <f t="shared" si="24"/>
        <v>1.3548493693892162E-2</v>
      </c>
      <c r="BN21" s="945">
        <f t="shared" ref="BN21:BT21" si="25">(BN9-BN20)/BN9</f>
        <v>4.217351696050587E-2</v>
      </c>
      <c r="BO21" s="945">
        <f t="shared" si="25"/>
        <v>0.16207085010185324</v>
      </c>
      <c r="BP21" s="945">
        <f t="shared" si="25"/>
        <v>8.5853394644306191E-2</v>
      </c>
      <c r="BQ21" s="951">
        <f t="shared" si="25"/>
        <v>7.7979583720005297E-2</v>
      </c>
      <c r="BR21" s="945">
        <f t="shared" si="25"/>
        <v>0.10669264267705707</v>
      </c>
      <c r="BS21" s="945">
        <f t="shared" si="25"/>
        <v>-3.668143771541113E-2</v>
      </c>
      <c r="BT21" s="945">
        <f t="shared" si="25"/>
        <v>8.630404783808647E-2</v>
      </c>
      <c r="BU21" s="955">
        <v>0.05</v>
      </c>
      <c r="BV21" s="951">
        <f>(BV9-BV20)/BV9</f>
        <v>5.3122415444137309E-2</v>
      </c>
      <c r="BW21" s="955">
        <v>0.02</v>
      </c>
      <c r="BX21" s="955">
        <v>0.02</v>
      </c>
      <c r="BY21" s="955">
        <v>0.03</v>
      </c>
      <c r="BZ21" s="955">
        <v>0.02</v>
      </c>
      <c r="CA21" s="951">
        <f>(CA9-CA20)/CA9</f>
        <v>2.2556734906046698E-2</v>
      </c>
    </row>
    <row r="22" spans="1:79" s="529" customFormat="1" ht="20.25" customHeight="1" thickBot="1">
      <c r="A22" s="519"/>
      <c r="B22" s="520" t="s">
        <v>94</v>
      </c>
      <c r="C22" s="521"/>
      <c r="D22" s="522"/>
      <c r="E22" s="523">
        <f>E20+E18</f>
        <v>0</v>
      </c>
      <c r="F22" s="523">
        <f>F20+F18</f>
        <v>0</v>
      </c>
      <c r="G22" s="523">
        <f>G20+G18</f>
        <v>0</v>
      </c>
      <c r="H22" s="523">
        <f>H20+H18</f>
        <v>0</v>
      </c>
      <c r="I22" s="522"/>
      <c r="J22" s="524"/>
      <c r="K22" s="525"/>
      <c r="L22" s="525"/>
      <c r="M22" s="526"/>
      <c r="N22" s="527"/>
      <c r="O22" s="525">
        <f>O18+O20</f>
        <v>0</v>
      </c>
      <c r="P22" s="525">
        <f>P18+P20</f>
        <v>0</v>
      </c>
      <c r="Q22" s="525">
        <f>Q18+Q20</f>
        <v>0</v>
      </c>
      <c r="R22" s="526">
        <f>R18+R20</f>
        <v>0</v>
      </c>
      <c r="S22" s="528">
        <f>S20+S18</f>
        <v>0</v>
      </c>
      <c r="T22" s="524">
        <f t="shared" ref="T22:AH22" si="26">T18+T20</f>
        <v>0</v>
      </c>
      <c r="U22" s="525">
        <f t="shared" si="26"/>
        <v>0</v>
      </c>
      <c r="V22" s="525">
        <f t="shared" si="26"/>
        <v>0</v>
      </c>
      <c r="W22" s="526">
        <f t="shared" si="26"/>
        <v>0</v>
      </c>
      <c r="X22" s="522">
        <f t="shared" si="26"/>
        <v>69519</v>
      </c>
      <c r="Y22" s="524">
        <f t="shared" si="26"/>
        <v>0</v>
      </c>
      <c r="Z22" s="525">
        <f t="shared" si="26"/>
        <v>0</v>
      </c>
      <c r="AA22" s="525">
        <f t="shared" si="26"/>
        <v>0</v>
      </c>
      <c r="AB22" s="525">
        <f t="shared" si="26"/>
        <v>0</v>
      </c>
      <c r="AC22" s="522">
        <f t="shared" si="26"/>
        <v>93326</v>
      </c>
      <c r="AD22" s="525">
        <f t="shared" si="26"/>
        <v>24954</v>
      </c>
      <c r="AE22" s="525">
        <f t="shared" si="26"/>
        <v>26282</v>
      </c>
      <c r="AF22" s="525">
        <f t="shared" si="26"/>
        <v>29044</v>
      </c>
      <c r="AG22" s="525">
        <f t="shared" si="26"/>
        <v>29313</v>
      </c>
      <c r="AH22" s="522">
        <f t="shared" si="26"/>
        <v>109593</v>
      </c>
      <c r="AI22" s="525">
        <f>AI20+AI18</f>
        <v>30626</v>
      </c>
      <c r="AJ22" s="525">
        <f>AJ20+AJ18</f>
        <v>30948</v>
      </c>
      <c r="AK22" s="525">
        <f>AK20+AK18</f>
        <v>37357</v>
      </c>
      <c r="AL22" s="525">
        <f>AL20+AL18</f>
        <v>43312</v>
      </c>
      <c r="AM22" s="522">
        <f>SUM(AI22:AL22)</f>
        <v>142243</v>
      </c>
      <c r="AN22" s="528">
        <f>AN20+AN18</f>
        <v>44018</v>
      </c>
      <c r="AO22" s="525">
        <f>AO20+AO18</f>
        <v>51318</v>
      </c>
      <c r="AP22" s="525">
        <f>AP20+AP18</f>
        <v>52751</v>
      </c>
      <c r="AQ22" s="525">
        <f>AQ20+AQ18</f>
        <v>58282</v>
      </c>
      <c r="AR22" s="522">
        <f>SUM(AN22:AQ22)</f>
        <v>206369</v>
      </c>
      <c r="AS22" s="525">
        <f>AS20+AS18</f>
        <v>63659</v>
      </c>
      <c r="AT22" s="525">
        <f>AT20+AT18</f>
        <v>75506</v>
      </c>
      <c r="AU22" s="525">
        <f>AU20+AU18</f>
        <v>80997</v>
      </c>
      <c r="AV22" s="528">
        <f>AV20+AV18</f>
        <v>84282</v>
      </c>
      <c r="AW22" s="522">
        <f>SUM(AS22:AV22)</f>
        <v>304444</v>
      </c>
      <c r="AX22" s="528">
        <f>AX20+AX18</f>
        <v>87744</v>
      </c>
      <c r="AY22" s="528">
        <f>AY20+AY18</f>
        <v>94346</v>
      </c>
      <c r="AZ22" s="525">
        <f>AZ20+AZ18</f>
        <v>96044</v>
      </c>
      <c r="BA22" s="525">
        <f>BA20+BA18</f>
        <v>110626</v>
      </c>
      <c r="BB22" s="522">
        <f>SUM(AX22:BA22)</f>
        <v>388760</v>
      </c>
      <c r="BC22" s="525">
        <f>BC20+BC18</f>
        <v>113527</v>
      </c>
      <c r="BD22" s="525">
        <f>BD20+BD18</f>
        <v>114034</v>
      </c>
      <c r="BE22" s="525">
        <f>BE20+BE18</f>
        <v>107801</v>
      </c>
      <c r="BF22" s="525">
        <f>BF20+BF18</f>
        <v>115165</v>
      </c>
      <c r="BG22" s="522">
        <f>SUM(BC22:BF22)</f>
        <v>450527</v>
      </c>
      <c r="BH22" s="525">
        <f>BH20+BH18</f>
        <v>114893</v>
      </c>
      <c r="BI22" s="525">
        <f>BI20+BI18</f>
        <v>121896</v>
      </c>
      <c r="BJ22" s="525">
        <f>BJ20+BJ18</f>
        <v>118990</v>
      </c>
      <c r="BK22" s="525">
        <f>BK20+BK18</f>
        <v>125006</v>
      </c>
      <c r="BL22" s="522">
        <f>SUM(BH22:BK22)</f>
        <v>480785</v>
      </c>
      <c r="BM22" s="525">
        <f>BM20+BM18</f>
        <v>127470</v>
      </c>
      <c r="BN22" s="525">
        <f>BN20+BN18</f>
        <v>130991</v>
      </c>
      <c r="BO22" s="525">
        <f>BO20+BO18</f>
        <v>132450</v>
      </c>
      <c r="BP22" s="525">
        <f>BP20+BP18</f>
        <v>137585</v>
      </c>
      <c r="BQ22" s="522">
        <f>SUM(BM22:BP22)</f>
        <v>528496</v>
      </c>
      <c r="BR22" s="525">
        <f>BR20+BR18</f>
        <v>134927</v>
      </c>
      <c r="BS22" s="525">
        <f>BS20+BS18</f>
        <v>143734</v>
      </c>
      <c r="BT22" s="525">
        <f>BT20+BT18</f>
        <v>148861</v>
      </c>
      <c r="BU22" s="525">
        <f>BU20+BU18</f>
        <v>157074.41103940003</v>
      </c>
      <c r="BV22" s="522">
        <f>SUM(BR22:BU22)</f>
        <v>584596.41103940003</v>
      </c>
      <c r="BW22" s="525">
        <f>BW20+BW18</f>
        <v>149516.20520000003</v>
      </c>
      <c r="BX22" s="525">
        <f>BX20+BX18</f>
        <v>153696.09024000005</v>
      </c>
      <c r="BY22" s="525">
        <f>BY20+BY18</f>
        <v>154933.36540000004</v>
      </c>
      <c r="BZ22" s="525">
        <f>BZ20+BZ18</f>
        <v>154602.60315461803</v>
      </c>
      <c r="CA22" s="522">
        <f>SUM(BW22:BZ22)</f>
        <v>612748.2639946182</v>
      </c>
    </row>
    <row r="23" spans="1:79" ht="14.25" customHeight="1" thickBot="1">
      <c r="A23" s="128"/>
      <c r="B23" s="228" t="s">
        <v>93</v>
      </c>
      <c r="C23" s="265"/>
      <c r="D23" s="221">
        <f t="shared" ref="D23:AM23" si="27">D13-D22</f>
        <v>0</v>
      </c>
      <c r="E23" s="220">
        <f t="shared" si="27"/>
        <v>0</v>
      </c>
      <c r="F23" s="220">
        <f t="shared" si="27"/>
        <v>0</v>
      </c>
      <c r="G23" s="220">
        <f t="shared" si="27"/>
        <v>0</v>
      </c>
      <c r="H23" s="220">
        <f t="shared" si="27"/>
        <v>0</v>
      </c>
      <c r="I23" s="221"/>
      <c r="J23" s="220"/>
      <c r="K23" s="220"/>
      <c r="L23" s="220"/>
      <c r="M23" s="220"/>
      <c r="N23" s="221"/>
      <c r="O23" s="220">
        <f t="shared" si="27"/>
        <v>0</v>
      </c>
      <c r="P23" s="220">
        <f t="shared" si="27"/>
        <v>0</v>
      </c>
      <c r="Q23" s="220">
        <f t="shared" si="27"/>
        <v>0</v>
      </c>
      <c r="R23" s="220">
        <f t="shared" si="27"/>
        <v>0</v>
      </c>
      <c r="S23" s="221">
        <f t="shared" si="27"/>
        <v>0</v>
      </c>
      <c r="T23" s="220">
        <f t="shared" si="27"/>
        <v>0</v>
      </c>
      <c r="U23" s="220">
        <f t="shared" si="27"/>
        <v>0</v>
      </c>
      <c r="V23" s="220">
        <f t="shared" si="27"/>
        <v>0</v>
      </c>
      <c r="W23" s="220">
        <f t="shared" si="27"/>
        <v>0</v>
      </c>
      <c r="X23" s="221">
        <f t="shared" si="27"/>
        <v>180962</v>
      </c>
      <c r="Y23" s="220">
        <f t="shared" si="27"/>
        <v>0</v>
      </c>
      <c r="Z23" s="220">
        <f t="shared" si="27"/>
        <v>0</v>
      </c>
      <c r="AA23" s="220">
        <f t="shared" si="27"/>
        <v>0</v>
      </c>
      <c r="AB23" s="220">
        <f t="shared" si="27"/>
        <v>0</v>
      </c>
      <c r="AC23" s="221">
        <f t="shared" si="27"/>
        <v>288133</v>
      </c>
      <c r="AD23" s="294">
        <f t="shared" si="27"/>
        <v>88544</v>
      </c>
      <c r="AE23" s="220">
        <f>AE13-AE22</f>
        <v>99261</v>
      </c>
      <c r="AF23" s="220">
        <f t="shared" si="27"/>
        <v>101545</v>
      </c>
      <c r="AG23" s="295">
        <f t="shared" si="27"/>
        <v>119561</v>
      </c>
      <c r="AH23" s="221">
        <f t="shared" si="27"/>
        <v>408911</v>
      </c>
      <c r="AI23" s="220">
        <f t="shared" si="27"/>
        <v>125182</v>
      </c>
      <c r="AJ23" s="220">
        <f t="shared" si="27"/>
        <v>136096</v>
      </c>
      <c r="AK23" s="220">
        <f t="shared" si="27"/>
        <v>141028</v>
      </c>
      <c r="AL23" s="220">
        <f t="shared" si="27"/>
        <v>156420</v>
      </c>
      <c r="AM23" s="221">
        <f t="shared" si="27"/>
        <v>558726</v>
      </c>
      <c r="AN23" s="220">
        <f t="shared" ref="AN23:AW23" si="28">AN13-AN22</f>
        <v>169944</v>
      </c>
      <c r="AO23" s="220">
        <f t="shared" si="28"/>
        <v>184294</v>
      </c>
      <c r="AP23" s="220">
        <f t="shared" si="28"/>
        <v>196751</v>
      </c>
      <c r="AQ23" s="220">
        <f t="shared" si="28"/>
        <v>216613</v>
      </c>
      <c r="AR23" s="221">
        <f t="shared" si="28"/>
        <v>767602</v>
      </c>
      <c r="AS23" s="220">
        <f t="shared" si="28"/>
        <v>233358</v>
      </c>
      <c r="AT23" s="220">
        <f t="shared" si="28"/>
        <v>266703</v>
      </c>
      <c r="AU23" s="220">
        <f t="shared" si="28"/>
        <v>301926</v>
      </c>
      <c r="AV23" s="220">
        <f t="shared" si="28"/>
        <v>346616</v>
      </c>
      <c r="AW23" s="221">
        <f t="shared" si="28"/>
        <v>1148603</v>
      </c>
      <c r="AX23" s="220">
        <f t="shared" ref="AX23:CA23" si="29">AX13-AX22</f>
        <v>381334</v>
      </c>
      <c r="AY23" s="220">
        <f t="shared" si="29"/>
        <v>417498</v>
      </c>
      <c r="AZ23" s="220">
        <f t="shared" si="29"/>
        <v>449419</v>
      </c>
      <c r="BA23" s="220">
        <f t="shared" si="29"/>
        <v>470202</v>
      </c>
      <c r="BB23" s="221">
        <f t="shared" si="29"/>
        <v>1718453</v>
      </c>
      <c r="BC23" s="220">
        <f t="shared" si="29"/>
        <v>475165</v>
      </c>
      <c r="BD23" s="220">
        <f t="shared" si="29"/>
        <v>508150</v>
      </c>
      <c r="BE23" s="220">
        <f t="shared" si="29"/>
        <v>537662</v>
      </c>
      <c r="BF23" s="220">
        <f t="shared" si="29"/>
        <v>544411</v>
      </c>
      <c r="BG23" s="221">
        <f t="shared" si="29"/>
        <v>2065388</v>
      </c>
      <c r="BH23" s="220">
        <f t="shared" si="29"/>
        <v>546495</v>
      </c>
      <c r="BI23" s="220">
        <f t="shared" si="29"/>
        <v>565791</v>
      </c>
      <c r="BJ23" s="220">
        <f t="shared" si="29"/>
        <v>581431</v>
      </c>
      <c r="BK23" s="220">
        <f t="shared" si="29"/>
        <v>587380</v>
      </c>
      <c r="BL23" s="221">
        <f t="shared" si="29"/>
        <v>2281097</v>
      </c>
      <c r="BM23" s="220">
        <f t="shared" si="29"/>
        <v>582170</v>
      </c>
      <c r="BN23" s="220">
        <f t="shared" si="29"/>
        <v>605036</v>
      </c>
      <c r="BO23" s="220">
        <f t="shared" si="29"/>
        <v>622370</v>
      </c>
      <c r="BP23" s="220">
        <f t="shared" si="29"/>
        <v>638667</v>
      </c>
      <c r="BQ23" s="221">
        <f t="shared" si="29"/>
        <v>2448243</v>
      </c>
      <c r="BR23" s="220">
        <f t="shared" si="29"/>
        <v>628727</v>
      </c>
      <c r="BS23" s="220">
        <f t="shared" si="29"/>
        <v>656902</v>
      </c>
      <c r="BT23" s="220">
        <f t="shared" si="29"/>
        <v>669489</v>
      </c>
      <c r="BU23" s="220">
        <f t="shared" si="29"/>
        <v>670138.10206059995</v>
      </c>
      <c r="BV23" s="221">
        <f t="shared" si="29"/>
        <v>2625256.1020606002</v>
      </c>
      <c r="BW23" s="220">
        <f t="shared" si="29"/>
        <v>656815.67479999992</v>
      </c>
      <c r="BX23" s="220">
        <f t="shared" si="29"/>
        <v>692053.42975999997</v>
      </c>
      <c r="BY23" s="220">
        <f t="shared" si="29"/>
        <v>709387.07460000005</v>
      </c>
      <c r="BZ23" s="220">
        <f t="shared" si="29"/>
        <v>719194.85393138195</v>
      </c>
      <c r="CA23" s="221">
        <f t="shared" si="29"/>
        <v>2777451.0330913812</v>
      </c>
    </row>
    <row r="24" spans="1:79" s="973" customFormat="1" ht="15" customHeight="1">
      <c r="A24" s="945"/>
      <c r="B24" s="968"/>
      <c r="C24" s="969" t="s">
        <v>544</v>
      </c>
      <c r="D24" s="970" t="e">
        <f t="shared" ref="D24:AD24" si="30">D23/D13</f>
        <v>#DIV/0!</v>
      </c>
      <c r="E24" s="945" t="e">
        <f t="shared" si="30"/>
        <v>#DIV/0!</v>
      </c>
      <c r="F24" s="945" t="e">
        <f t="shared" si="30"/>
        <v>#DIV/0!</v>
      </c>
      <c r="G24" s="945" t="e">
        <f t="shared" si="30"/>
        <v>#DIV/0!</v>
      </c>
      <c r="H24" s="945" t="e">
        <f t="shared" si="30"/>
        <v>#DIV/0!</v>
      </c>
      <c r="I24" s="970"/>
      <c r="J24" s="945"/>
      <c r="K24" s="945"/>
      <c r="L24" s="945"/>
      <c r="M24" s="945"/>
      <c r="N24" s="970"/>
      <c r="O24" s="945" t="e">
        <f t="shared" si="30"/>
        <v>#DIV/0!</v>
      </c>
      <c r="P24" s="945" t="e">
        <f t="shared" si="30"/>
        <v>#DIV/0!</v>
      </c>
      <c r="Q24" s="945" t="e">
        <f t="shared" si="30"/>
        <v>#DIV/0!</v>
      </c>
      <c r="R24" s="945" t="e">
        <f t="shared" si="30"/>
        <v>#DIV/0!</v>
      </c>
      <c r="S24" s="970" t="e">
        <f t="shared" si="30"/>
        <v>#DIV/0!</v>
      </c>
      <c r="T24" s="945" t="e">
        <f t="shared" si="30"/>
        <v>#DIV/0!</v>
      </c>
      <c r="U24" s="945" t="e">
        <f t="shared" si="30"/>
        <v>#DIV/0!</v>
      </c>
      <c r="V24" s="945" t="e">
        <f t="shared" si="30"/>
        <v>#DIV/0!</v>
      </c>
      <c r="W24" s="971" t="e">
        <f t="shared" si="30"/>
        <v>#DIV/0!</v>
      </c>
      <c r="X24" s="972">
        <f t="shared" si="30"/>
        <v>0.72245799082565143</v>
      </c>
      <c r="Y24" s="953" t="e">
        <f t="shared" si="30"/>
        <v>#DIV/0!</v>
      </c>
      <c r="Z24" s="953" t="e">
        <f t="shared" si="30"/>
        <v>#DIV/0!</v>
      </c>
      <c r="AA24" s="953" t="e">
        <f t="shared" si="30"/>
        <v>#DIV/0!</v>
      </c>
      <c r="AB24" s="953" t="e">
        <f t="shared" si="30"/>
        <v>#DIV/0!</v>
      </c>
      <c r="AC24" s="970">
        <f t="shared" si="30"/>
        <v>0.75534461108533291</v>
      </c>
      <c r="AD24" s="945">
        <f t="shared" si="30"/>
        <v>0.78013709492678285</v>
      </c>
      <c r="AE24" s="953">
        <f t="shared" ref="AE24:AM24" si="31">AE23/AE13</f>
        <v>0.79065340162334818</v>
      </c>
      <c r="AF24" s="953">
        <f t="shared" si="31"/>
        <v>0.77759229337846225</v>
      </c>
      <c r="AG24" s="953">
        <f t="shared" si="31"/>
        <v>0.80310195198624335</v>
      </c>
      <c r="AH24" s="970">
        <f t="shared" si="31"/>
        <v>0.78863615324086223</v>
      </c>
      <c r="AI24" s="945">
        <f t="shared" si="31"/>
        <v>0.80343756418155676</v>
      </c>
      <c r="AJ24" s="945">
        <f>AJ23/AJ13</f>
        <v>0.81473144800172415</v>
      </c>
      <c r="AK24" s="945">
        <f t="shared" si="31"/>
        <v>0.79058216778316559</v>
      </c>
      <c r="AL24" s="945">
        <f t="shared" si="31"/>
        <v>0.78314942022309897</v>
      </c>
      <c r="AM24" s="970">
        <f t="shared" si="31"/>
        <v>0.79707661822420106</v>
      </c>
      <c r="AN24" s="945">
        <f t="shared" ref="AN24:AW24" si="32">AN23/AN13</f>
        <v>0.79427188005346738</v>
      </c>
      <c r="AO24" s="953">
        <f t="shared" si="32"/>
        <v>0.78219275758450335</v>
      </c>
      <c r="AP24" s="953">
        <f t="shared" si="32"/>
        <v>0.78857484108343823</v>
      </c>
      <c r="AQ24" s="953">
        <f t="shared" si="32"/>
        <v>0.78798450317393909</v>
      </c>
      <c r="AR24" s="972">
        <f t="shared" si="32"/>
        <v>0.78811586792625243</v>
      </c>
      <c r="AS24" s="953">
        <f t="shared" si="32"/>
        <v>0.78567220058111154</v>
      </c>
      <c r="AT24" s="953">
        <f t="shared" si="32"/>
        <v>0.77935705957470436</v>
      </c>
      <c r="AU24" s="953">
        <f t="shared" si="32"/>
        <v>0.78847705674508972</v>
      </c>
      <c r="AV24" s="945">
        <f t="shared" si="32"/>
        <v>0.8044038264276</v>
      </c>
      <c r="AW24" s="972">
        <f t="shared" si="32"/>
        <v>0.79047890398589993</v>
      </c>
      <c r="AX24" s="945">
        <f t="shared" ref="AX24:CA24" si="33">AX23/AX13</f>
        <v>0.81294368953564222</v>
      </c>
      <c r="AY24" s="945">
        <f t="shared" si="33"/>
        <v>0.81567430701541876</v>
      </c>
      <c r="AZ24" s="953">
        <f t="shared" si="33"/>
        <v>0.82392206254136391</v>
      </c>
      <c r="BA24" s="953">
        <f t="shared" si="33"/>
        <v>0.80953741899495202</v>
      </c>
      <c r="BB24" s="972">
        <f t="shared" si="33"/>
        <v>0.8155098701460175</v>
      </c>
      <c r="BC24" s="953">
        <f t="shared" si="33"/>
        <v>0.80715382576967243</v>
      </c>
      <c r="BD24" s="953">
        <f t="shared" si="33"/>
        <v>0.81671981278849981</v>
      </c>
      <c r="BE24" s="953">
        <f t="shared" si="33"/>
        <v>0.83298655383809761</v>
      </c>
      <c r="BF24" s="953">
        <f t="shared" si="33"/>
        <v>0.82539540553325164</v>
      </c>
      <c r="BG24" s="972">
        <f t="shared" si="33"/>
        <v>0.82092916493601731</v>
      </c>
      <c r="BH24" s="953">
        <f t="shared" si="33"/>
        <v>0.82628502482657684</v>
      </c>
      <c r="BI24" s="953">
        <f t="shared" si="33"/>
        <v>0.82274494064887083</v>
      </c>
      <c r="BJ24" s="953">
        <f t="shared" si="33"/>
        <v>0.83011645852994131</v>
      </c>
      <c r="BK24" s="953">
        <f t="shared" si="33"/>
        <v>0.82452490644117093</v>
      </c>
      <c r="BL24" s="972">
        <f t="shared" si="33"/>
        <v>0.82592123776468362</v>
      </c>
      <c r="BM24" s="953">
        <f t="shared" si="33"/>
        <v>0.82037371061383235</v>
      </c>
      <c r="BN24" s="953">
        <f t="shared" si="33"/>
        <v>0.8220296266305448</v>
      </c>
      <c r="BO24" s="953">
        <f t="shared" si="33"/>
        <v>0.8245277019686813</v>
      </c>
      <c r="BP24" s="953">
        <f t="shared" si="33"/>
        <v>0.82275730046428219</v>
      </c>
      <c r="BQ24" s="972">
        <f t="shared" si="33"/>
        <v>0.82245806568866131</v>
      </c>
      <c r="BR24" s="953">
        <f t="shared" si="33"/>
        <v>0.82331396155850689</v>
      </c>
      <c r="BS24" s="953">
        <f t="shared" si="33"/>
        <v>0.82047522219835234</v>
      </c>
      <c r="BT24" s="953">
        <f t="shared" si="33"/>
        <v>0.81809616912079186</v>
      </c>
      <c r="BU24" s="953">
        <f t="shared" si="33"/>
        <v>0.8101160118446955</v>
      </c>
      <c r="BV24" s="972">
        <f t="shared" si="33"/>
        <v>0.81787437003614527</v>
      </c>
      <c r="BW24" s="953">
        <f t="shared" si="33"/>
        <v>0.81457237533507909</v>
      </c>
      <c r="BX24" s="953">
        <f t="shared" si="33"/>
        <v>0.81827232932984695</v>
      </c>
      <c r="BY24" s="953">
        <f t="shared" si="33"/>
        <v>0.82074545708996538</v>
      </c>
      <c r="BZ24" s="953">
        <f t="shared" si="33"/>
        <v>0.8230681470850264</v>
      </c>
      <c r="CA24" s="972">
        <f t="shared" si="33"/>
        <v>0.81925892542031442</v>
      </c>
    </row>
    <row r="25" spans="1:79" ht="7.9" customHeight="1">
      <c r="A25" s="81"/>
      <c r="B25" s="92"/>
      <c r="C25" s="137"/>
      <c r="D25" s="99"/>
      <c r="E25" s="100"/>
      <c r="F25" s="100"/>
      <c r="G25" s="100"/>
      <c r="H25" s="103"/>
      <c r="I25" s="99"/>
      <c r="J25" s="100"/>
      <c r="K25" s="100"/>
      <c r="L25" s="100"/>
      <c r="M25" s="103"/>
      <c r="N25" s="99"/>
      <c r="O25" s="100"/>
      <c r="P25" s="100"/>
      <c r="Q25" s="100"/>
      <c r="R25" s="103"/>
      <c r="S25" s="99"/>
      <c r="T25" s="101"/>
      <c r="U25" s="101"/>
      <c r="V25" s="81"/>
      <c r="W25" s="81"/>
      <c r="X25" s="164"/>
      <c r="Y25" s="156"/>
      <c r="Z25" s="196"/>
      <c r="AA25" s="156"/>
      <c r="AB25" s="196"/>
      <c r="AC25" s="93"/>
      <c r="AD25" s="196"/>
      <c r="AE25" s="196"/>
      <c r="AF25" s="156"/>
      <c r="AG25" s="196"/>
      <c r="AH25" s="93"/>
      <c r="AI25" s="156"/>
      <c r="AJ25" s="156"/>
      <c r="AK25" s="156"/>
      <c r="AL25" s="156"/>
      <c r="AM25" s="93"/>
      <c r="AN25" s="100"/>
      <c r="AO25" s="156"/>
      <c r="AP25" s="156"/>
      <c r="AQ25" s="156"/>
      <c r="AR25" s="93"/>
      <c r="AS25" s="156"/>
      <c r="AT25" s="156"/>
      <c r="AU25" s="156"/>
      <c r="AV25" s="100"/>
      <c r="AW25" s="93"/>
      <c r="AX25" s="100"/>
      <c r="AY25" s="100"/>
      <c r="AZ25" s="156"/>
      <c r="BA25" s="156"/>
      <c r="BB25" s="93"/>
      <c r="BC25" s="156"/>
      <c r="BD25" s="156"/>
      <c r="BE25" s="156"/>
      <c r="BF25" s="156"/>
      <c r="BG25" s="93"/>
      <c r="BH25" s="156"/>
      <c r="BI25" s="156"/>
      <c r="BJ25" s="156"/>
      <c r="BK25" s="156"/>
      <c r="BL25" s="93"/>
      <c r="BM25" s="156"/>
      <c r="BN25" s="156"/>
      <c r="BO25" s="156"/>
      <c r="BP25" s="156"/>
      <c r="BQ25" s="93"/>
      <c r="BR25" s="156"/>
      <c r="BS25" s="156"/>
      <c r="BT25" s="156"/>
      <c r="BU25" s="156"/>
      <c r="BV25" s="93"/>
      <c r="BW25" s="156"/>
      <c r="BX25" s="156"/>
      <c r="BY25" s="156"/>
      <c r="BZ25" s="156"/>
      <c r="CA25" s="93"/>
    </row>
    <row r="26" spans="1:79" ht="14.25" customHeight="1">
      <c r="A26" s="81"/>
      <c r="B26" s="120" t="s">
        <v>92</v>
      </c>
      <c r="C26" s="137"/>
      <c r="D26" s="99"/>
      <c r="E26" s="100"/>
      <c r="F26" s="100"/>
      <c r="G26" s="100"/>
      <c r="H26" s="100"/>
      <c r="I26" s="99"/>
      <c r="J26" s="100"/>
      <c r="K26" s="100"/>
      <c r="L26" s="100"/>
      <c r="M26" s="100"/>
      <c r="N26" s="99"/>
      <c r="O26" s="100"/>
      <c r="P26" s="100"/>
      <c r="Q26" s="100"/>
      <c r="R26" s="100"/>
      <c r="S26" s="99"/>
      <c r="T26" s="101"/>
      <c r="U26" s="101"/>
      <c r="V26" s="103"/>
      <c r="W26" s="103"/>
      <c r="X26" s="163"/>
      <c r="Y26" s="156"/>
      <c r="Z26" s="156"/>
      <c r="AA26" s="156"/>
      <c r="AB26" s="156"/>
      <c r="AC26" s="102"/>
      <c r="AD26" s="156"/>
      <c r="AE26" s="156"/>
      <c r="AF26" s="156"/>
      <c r="AG26" s="154"/>
      <c r="AH26" s="399"/>
      <c r="AI26" s="154"/>
      <c r="AJ26" s="154"/>
      <c r="AK26" s="154"/>
      <c r="AL26" s="154"/>
      <c r="AM26" s="102"/>
      <c r="AN26" s="103"/>
      <c r="AO26" s="154"/>
      <c r="AP26" s="154"/>
      <c r="AQ26" s="154"/>
      <c r="AR26" s="99"/>
      <c r="AS26" s="154"/>
      <c r="AT26" s="154"/>
      <c r="AU26" s="154"/>
      <c r="AV26" s="103"/>
      <c r="AW26" s="99"/>
      <c r="AX26" s="103"/>
      <c r="AY26" s="103"/>
      <c r="AZ26" s="154"/>
      <c r="BA26" s="154"/>
      <c r="BB26" s="99"/>
      <c r="BC26" s="154"/>
      <c r="BD26" s="154"/>
      <c r="BE26" s="154"/>
      <c r="BF26" s="154"/>
      <c r="BG26" s="99"/>
      <c r="BH26" s="154"/>
      <c r="BI26" s="154"/>
      <c r="BJ26" s="154"/>
      <c r="BK26" s="154"/>
      <c r="BL26" s="102"/>
      <c r="BM26" s="154"/>
      <c r="BN26" s="154"/>
      <c r="BO26" s="154"/>
      <c r="BP26" s="154"/>
      <c r="BQ26" s="102"/>
      <c r="BR26" s="154"/>
      <c r="BS26" s="154"/>
      <c r="BT26" s="154"/>
      <c r="BU26" s="154"/>
      <c r="BV26" s="102"/>
      <c r="BW26" s="154"/>
      <c r="BX26" s="154"/>
      <c r="BY26" s="154"/>
      <c r="BZ26" s="154"/>
      <c r="CA26" s="102"/>
    </row>
    <row r="27" spans="1:79" ht="18" customHeight="1">
      <c r="A27" s="75"/>
      <c r="B27" s="74"/>
      <c r="C27" s="137" t="s">
        <v>583</v>
      </c>
      <c r="D27" s="71"/>
      <c r="E27" s="72"/>
      <c r="F27" s="72"/>
      <c r="G27" s="72"/>
      <c r="H27" s="72"/>
      <c r="I27" s="71"/>
      <c r="J27" s="72"/>
      <c r="K27" s="72"/>
      <c r="L27" s="72"/>
      <c r="M27" s="72"/>
      <c r="N27" s="71"/>
      <c r="O27" s="72"/>
      <c r="P27" s="72"/>
      <c r="Q27" s="72"/>
      <c r="R27" s="72"/>
      <c r="S27" s="71"/>
      <c r="T27" s="72"/>
      <c r="U27" s="72"/>
      <c r="V27" s="113"/>
      <c r="W27" s="72"/>
      <c r="X27" s="71">
        <f>170006-10617-1965</f>
        <v>157424</v>
      </c>
      <c r="Y27" s="113"/>
      <c r="Z27" s="113"/>
      <c r="AA27" s="113"/>
      <c r="AB27" s="113"/>
      <c r="AC27" s="71">
        <f>240787-11187-3385</f>
        <v>226215</v>
      </c>
      <c r="AD27" s="113">
        <f>64691-2705-840</f>
        <v>61146</v>
      </c>
      <c r="AE27" s="113">
        <f>68943-2883-665</f>
        <v>65395</v>
      </c>
      <c r="AF27" s="113">
        <f>69666-1959-1015</f>
        <v>66692</v>
      </c>
      <c r="AG27" s="113">
        <f>74630-1839-730</f>
        <v>72061</v>
      </c>
      <c r="AH27" s="71">
        <f>SUM(AD27:AG27)</f>
        <v>265294</v>
      </c>
      <c r="AI27" s="113">
        <f>191085-112481-765</f>
        <v>77839</v>
      </c>
      <c r="AJ27" s="113">
        <f>103779-16791-765</f>
        <v>86223</v>
      </c>
      <c r="AK27" s="113">
        <f>117051-22338-2257-68</f>
        <v>92388</v>
      </c>
      <c r="AL27" s="113">
        <f>127691-20505-3234-8051</f>
        <v>95901</v>
      </c>
      <c r="AM27" s="71">
        <f>SUM(AI27:AL27)</f>
        <v>352351</v>
      </c>
      <c r="AN27" s="72">
        <f>129936-18102-3106-2351</f>
        <v>106377</v>
      </c>
      <c r="AO27" s="113">
        <f>150886-25942-3039-1577</f>
        <v>120328</v>
      </c>
      <c r="AP27" s="113">
        <f>149231-24649-2957-1682</f>
        <v>119943</v>
      </c>
      <c r="AQ27" s="113">
        <f>161326-26170-2911-1413</f>
        <v>130832</v>
      </c>
      <c r="AR27" s="71">
        <f>SUM(AN27:AQ27)</f>
        <v>477480</v>
      </c>
      <c r="AS27" s="113">
        <f>171793-24665-2911-2909</f>
        <v>141308</v>
      </c>
      <c r="AT27" s="113">
        <f>194992-32305-4284-186-3958</f>
        <v>154259</v>
      </c>
      <c r="AU27" s="113">
        <f>209944-36881-3981-4125</f>
        <v>164957</v>
      </c>
      <c r="AV27" s="72">
        <v>178118</v>
      </c>
      <c r="AW27" s="71">
        <f>SUM(AS27:AV27)</f>
        <v>638642</v>
      </c>
      <c r="AX27" s="72">
        <f>239119-38135-3358-6778</f>
        <v>190848</v>
      </c>
      <c r="AY27" s="72">
        <f>262372-46921-3333-5706</f>
        <v>206412</v>
      </c>
      <c r="AZ27" s="113">
        <f>275619-49663-3205-5184</f>
        <v>217567</v>
      </c>
      <c r="BA27" s="113">
        <f>299417-52040-3205-1960</f>
        <v>242212</v>
      </c>
      <c r="BB27" s="71">
        <f>SUM(AX27:BA27)</f>
        <v>857039</v>
      </c>
      <c r="BC27" s="113">
        <f>300697-47431-3205-2290</f>
        <v>247771</v>
      </c>
      <c r="BD27" s="113">
        <f>323582-61218-2630-1683-886</f>
        <v>257165</v>
      </c>
      <c r="BE27" s="113">
        <f>313783-57925-2688-1277-1467</f>
        <v>250426</v>
      </c>
      <c r="BF27" s="113">
        <f>304649-55760-2571-910-1467</f>
        <v>243941</v>
      </c>
      <c r="BG27" s="71">
        <f>SUM(BC27:BF27)</f>
        <v>999303</v>
      </c>
      <c r="BH27" s="113">
        <f>280605-45326-2629-1670-1356</f>
        <v>229624</v>
      </c>
      <c r="BI27" s="113">
        <f>294838-51563-2630-1400-815</f>
        <v>238430</v>
      </c>
      <c r="BJ27" s="113">
        <f>292473-53715-2629-875</f>
        <v>235254</v>
      </c>
      <c r="BK27" s="113">
        <f>300221-53251-2631-1104</f>
        <v>243235</v>
      </c>
      <c r="BL27" s="71">
        <f>SUM(BH27:BK27)</f>
        <v>946543</v>
      </c>
      <c r="BM27" s="113">
        <f>281644-46271-2629-2138</f>
        <v>230606</v>
      </c>
      <c r="BN27" s="113">
        <v>223978</v>
      </c>
      <c r="BO27" s="113">
        <v>236278</v>
      </c>
      <c r="BP27" s="113">
        <f>301288-48213-3354-2242</f>
        <v>247479</v>
      </c>
      <c r="BQ27" s="71">
        <f>SUM(BM27:BP27)</f>
        <v>938341</v>
      </c>
      <c r="BR27" s="113">
        <v>243034</v>
      </c>
      <c r="BS27" s="113">
        <f>305450-49081-2962-3354</f>
        <v>250053</v>
      </c>
      <c r="BT27" s="113">
        <f>296516-48018-2356-3378</f>
        <v>242764</v>
      </c>
      <c r="BU27" s="113">
        <f>BU13*BU28</f>
        <v>259744.72911339998</v>
      </c>
      <c r="BV27" s="71">
        <f>SUM(BR27:BU27)</f>
        <v>995595.72911339998</v>
      </c>
      <c r="BW27" s="113">
        <f>BW13*BW28</f>
        <v>253994.5422</v>
      </c>
      <c r="BX27" s="113">
        <f>BX13*BX28</f>
        <v>266411.09880000004</v>
      </c>
      <c r="BY27" s="113">
        <f>BY13*BY28</f>
        <v>267939.33640000003</v>
      </c>
      <c r="BZ27" s="113">
        <f>BZ13*BZ28</f>
        <v>270877.21169666003</v>
      </c>
      <c r="CA27" s="71">
        <f>SUM(BW27:BZ27)</f>
        <v>1059222.1890966601</v>
      </c>
    </row>
    <row r="28" spans="1:79" s="975" customFormat="1" ht="12" customHeight="1">
      <c r="A28" s="941"/>
      <c r="B28" s="942"/>
      <c r="C28" s="943" t="s">
        <v>91</v>
      </c>
      <c r="D28" s="944" t="e">
        <f>D27/D13</f>
        <v>#DIV/0!</v>
      </c>
      <c r="E28" s="945" t="e">
        <f>E27/E13</f>
        <v>#DIV/0!</v>
      </c>
      <c r="F28" s="945" t="e">
        <f>F27/F13</f>
        <v>#DIV/0!</v>
      </c>
      <c r="G28" s="945" t="e">
        <f>G27/G13</f>
        <v>#DIV/0!</v>
      </c>
      <c r="H28" s="945" t="e">
        <f>H27/H13</f>
        <v>#DIV/0!</v>
      </c>
      <c r="I28" s="944"/>
      <c r="J28" s="945"/>
      <c r="K28" s="945"/>
      <c r="L28" s="945"/>
      <c r="M28" s="945"/>
      <c r="N28" s="944"/>
      <c r="O28" s="945" t="e">
        <f t="shared" ref="O28:BC28" si="34">O27/O13</f>
        <v>#DIV/0!</v>
      </c>
      <c r="P28" s="945" t="e">
        <f t="shared" si="34"/>
        <v>#DIV/0!</v>
      </c>
      <c r="Q28" s="945" t="e">
        <f t="shared" si="34"/>
        <v>#DIV/0!</v>
      </c>
      <c r="R28" s="945" t="e">
        <f t="shared" si="34"/>
        <v>#DIV/0!</v>
      </c>
      <c r="S28" s="944" t="e">
        <f t="shared" si="34"/>
        <v>#DIV/0!</v>
      </c>
      <c r="T28" s="957" t="e">
        <f t="shared" si="34"/>
        <v>#DIV/0!</v>
      </c>
      <c r="U28" s="957" t="e">
        <f t="shared" si="34"/>
        <v>#DIV/0!</v>
      </c>
      <c r="V28" s="957" t="e">
        <f t="shared" si="34"/>
        <v>#DIV/0!</v>
      </c>
      <c r="W28" s="957" t="e">
        <f t="shared" si="34"/>
        <v>#DIV/0!</v>
      </c>
      <c r="X28" s="944">
        <f t="shared" si="34"/>
        <v>0.62848679141332076</v>
      </c>
      <c r="Y28" s="957" t="e">
        <f t="shared" si="34"/>
        <v>#DIV/0!</v>
      </c>
      <c r="Z28" s="957" t="e">
        <f t="shared" si="34"/>
        <v>#DIV/0!</v>
      </c>
      <c r="AA28" s="957" t="e">
        <f t="shared" si="34"/>
        <v>#DIV/0!</v>
      </c>
      <c r="AB28" s="957" t="e">
        <f t="shared" si="34"/>
        <v>#DIV/0!</v>
      </c>
      <c r="AC28" s="944">
        <f t="shared" si="34"/>
        <v>0.5930257249140799</v>
      </c>
      <c r="AD28" s="945">
        <f t="shared" si="34"/>
        <v>0.53874077076248039</v>
      </c>
      <c r="AE28" s="945">
        <f t="shared" si="34"/>
        <v>0.52089722246560943</v>
      </c>
      <c r="AF28" s="945">
        <f t="shared" si="34"/>
        <v>0.51070151391005369</v>
      </c>
      <c r="AG28" s="945">
        <f t="shared" si="34"/>
        <v>0.48404019506428253</v>
      </c>
      <c r="AH28" s="944">
        <f t="shared" si="34"/>
        <v>0.51165275484856432</v>
      </c>
      <c r="AI28" s="942">
        <f t="shared" si="34"/>
        <v>0.49958281988087905</v>
      </c>
      <c r="AJ28" s="949">
        <f t="shared" si="34"/>
        <v>0.5161693924953904</v>
      </c>
      <c r="AK28" s="949">
        <f t="shared" si="34"/>
        <v>0.51791350169577044</v>
      </c>
      <c r="AL28" s="949">
        <f t="shared" si="34"/>
        <v>0.48014839885446498</v>
      </c>
      <c r="AM28" s="944">
        <f>AM27/AM13</f>
        <v>0.50266274257492127</v>
      </c>
      <c r="AN28" s="957">
        <f t="shared" si="34"/>
        <v>0.49717706882530543</v>
      </c>
      <c r="AO28" s="957">
        <f t="shared" si="34"/>
        <v>0.51070403884352245</v>
      </c>
      <c r="AP28" s="957">
        <f t="shared" si="34"/>
        <v>0.48072961338987263</v>
      </c>
      <c r="AQ28" s="957">
        <f t="shared" si="34"/>
        <v>0.47593444769821203</v>
      </c>
      <c r="AR28" s="944">
        <f>AR27/AR13</f>
        <v>0.49024046917208008</v>
      </c>
      <c r="AS28" s="957">
        <f t="shared" si="34"/>
        <v>0.47575727988633648</v>
      </c>
      <c r="AT28" s="957">
        <f t="shared" si="34"/>
        <v>0.45077423445905862</v>
      </c>
      <c r="AU28" s="957">
        <f t="shared" si="34"/>
        <v>0.43078373458893826</v>
      </c>
      <c r="AV28" s="957">
        <f t="shared" si="34"/>
        <v>0.41336464778207371</v>
      </c>
      <c r="AW28" s="944">
        <f>AW27/AW13</f>
        <v>0.43951916214685416</v>
      </c>
      <c r="AX28" s="957">
        <f t="shared" si="34"/>
        <v>0.40685770809971905</v>
      </c>
      <c r="AY28" s="957">
        <f t="shared" si="34"/>
        <v>0.40327130922703008</v>
      </c>
      <c r="AZ28" s="957">
        <f t="shared" si="34"/>
        <v>0.39886665090024437</v>
      </c>
      <c r="BA28" s="957">
        <f t="shared" si="34"/>
        <v>0.41701157657688681</v>
      </c>
      <c r="BB28" s="944">
        <f>BB27/BB13</f>
        <v>0.40671683403623649</v>
      </c>
      <c r="BC28" s="957">
        <f t="shared" si="34"/>
        <v>0.42088392572007094</v>
      </c>
      <c r="BD28" s="957">
        <f>BD27/BD13</f>
        <v>0.41332628290023532</v>
      </c>
      <c r="BE28" s="957">
        <f>BE27/BE13</f>
        <v>0.38797886168533285</v>
      </c>
      <c r="BF28" s="957">
        <f>BF27/BF13</f>
        <v>0.3698451732628234</v>
      </c>
      <c r="BG28" s="944">
        <f>BG27/BG13</f>
        <v>0.39719267145352682</v>
      </c>
      <c r="BH28" s="957">
        <f t="shared" ref="BH28:BM28" si="35">BH27/BH13</f>
        <v>0.34718501091643633</v>
      </c>
      <c r="BI28" s="957">
        <f t="shared" si="35"/>
        <v>0.34671296680030306</v>
      </c>
      <c r="BJ28" s="957">
        <f t="shared" si="35"/>
        <v>0.33587513795274554</v>
      </c>
      <c r="BK28" s="957">
        <f t="shared" si="35"/>
        <v>0.34143708607412276</v>
      </c>
      <c r="BL28" s="944">
        <f>BL27/BL13</f>
        <v>0.34271666928565375</v>
      </c>
      <c r="BM28" s="957">
        <f t="shared" si="35"/>
        <v>0.3249619525393157</v>
      </c>
      <c r="BN28" s="957">
        <f t="shared" ref="BN28:BT28" si="36">BN27/BN13</f>
        <v>0.30430677135485518</v>
      </c>
      <c r="BO28" s="957">
        <f t="shared" si="36"/>
        <v>0.31302562200259665</v>
      </c>
      <c r="BP28" s="957">
        <f t="shared" si="36"/>
        <v>0.31881270515245047</v>
      </c>
      <c r="BQ28" s="944">
        <f t="shared" si="36"/>
        <v>0.31522447886764676</v>
      </c>
      <c r="BR28" s="957">
        <f t="shared" si="36"/>
        <v>0.31825145943057981</v>
      </c>
      <c r="BS28" s="957">
        <f t="shared" si="36"/>
        <v>0.3123179572240069</v>
      </c>
      <c r="BT28" s="957">
        <f t="shared" si="36"/>
        <v>0.29665057738131606</v>
      </c>
      <c r="BU28" s="974">
        <v>0.314</v>
      </c>
      <c r="BV28" s="944">
        <f>BV27/BV13</f>
        <v>0.31016868377914258</v>
      </c>
      <c r="BW28" s="955">
        <v>0.315</v>
      </c>
      <c r="BX28" s="974">
        <v>0.315</v>
      </c>
      <c r="BY28" s="974">
        <v>0.31</v>
      </c>
      <c r="BZ28" s="974">
        <v>0.31</v>
      </c>
      <c r="CA28" s="944">
        <f>CA27/CA13</f>
        <v>0.31243655498574979</v>
      </c>
    </row>
    <row r="29" spans="1:79" ht="18" customHeight="1">
      <c r="A29" s="81"/>
      <c r="B29" s="92"/>
      <c r="C29" s="137" t="s">
        <v>584</v>
      </c>
      <c r="D29" s="102"/>
      <c r="E29" s="103"/>
      <c r="F29" s="103"/>
      <c r="G29" s="103"/>
      <c r="H29" s="103"/>
      <c r="I29" s="71"/>
      <c r="J29" s="103"/>
      <c r="K29" s="103"/>
      <c r="L29" s="103"/>
      <c r="M29" s="103"/>
      <c r="N29" s="71"/>
      <c r="O29" s="103"/>
      <c r="P29" s="103"/>
      <c r="Q29" s="103"/>
      <c r="R29" s="103"/>
      <c r="S29" s="102"/>
      <c r="T29" s="103"/>
      <c r="U29" s="103"/>
      <c r="V29" s="150"/>
      <c r="W29" s="150"/>
      <c r="X29" s="102">
        <f>62255-8221</f>
        <v>54034</v>
      </c>
      <c r="Y29" s="154"/>
      <c r="Z29" s="154"/>
      <c r="AA29" s="154"/>
      <c r="AB29" s="154"/>
      <c r="AC29" s="102">
        <f>89652-10161</f>
        <v>79491</v>
      </c>
      <c r="AD29" s="154">
        <f>22708-1391</f>
        <v>21317</v>
      </c>
      <c r="AE29" s="154">
        <f>23767-1288</f>
        <v>22479</v>
      </c>
      <c r="AF29" s="154">
        <f>22522-1042</f>
        <v>21480</v>
      </c>
      <c r="AG29" s="154">
        <f>23431-1175</f>
        <v>22256</v>
      </c>
      <c r="AH29" s="71">
        <f>SUM(AD29:AG29)</f>
        <v>87532</v>
      </c>
      <c r="AI29" s="154">
        <f>70870-47268</f>
        <v>23602</v>
      </c>
      <c r="AJ29" s="154">
        <f>33773-7359</f>
        <v>26414</v>
      </c>
      <c r="AK29" s="154">
        <f>38404-9919-302</f>
        <v>28183</v>
      </c>
      <c r="AL29" s="154">
        <f>42921-9562-2246</f>
        <v>31113</v>
      </c>
      <c r="AM29" s="102">
        <f>SUM(AI29:AL29)</f>
        <v>109312</v>
      </c>
      <c r="AN29" s="103">
        <f>37183-7317-1150</f>
        <v>28716</v>
      </c>
      <c r="AO29" s="154">
        <f>47517-11963-1026</f>
        <v>34528</v>
      </c>
      <c r="AP29" s="154">
        <f>48758-11679-712</f>
        <v>36367</v>
      </c>
      <c r="AQ29" s="154">
        <f>52094-12252-636</f>
        <v>39206</v>
      </c>
      <c r="AR29" s="102">
        <f>SUM(AN29:AQ29)</f>
        <v>138817</v>
      </c>
      <c r="AS29" s="154">
        <f>54234-11885-1546</f>
        <v>40803</v>
      </c>
      <c r="AT29" s="154">
        <f>63791-14781-2019</f>
        <v>46991</v>
      </c>
      <c r="AU29" s="154">
        <f>73362-18896-1752</f>
        <v>52714</v>
      </c>
      <c r="AV29" s="103">
        <v>57795</v>
      </c>
      <c r="AW29" s="102">
        <f>SUM(AS29:AV29)</f>
        <v>198303</v>
      </c>
      <c r="AX29" s="103">
        <f>85416-20462-4176</f>
        <v>60778</v>
      </c>
      <c r="AY29" s="103">
        <f>94651-26275-2752</f>
        <v>65624</v>
      </c>
      <c r="AZ29" s="154">
        <f>102603-30074-2316</f>
        <v>70213</v>
      </c>
      <c r="BA29" s="154">
        <f>110692-31712-1097</f>
        <v>77883</v>
      </c>
      <c r="BB29" s="102">
        <f>SUM(AX29:BA29)</f>
        <v>274498</v>
      </c>
      <c r="BC29" s="154">
        <f>112227-32205-1533</f>
        <v>78489</v>
      </c>
      <c r="BD29" s="154">
        <f>126532-40978-868-385</f>
        <v>84301</v>
      </c>
      <c r="BE29" s="154">
        <f>115934-35506-608-434</f>
        <v>79386</v>
      </c>
      <c r="BF29" s="154">
        <f>125891-41278-460-433</f>
        <v>83720</v>
      </c>
      <c r="BG29" s="102">
        <f>SUM(BC29:BF29)</f>
        <v>325896</v>
      </c>
      <c r="BH29" s="154">
        <f>115364-35997-1408-492</f>
        <v>77467</v>
      </c>
      <c r="BI29" s="154">
        <f>135960-45151-1387-381</f>
        <v>89041</v>
      </c>
      <c r="BJ29" s="154">
        <f>136640-48310-876</f>
        <v>87454</v>
      </c>
      <c r="BK29" s="154">
        <f>151524-54753-605</f>
        <v>96166</v>
      </c>
      <c r="BL29" s="102">
        <f>SUM(BH29:BK29)</f>
        <v>350128</v>
      </c>
      <c r="BM29" s="154">
        <f>134320-44202-2565</f>
        <v>87553</v>
      </c>
      <c r="BN29" s="154">
        <v>92387</v>
      </c>
      <c r="BO29" s="154">
        <v>96644</v>
      </c>
      <c r="BP29" s="154">
        <f>155463-53422-1421</f>
        <v>100620</v>
      </c>
      <c r="BQ29" s="102">
        <f>SUM(BM29:BP29)</f>
        <v>377204</v>
      </c>
      <c r="BR29" s="154">
        <v>99935</v>
      </c>
      <c r="BS29" s="154">
        <f>169630-61865-2600</f>
        <v>105165</v>
      </c>
      <c r="BT29" s="154">
        <f>167626-60806-1918</f>
        <v>104902</v>
      </c>
      <c r="BU29" s="154">
        <f>BU13*BU30</f>
        <v>107537.626703</v>
      </c>
      <c r="BV29" s="102">
        <f>SUM(BR29:BU29)</f>
        <v>417539.62670299999</v>
      </c>
      <c r="BW29" s="154">
        <f>BW13*BW30</f>
        <v>101597.81688</v>
      </c>
      <c r="BX29" s="154">
        <f>BX13*BX30</f>
        <v>105718.69</v>
      </c>
      <c r="BY29" s="154">
        <f>BY13*BY30</f>
        <v>108040.05500000001</v>
      </c>
      <c r="BZ29" s="154">
        <f>BZ13*BZ30</f>
        <v>110972.27704992201</v>
      </c>
      <c r="CA29" s="102">
        <f>SUM(BW29:BZ29)</f>
        <v>426328.83892992197</v>
      </c>
    </row>
    <row r="30" spans="1:79" s="975" customFormat="1" ht="12" customHeight="1">
      <c r="A30" s="941"/>
      <c r="B30" s="942"/>
      <c r="C30" s="943" t="s">
        <v>91</v>
      </c>
      <c r="D30" s="944" t="e">
        <f>D29/D13</f>
        <v>#DIV/0!</v>
      </c>
      <c r="E30" s="945" t="e">
        <f>E29/E13</f>
        <v>#DIV/0!</v>
      </c>
      <c r="F30" s="945" t="e">
        <f>F29/F13</f>
        <v>#DIV/0!</v>
      </c>
      <c r="G30" s="945" t="e">
        <f>G29/G13</f>
        <v>#DIV/0!</v>
      </c>
      <c r="H30" s="945" t="e">
        <f>H29/H13</f>
        <v>#DIV/0!</v>
      </c>
      <c r="I30" s="944"/>
      <c r="J30" s="945"/>
      <c r="K30" s="945"/>
      <c r="L30" s="945"/>
      <c r="M30" s="945"/>
      <c r="N30" s="944"/>
      <c r="O30" s="945" t="e">
        <f t="shared" ref="O30:BC30" si="37">O29/O13</f>
        <v>#DIV/0!</v>
      </c>
      <c r="P30" s="945" t="e">
        <f t="shared" si="37"/>
        <v>#DIV/0!</v>
      </c>
      <c r="Q30" s="945" t="e">
        <f t="shared" si="37"/>
        <v>#DIV/0!</v>
      </c>
      <c r="R30" s="945" t="e">
        <f t="shared" si="37"/>
        <v>#DIV/0!</v>
      </c>
      <c r="S30" s="944" t="e">
        <f t="shared" si="37"/>
        <v>#DIV/0!</v>
      </c>
      <c r="T30" s="957" t="e">
        <f t="shared" si="37"/>
        <v>#DIV/0!</v>
      </c>
      <c r="U30" s="957" t="e">
        <f t="shared" si="37"/>
        <v>#DIV/0!</v>
      </c>
      <c r="V30" s="957" t="e">
        <f t="shared" si="37"/>
        <v>#DIV/0!</v>
      </c>
      <c r="W30" s="957" t="e">
        <f t="shared" si="37"/>
        <v>#DIV/0!</v>
      </c>
      <c r="X30" s="944">
        <f t="shared" si="37"/>
        <v>0.21572095288664608</v>
      </c>
      <c r="Y30" s="957" t="e">
        <f t="shared" si="37"/>
        <v>#DIV/0!</v>
      </c>
      <c r="Z30" s="957" t="e">
        <f t="shared" si="37"/>
        <v>#DIV/0!</v>
      </c>
      <c r="AA30" s="957" t="e">
        <f t="shared" si="37"/>
        <v>#DIV/0!</v>
      </c>
      <c r="AB30" s="949" t="e">
        <f t="shared" si="37"/>
        <v>#DIV/0!</v>
      </c>
      <c r="AC30" s="944">
        <f t="shared" si="37"/>
        <v>0.20838674667526524</v>
      </c>
      <c r="AD30" s="945">
        <f t="shared" si="37"/>
        <v>0.18781828754691712</v>
      </c>
      <c r="AE30" s="945">
        <f t="shared" si="37"/>
        <v>0.17905418860470118</v>
      </c>
      <c r="AF30" s="945">
        <f t="shared" si="37"/>
        <v>0.16448552328297178</v>
      </c>
      <c r="AG30" s="945">
        <f t="shared" si="37"/>
        <v>0.14949554656958233</v>
      </c>
      <c r="AH30" s="944">
        <f t="shared" si="37"/>
        <v>0.16881644114606636</v>
      </c>
      <c r="AI30" s="942">
        <f t="shared" si="37"/>
        <v>0.15148131033066339</v>
      </c>
      <c r="AJ30" s="949">
        <f t="shared" si="37"/>
        <v>0.15812600272981969</v>
      </c>
      <c r="AK30" s="949">
        <f t="shared" si="37"/>
        <v>0.15798974128990667</v>
      </c>
      <c r="AL30" s="949">
        <f t="shared" si="37"/>
        <v>0.15577373680732182</v>
      </c>
      <c r="AM30" s="944">
        <f>AM29/AM13</f>
        <v>0.15594412877031652</v>
      </c>
      <c r="AN30" s="957">
        <f t="shared" si="37"/>
        <v>0.13421074770286312</v>
      </c>
      <c r="AO30" s="957">
        <f t="shared" si="37"/>
        <v>0.14654601633193556</v>
      </c>
      <c r="AP30" s="957">
        <f t="shared" si="37"/>
        <v>0.14575835063446385</v>
      </c>
      <c r="AQ30" s="957">
        <f t="shared" si="37"/>
        <v>0.14262172829625858</v>
      </c>
      <c r="AR30" s="944">
        <f>AR29/AR13</f>
        <v>0.1425268308810016</v>
      </c>
      <c r="AS30" s="957">
        <f t="shared" si="37"/>
        <v>0.13737597511253566</v>
      </c>
      <c r="AT30" s="957">
        <f t="shared" si="37"/>
        <v>0.13731666905312251</v>
      </c>
      <c r="AU30" s="957">
        <f t="shared" si="37"/>
        <v>0.13766214095261972</v>
      </c>
      <c r="AV30" s="957">
        <f t="shared" si="37"/>
        <v>0.1341268699320953</v>
      </c>
      <c r="AW30" s="944">
        <f>AW29/AW13</f>
        <v>0.13647390621225605</v>
      </c>
      <c r="AX30" s="957">
        <f t="shared" si="37"/>
        <v>0.12956906953640973</v>
      </c>
      <c r="AY30" s="957">
        <f t="shared" si="37"/>
        <v>0.12821093927055899</v>
      </c>
      <c r="AZ30" s="957">
        <f t="shared" si="37"/>
        <v>0.12872183814484209</v>
      </c>
      <c r="BA30" s="957">
        <f t="shared" si="37"/>
        <v>0.13408961000502731</v>
      </c>
      <c r="BB30" s="944">
        <f>BB29/BB13</f>
        <v>0.13026590097916063</v>
      </c>
      <c r="BC30" s="957">
        <f t="shared" si="37"/>
        <v>0.13332778430826306</v>
      </c>
      <c r="BD30" s="957">
        <f>BD29/BD13</f>
        <v>0.13549207308448949</v>
      </c>
      <c r="BE30" s="957">
        <f>BE29/BE13</f>
        <v>0.12299078336016162</v>
      </c>
      <c r="BF30" s="957">
        <f>BF29/BF13</f>
        <v>0.12693002777541937</v>
      </c>
      <c r="BG30" s="944">
        <f>BG29/BG13</f>
        <v>0.12953378790618919</v>
      </c>
      <c r="BH30" s="957">
        <f t="shared" ref="BH30:BM30" si="38">BH29/BH13</f>
        <v>0.11712791886154572</v>
      </c>
      <c r="BI30" s="957">
        <f t="shared" si="38"/>
        <v>0.12947896354009891</v>
      </c>
      <c r="BJ30" s="957">
        <f t="shared" si="38"/>
        <v>0.12485919182891432</v>
      </c>
      <c r="BK30" s="957">
        <f t="shared" si="38"/>
        <v>0.13499142318911378</v>
      </c>
      <c r="BL30" s="944">
        <f>BL29/BL13</f>
        <v>0.12677152753086482</v>
      </c>
      <c r="BM30" s="957">
        <f t="shared" si="38"/>
        <v>0.12337664167747027</v>
      </c>
      <c r="BN30" s="957">
        <f t="shared" ref="BN30:BT30" si="39">BN29/BN13</f>
        <v>0.12552121049907136</v>
      </c>
      <c r="BO30" s="957">
        <f t="shared" si="39"/>
        <v>0.12803582311014547</v>
      </c>
      <c r="BP30" s="957">
        <f t="shared" si="39"/>
        <v>0.12962285443386942</v>
      </c>
      <c r="BQ30" s="944">
        <f t="shared" si="39"/>
        <v>0.12671718951510361</v>
      </c>
      <c r="BR30" s="957">
        <f t="shared" si="39"/>
        <v>0.13086423956399101</v>
      </c>
      <c r="BS30" s="957">
        <f t="shared" si="39"/>
        <v>0.13135182529888739</v>
      </c>
      <c r="BT30" s="957">
        <f t="shared" si="39"/>
        <v>0.12818720596321867</v>
      </c>
      <c r="BU30" s="974">
        <v>0.13</v>
      </c>
      <c r="BV30" s="944">
        <f>BV29/BV13</f>
        <v>0.13008062675744253</v>
      </c>
      <c r="BW30" s="955">
        <v>0.126</v>
      </c>
      <c r="BX30" s="974">
        <v>0.125</v>
      </c>
      <c r="BY30" s="974">
        <v>0.125</v>
      </c>
      <c r="BZ30" s="974">
        <v>0.127</v>
      </c>
      <c r="CA30" s="944">
        <f>CA29/CA13</f>
        <v>0.12575332644790743</v>
      </c>
    </row>
    <row r="31" spans="1:79" s="82" customFormat="1" ht="18" customHeight="1">
      <c r="A31" s="90"/>
      <c r="B31" s="247"/>
      <c r="C31" s="137" t="s">
        <v>545</v>
      </c>
      <c r="D31" s="71"/>
      <c r="E31" s="72"/>
      <c r="F31" s="72"/>
      <c r="G31" s="72"/>
      <c r="H31" s="72"/>
      <c r="I31" s="71"/>
      <c r="J31" s="72"/>
      <c r="K31" s="72"/>
      <c r="L31" s="72"/>
      <c r="M31" s="72"/>
      <c r="N31" s="71"/>
      <c r="O31" s="72"/>
      <c r="P31" s="72"/>
      <c r="Q31" s="72"/>
      <c r="R31" s="83"/>
      <c r="S31" s="291"/>
      <c r="T31" s="103"/>
      <c r="U31" s="103"/>
      <c r="V31" s="150"/>
      <c r="W31" s="150"/>
      <c r="X31" s="291">
        <f>63669-11455</f>
        <v>52214</v>
      </c>
      <c r="Y31" s="154"/>
      <c r="Z31" s="154"/>
      <c r="AA31" s="154"/>
      <c r="AB31" s="154"/>
      <c r="AC31" s="71">
        <f>64360-11884</f>
        <v>52476</v>
      </c>
      <c r="AD31" s="154">
        <f>18239-3837</f>
        <v>14402</v>
      </c>
      <c r="AE31" s="154">
        <f>18156-3856</f>
        <v>14300</v>
      </c>
      <c r="AF31" s="154">
        <f>19528-3113</f>
        <v>16415</v>
      </c>
      <c r="AG31" s="154">
        <f>25603-2772</f>
        <v>22831</v>
      </c>
      <c r="AH31" s="71">
        <f>SUM(AD31:AG31)</f>
        <v>67948</v>
      </c>
      <c r="AI31" s="154">
        <f>103117-84045</f>
        <v>19072</v>
      </c>
      <c r="AJ31" s="154">
        <f>30851-11605</f>
        <v>19246</v>
      </c>
      <c r="AK31" s="154">
        <f>36274-13515-1290</f>
        <v>21469</v>
      </c>
      <c r="AL31" s="154">
        <f>39055-13550-3411</f>
        <v>22094</v>
      </c>
      <c r="AM31" s="71">
        <f>SUM(AI31:AL31)</f>
        <v>81881</v>
      </c>
      <c r="AN31" s="103">
        <f>37261-11130-1602</f>
        <v>24529</v>
      </c>
      <c r="AO31" s="154">
        <f>40755-9951-720</f>
        <v>30084</v>
      </c>
      <c r="AP31" s="154">
        <f>33546-9258-735</f>
        <v>23553</v>
      </c>
      <c r="AQ31" s="154">
        <f>35753-9406-540</f>
        <v>25807</v>
      </c>
      <c r="AR31" s="71">
        <f>SUM(AN31:AQ31)</f>
        <v>103973</v>
      </c>
      <c r="AS31" s="154">
        <f>38811-9012-1057-694</f>
        <v>28048</v>
      </c>
      <c r="AT31" s="154">
        <f>51446-11442-6746-1544</f>
        <v>31714</v>
      </c>
      <c r="AU31" s="154">
        <f>50256-13361-336-1406</f>
        <v>35153</v>
      </c>
      <c r="AV31" s="103">
        <v>36099</v>
      </c>
      <c r="AW31" s="71">
        <f>SUM(AS31:AV31)</f>
        <v>131014</v>
      </c>
      <c r="AX31" s="103">
        <f>50038-10986-2555</f>
        <v>36497</v>
      </c>
      <c r="AY31" s="103">
        <f>63652-12778-1006-221-3892</f>
        <v>45755</v>
      </c>
      <c r="AZ31" s="154">
        <f>54624-14338-804</f>
        <v>39482</v>
      </c>
      <c r="BA31" s="154">
        <f>64443-16659-334-1207</f>
        <v>46243</v>
      </c>
      <c r="BB31" s="71">
        <f>SUM(AX31:BA31)</f>
        <v>167977</v>
      </c>
      <c r="BC31" s="154">
        <f>62578-15392-485</f>
        <v>46701</v>
      </c>
      <c r="BD31" s="154">
        <f>76456-19539-304-1804-292</f>
        <v>54517</v>
      </c>
      <c r="BE31" s="154">
        <f>85553-23384-180-830-363</f>
        <v>60796</v>
      </c>
      <c r="BF31" s="154">
        <f>91641-29810-182-364</f>
        <v>61285</v>
      </c>
      <c r="BG31" s="291">
        <f>SUM(BC31:BF31)</f>
        <v>223299</v>
      </c>
      <c r="BH31" s="154">
        <f>104811-40342-431-399</f>
        <v>63639</v>
      </c>
      <c r="BI31" s="154">
        <f>103884-34592-546-296</f>
        <v>68450</v>
      </c>
      <c r="BJ31" s="154">
        <f>108215-36337-564</f>
        <v>71314</v>
      </c>
      <c r="BK31" s="154">
        <f>102711-32502-554</f>
        <v>69655</v>
      </c>
      <c r="BL31" s="71">
        <f>SUM(BH31:BK31)</f>
        <v>273058</v>
      </c>
      <c r="BM31" s="154">
        <f>92478-28520-678-1358</f>
        <v>61922</v>
      </c>
      <c r="BN31" s="154">
        <v>51515</v>
      </c>
      <c r="BO31" s="154">
        <v>66372</v>
      </c>
      <c r="BP31" s="154">
        <f>98821-30426-1504</f>
        <v>66891</v>
      </c>
      <c r="BQ31" s="71">
        <f>SUM(BM31:BP31)</f>
        <v>246700</v>
      </c>
      <c r="BR31" s="154">
        <v>60729</v>
      </c>
      <c r="BS31" s="154">
        <f>94866-31000-911</f>
        <v>62955</v>
      </c>
      <c r="BT31" s="154">
        <f>98307-32808-728</f>
        <v>64771</v>
      </c>
      <c r="BU31" s="154">
        <f>BU13*BU32</f>
        <v>67004.213561099998</v>
      </c>
      <c r="BV31" s="71">
        <f>SUM(BR31:BU31)</f>
        <v>255459.21356110001</v>
      </c>
      <c r="BW31" s="154">
        <f>BW13*BW32</f>
        <v>70957.205439999991</v>
      </c>
      <c r="BX31" s="154">
        <f>BX13*BX32</f>
        <v>71042.95968</v>
      </c>
      <c r="BY31" s="154">
        <f>BY13*BY32</f>
        <v>73467.237400000013</v>
      </c>
      <c r="BZ31" s="154">
        <f>BZ13*BZ32</f>
        <v>74272.783852310007</v>
      </c>
      <c r="CA31" s="71">
        <f>SUM(BW31:BZ31)</f>
        <v>289740.18637231004</v>
      </c>
    </row>
    <row r="32" spans="1:79" s="975" customFormat="1" ht="12" customHeight="1">
      <c r="A32" s="941"/>
      <c r="B32" s="942"/>
      <c r="C32" s="943" t="s">
        <v>91</v>
      </c>
      <c r="D32" s="944" t="e">
        <f>D31/D13</f>
        <v>#DIV/0!</v>
      </c>
      <c r="E32" s="945" t="e">
        <f>E31/E13</f>
        <v>#DIV/0!</v>
      </c>
      <c r="F32" s="945" t="e">
        <f>F31/F13</f>
        <v>#DIV/0!</v>
      </c>
      <c r="G32" s="945" t="e">
        <f>G31/G13</f>
        <v>#DIV/0!</v>
      </c>
      <c r="H32" s="945" t="e">
        <f>H31/H13</f>
        <v>#DIV/0!</v>
      </c>
      <c r="I32" s="944"/>
      <c r="J32" s="945"/>
      <c r="K32" s="945"/>
      <c r="L32" s="945"/>
      <c r="M32" s="945"/>
      <c r="N32" s="944"/>
      <c r="O32" s="945" t="e">
        <f t="shared" ref="O32:BC32" si="40">O31/O13</f>
        <v>#DIV/0!</v>
      </c>
      <c r="P32" s="945" t="e">
        <f t="shared" si="40"/>
        <v>#DIV/0!</v>
      </c>
      <c r="Q32" s="945" t="e">
        <f t="shared" si="40"/>
        <v>#DIV/0!</v>
      </c>
      <c r="R32" s="945" t="e">
        <f t="shared" si="40"/>
        <v>#DIV/0!</v>
      </c>
      <c r="S32" s="944" t="e">
        <f t="shared" si="40"/>
        <v>#DIV/0!</v>
      </c>
      <c r="T32" s="957" t="e">
        <f t="shared" si="40"/>
        <v>#DIV/0!</v>
      </c>
      <c r="U32" s="957" t="e">
        <f t="shared" si="40"/>
        <v>#DIV/0!</v>
      </c>
      <c r="V32" s="957" t="e">
        <f t="shared" si="40"/>
        <v>#DIV/0!</v>
      </c>
      <c r="W32" s="957" t="e">
        <f t="shared" si="40"/>
        <v>#DIV/0!</v>
      </c>
      <c r="X32" s="944">
        <f t="shared" si="40"/>
        <v>0.20845493270946699</v>
      </c>
      <c r="Y32" s="957" t="e">
        <f t="shared" si="40"/>
        <v>#DIV/0!</v>
      </c>
      <c r="Z32" s="957" t="e">
        <f t="shared" si="40"/>
        <v>#DIV/0!</v>
      </c>
      <c r="AA32" s="957" t="e">
        <f t="shared" si="40"/>
        <v>#DIV/0!</v>
      </c>
      <c r="AB32" s="949" t="e">
        <f t="shared" si="40"/>
        <v>#DIV/0!</v>
      </c>
      <c r="AC32" s="944">
        <f t="shared" si="40"/>
        <v>0.13756655367942558</v>
      </c>
      <c r="AD32" s="945">
        <f t="shared" si="40"/>
        <v>0.12689210382561808</v>
      </c>
      <c r="AE32" s="945">
        <f t="shared" si="40"/>
        <v>0.11390519582931745</v>
      </c>
      <c r="AF32" s="945">
        <f t="shared" si="40"/>
        <v>0.12569971437104197</v>
      </c>
      <c r="AG32" s="945">
        <f t="shared" si="40"/>
        <v>0.15335787310074292</v>
      </c>
      <c r="AH32" s="944">
        <f t="shared" si="40"/>
        <v>0.13104624072331167</v>
      </c>
      <c r="AI32" s="942">
        <f t="shared" si="40"/>
        <v>0.12240706510577121</v>
      </c>
      <c r="AJ32" s="949">
        <f t="shared" si="40"/>
        <v>0.11521515289384833</v>
      </c>
      <c r="AK32" s="949">
        <f t="shared" si="40"/>
        <v>0.12035204753762928</v>
      </c>
      <c r="AL32" s="949">
        <f t="shared" si="40"/>
        <v>0.11061822842609097</v>
      </c>
      <c r="AM32" s="944">
        <f>AM31/AM13</f>
        <v>0.11681115712677737</v>
      </c>
      <c r="AN32" s="957">
        <f t="shared" si="40"/>
        <v>0.1146418522915284</v>
      </c>
      <c r="AO32" s="957">
        <f t="shared" si="40"/>
        <v>0.12768449824287387</v>
      </c>
      <c r="AP32" s="957">
        <f t="shared" si="40"/>
        <v>9.4400044889419721E-2</v>
      </c>
      <c r="AQ32" s="957">
        <f t="shared" si="40"/>
        <v>9.3879481256479741E-2</v>
      </c>
      <c r="AR32" s="944">
        <f>AR31/AR13</f>
        <v>0.1067516383958044</v>
      </c>
      <c r="AS32" s="957">
        <f t="shared" si="40"/>
        <v>9.4432305221586646E-2</v>
      </c>
      <c r="AT32" s="957">
        <f t="shared" si="40"/>
        <v>9.2674359821045035E-2</v>
      </c>
      <c r="AU32" s="957">
        <f t="shared" si="40"/>
        <v>9.1801746042938143E-2</v>
      </c>
      <c r="AV32" s="957">
        <f t="shared" si="40"/>
        <v>8.3776206898152225E-2</v>
      </c>
      <c r="AW32" s="944">
        <f>AW31/AW13</f>
        <v>9.0165011868163933E-2</v>
      </c>
      <c r="AX32" s="957">
        <f t="shared" si="40"/>
        <v>7.780582333854924E-2</v>
      </c>
      <c r="AY32" s="957">
        <f t="shared" si="40"/>
        <v>8.9392471143551547E-2</v>
      </c>
      <c r="AZ32" s="957">
        <f t="shared" si="40"/>
        <v>7.2382544737223234E-2</v>
      </c>
      <c r="BA32" s="957">
        <f t="shared" si="40"/>
        <v>7.9615652137982329E-2</v>
      </c>
      <c r="BB32" s="944">
        <f>BB31/BB13</f>
        <v>7.971524473320922E-2</v>
      </c>
      <c r="BC32" s="957">
        <f t="shared" si="40"/>
        <v>7.9330108104068001E-2</v>
      </c>
      <c r="BD32" s="957">
        <f>BD31/BD13</f>
        <v>8.7621989636506248E-2</v>
      </c>
      <c r="BE32" s="957">
        <f>BE31/BE13</f>
        <v>9.4189752162401247E-2</v>
      </c>
      <c r="BF32" s="957">
        <f>BF31/BF13</f>
        <v>9.2915751937608398E-2</v>
      </c>
      <c r="BG32" s="977">
        <f>BG31/BG13</f>
        <v>8.8754588290939879E-2</v>
      </c>
      <c r="BH32" s="957">
        <f t="shared" ref="BH32:BM32" si="41">BH31/BH13</f>
        <v>9.6220372912722937E-2</v>
      </c>
      <c r="BI32" s="957">
        <f t="shared" si="41"/>
        <v>9.9536562418658492E-2</v>
      </c>
      <c r="BJ32" s="957">
        <f t="shared" si="41"/>
        <v>0.10181590786112923</v>
      </c>
      <c r="BK32" s="957">
        <f t="shared" si="41"/>
        <v>9.7777047836425754E-2</v>
      </c>
      <c r="BL32" s="944">
        <f>BL31/BL13</f>
        <v>9.8866642383707917E-2</v>
      </c>
      <c r="BM32" s="957">
        <f t="shared" si="41"/>
        <v>8.7258328166394228E-2</v>
      </c>
      <c r="BN32" s="957">
        <f t="shared" ref="BN32:BT32" si="42">BN31/BN13</f>
        <v>6.999063893036532E-2</v>
      </c>
      <c r="BO32" s="957">
        <f t="shared" si="42"/>
        <v>8.793089743250046E-2</v>
      </c>
      <c r="BP32" s="957">
        <f t="shared" si="42"/>
        <v>8.6171758655694292E-2</v>
      </c>
      <c r="BQ32" s="944">
        <f t="shared" si="42"/>
        <v>8.2875925635401693E-2</v>
      </c>
      <c r="BR32" s="957">
        <f t="shared" si="42"/>
        <v>7.9524234797434437E-2</v>
      </c>
      <c r="BS32" s="957">
        <f t="shared" si="42"/>
        <v>7.8631238165658299E-2</v>
      </c>
      <c r="BT32" s="957">
        <f t="shared" si="42"/>
        <v>7.9148286185617395E-2</v>
      </c>
      <c r="BU32" s="974">
        <v>8.1000000000000003E-2</v>
      </c>
      <c r="BV32" s="944">
        <f>BV31/BV13</f>
        <v>7.9585966183344514E-2</v>
      </c>
      <c r="BW32" s="974">
        <v>8.7999999999999995E-2</v>
      </c>
      <c r="BX32" s="974">
        <v>8.4000000000000005E-2</v>
      </c>
      <c r="BY32" s="974">
        <v>8.5000000000000006E-2</v>
      </c>
      <c r="BZ32" s="974">
        <v>8.5000000000000006E-2</v>
      </c>
      <c r="CA32" s="944">
        <f>CA31/CA13</f>
        <v>8.5464057119400721E-2</v>
      </c>
    </row>
    <row r="33" spans="1:79" ht="18" customHeight="1">
      <c r="A33" s="81"/>
      <c r="B33" s="92" t="s">
        <v>90</v>
      </c>
      <c r="C33" s="137"/>
      <c r="D33" s="71">
        <f>D27+D29+D31</f>
        <v>0</v>
      </c>
      <c r="E33" s="72">
        <f>E27+E29+E31</f>
        <v>0</v>
      </c>
      <c r="F33" s="72">
        <f>F27+F29+F31</f>
        <v>0</v>
      </c>
      <c r="G33" s="72">
        <f>G27+G29+G31</f>
        <v>0</v>
      </c>
      <c r="H33" s="72">
        <f>H27+H29+H31</f>
        <v>0</v>
      </c>
      <c r="I33" s="71"/>
      <c r="J33" s="72"/>
      <c r="K33" s="72"/>
      <c r="L33" s="72"/>
      <c r="M33" s="72"/>
      <c r="N33" s="71"/>
      <c r="O33" s="72">
        <f t="shared" ref="O33:AT33" si="43">O27+O29+O31</f>
        <v>0</v>
      </c>
      <c r="P33" s="72">
        <f t="shared" si="43"/>
        <v>0</v>
      </c>
      <c r="Q33" s="72">
        <f t="shared" si="43"/>
        <v>0</v>
      </c>
      <c r="R33" s="72">
        <f t="shared" si="43"/>
        <v>0</v>
      </c>
      <c r="S33" s="71">
        <f t="shared" si="43"/>
        <v>0</v>
      </c>
      <c r="T33" s="72">
        <f t="shared" si="43"/>
        <v>0</v>
      </c>
      <c r="U33" s="72">
        <f t="shared" si="43"/>
        <v>0</v>
      </c>
      <c r="V33" s="72">
        <f t="shared" si="43"/>
        <v>0</v>
      </c>
      <c r="W33" s="72">
        <f t="shared" si="43"/>
        <v>0</v>
      </c>
      <c r="X33" s="71">
        <f t="shared" si="43"/>
        <v>263672</v>
      </c>
      <c r="Y33" s="72">
        <f t="shared" si="43"/>
        <v>0</v>
      </c>
      <c r="Z33" s="72">
        <f t="shared" si="43"/>
        <v>0</v>
      </c>
      <c r="AA33" s="72">
        <f t="shared" si="43"/>
        <v>0</v>
      </c>
      <c r="AB33" s="113">
        <f t="shared" si="43"/>
        <v>0</v>
      </c>
      <c r="AC33" s="71">
        <f t="shared" si="43"/>
        <v>358182</v>
      </c>
      <c r="AD33" s="72">
        <f t="shared" si="43"/>
        <v>96865</v>
      </c>
      <c r="AE33" s="72">
        <f t="shared" si="43"/>
        <v>102174</v>
      </c>
      <c r="AF33" s="72">
        <f t="shared" si="43"/>
        <v>104587</v>
      </c>
      <c r="AG33" s="72">
        <f t="shared" si="43"/>
        <v>117148</v>
      </c>
      <c r="AH33" s="71">
        <f t="shared" si="43"/>
        <v>420774</v>
      </c>
      <c r="AI33" s="72">
        <f t="shared" si="43"/>
        <v>120513</v>
      </c>
      <c r="AJ33" s="72">
        <f t="shared" si="43"/>
        <v>131883</v>
      </c>
      <c r="AK33" s="72">
        <f t="shared" si="43"/>
        <v>142040</v>
      </c>
      <c r="AL33" s="72">
        <f t="shared" si="43"/>
        <v>149108</v>
      </c>
      <c r="AM33" s="71">
        <f t="shared" si="43"/>
        <v>543544</v>
      </c>
      <c r="AN33" s="72">
        <f t="shared" si="43"/>
        <v>159622</v>
      </c>
      <c r="AO33" s="72">
        <f t="shared" si="43"/>
        <v>184940</v>
      </c>
      <c r="AP33" s="72">
        <f t="shared" si="43"/>
        <v>179863</v>
      </c>
      <c r="AQ33" s="72">
        <f t="shared" si="43"/>
        <v>195845</v>
      </c>
      <c r="AR33" s="71">
        <f t="shared" si="43"/>
        <v>720270</v>
      </c>
      <c r="AS33" s="72">
        <f t="shared" si="43"/>
        <v>210159</v>
      </c>
      <c r="AT33" s="72">
        <f t="shared" si="43"/>
        <v>232964</v>
      </c>
      <c r="AU33" s="72">
        <f t="shared" ref="AU33:BL33" si="44">AU27+AU29+AU31</f>
        <v>252824</v>
      </c>
      <c r="AV33" s="72">
        <f t="shared" si="44"/>
        <v>272012</v>
      </c>
      <c r="AW33" s="71">
        <f t="shared" si="44"/>
        <v>967959</v>
      </c>
      <c r="AX33" s="72">
        <f t="shared" si="44"/>
        <v>288123</v>
      </c>
      <c r="AY33" s="72">
        <f t="shared" si="44"/>
        <v>317791</v>
      </c>
      <c r="AZ33" s="72">
        <f t="shared" si="44"/>
        <v>327262</v>
      </c>
      <c r="BA33" s="72">
        <f t="shared" si="44"/>
        <v>366338</v>
      </c>
      <c r="BB33" s="71">
        <f t="shared" si="44"/>
        <v>1299514</v>
      </c>
      <c r="BC33" s="72">
        <f t="shared" si="44"/>
        <v>372961</v>
      </c>
      <c r="BD33" s="72">
        <f t="shared" si="44"/>
        <v>395983</v>
      </c>
      <c r="BE33" s="72">
        <f t="shared" si="44"/>
        <v>390608</v>
      </c>
      <c r="BF33" s="72">
        <f t="shared" si="44"/>
        <v>388946</v>
      </c>
      <c r="BG33" s="291">
        <f t="shared" si="44"/>
        <v>1548498</v>
      </c>
      <c r="BH33" s="72">
        <f>BH27+BH29+BH31</f>
        <v>370730</v>
      </c>
      <c r="BI33" s="72">
        <f>BI27+BI29+BI31</f>
        <v>395921</v>
      </c>
      <c r="BJ33" s="72">
        <f t="shared" si="44"/>
        <v>394022</v>
      </c>
      <c r="BK33" s="72">
        <f t="shared" si="44"/>
        <v>409056</v>
      </c>
      <c r="BL33" s="71">
        <f t="shared" si="44"/>
        <v>1569729</v>
      </c>
      <c r="BM33" s="72">
        <f t="shared" ref="BM33:CA33" si="45">BM27+BM29+BM31</f>
        <v>380081</v>
      </c>
      <c r="BN33" s="72">
        <f t="shared" si="45"/>
        <v>367880</v>
      </c>
      <c r="BO33" s="72">
        <f t="shared" si="45"/>
        <v>399294</v>
      </c>
      <c r="BP33" s="72">
        <f t="shared" si="45"/>
        <v>414990</v>
      </c>
      <c r="BQ33" s="71">
        <f t="shared" si="45"/>
        <v>1562245</v>
      </c>
      <c r="BR33" s="72">
        <f t="shared" si="45"/>
        <v>403698</v>
      </c>
      <c r="BS33" s="72">
        <f t="shared" si="45"/>
        <v>418173</v>
      </c>
      <c r="BT33" s="72">
        <f t="shared" si="45"/>
        <v>412437</v>
      </c>
      <c r="BU33" s="72">
        <f t="shared" si="45"/>
        <v>434286.56937749998</v>
      </c>
      <c r="BV33" s="71">
        <f t="shared" si="45"/>
        <v>1668594.5693774999</v>
      </c>
      <c r="BW33" s="72">
        <f t="shared" si="45"/>
        <v>426549.56451999996</v>
      </c>
      <c r="BX33" s="72">
        <f t="shared" si="45"/>
        <v>443172.74848000007</v>
      </c>
      <c r="BY33" s="72">
        <f t="shared" si="45"/>
        <v>449446.62880000006</v>
      </c>
      <c r="BZ33" s="72">
        <f t="shared" si="45"/>
        <v>456122.2725988921</v>
      </c>
      <c r="CA33" s="71">
        <f t="shared" si="45"/>
        <v>1775291.2143988921</v>
      </c>
    </row>
    <row r="34" spans="1:79" ht="7.9" customHeight="1">
      <c r="A34" s="81"/>
      <c r="B34" s="92"/>
      <c r="C34" s="137"/>
      <c r="D34" s="127"/>
      <c r="E34" s="103"/>
      <c r="F34" s="103"/>
      <c r="G34" s="103"/>
      <c r="H34" s="103"/>
      <c r="I34" s="127"/>
      <c r="J34" s="103"/>
      <c r="K34" s="103"/>
      <c r="L34" s="103"/>
      <c r="M34" s="103"/>
      <c r="N34" s="127"/>
      <c r="O34" s="103"/>
      <c r="P34" s="103"/>
      <c r="Q34" s="103"/>
      <c r="R34" s="103"/>
      <c r="S34" s="127"/>
      <c r="T34" s="101"/>
      <c r="U34" s="101"/>
      <c r="V34" s="81"/>
      <c r="W34" s="81"/>
      <c r="X34" s="99"/>
      <c r="Y34" s="156"/>
      <c r="Z34" s="156"/>
      <c r="AA34" s="156"/>
      <c r="AB34" s="156"/>
      <c r="AC34" s="99"/>
      <c r="AD34" s="156"/>
      <c r="AE34" s="403"/>
      <c r="AF34" s="156"/>
      <c r="AG34" s="156"/>
      <c r="AH34" s="99"/>
      <c r="AI34" s="156"/>
      <c r="AJ34" s="156"/>
      <c r="AK34" s="156"/>
      <c r="AL34" s="156"/>
      <c r="AM34" s="99"/>
      <c r="AN34" s="100"/>
      <c r="AO34" s="156"/>
      <c r="AP34" s="156"/>
      <c r="AQ34" s="156"/>
      <c r="AR34" s="99"/>
      <c r="AS34" s="156"/>
      <c r="AT34" s="156"/>
      <c r="AU34" s="156"/>
      <c r="AV34" s="100"/>
      <c r="AW34" s="99"/>
      <c r="AX34" s="100"/>
      <c r="AY34" s="100"/>
      <c r="AZ34" s="156"/>
      <c r="BA34" s="156"/>
      <c r="BB34" s="99"/>
      <c r="BC34" s="156"/>
      <c r="BD34" s="156"/>
      <c r="BE34" s="156"/>
      <c r="BF34" s="156"/>
      <c r="BG34" s="99"/>
      <c r="BH34" s="156"/>
      <c r="BI34" s="156"/>
      <c r="BJ34" s="156"/>
      <c r="BK34" s="156"/>
      <c r="BL34" s="99"/>
      <c r="BM34" s="156"/>
      <c r="BN34" s="156"/>
      <c r="BO34" s="156"/>
      <c r="BP34" s="156"/>
      <c r="BQ34" s="99"/>
      <c r="BR34" s="156"/>
      <c r="BS34" s="156"/>
      <c r="BT34" s="156"/>
      <c r="BU34" s="156"/>
      <c r="BV34" s="99"/>
      <c r="BW34" s="156"/>
      <c r="BX34" s="156"/>
      <c r="BY34" s="156"/>
      <c r="BZ34" s="156"/>
      <c r="CA34" s="99"/>
    </row>
    <row r="35" spans="1:79" s="96" customFormat="1" ht="14.25" customHeight="1">
      <c r="A35" s="128"/>
      <c r="B35" s="120" t="s">
        <v>89</v>
      </c>
      <c r="C35" s="138"/>
      <c r="D35" s="1249">
        <f>D23-D33</f>
        <v>0</v>
      </c>
      <c r="E35" s="686">
        <f>E23-E33</f>
        <v>0</v>
      </c>
      <c r="F35" s="686">
        <f>F23-F33</f>
        <v>0</v>
      </c>
      <c r="G35" s="686">
        <f>G23-G33</f>
        <v>0</v>
      </c>
      <c r="H35" s="686">
        <f>H23-H33</f>
        <v>0</v>
      </c>
      <c r="I35" s="1249"/>
      <c r="J35" s="686"/>
      <c r="K35" s="686"/>
      <c r="L35" s="686"/>
      <c r="M35" s="686"/>
      <c r="N35" s="1249"/>
      <c r="O35" s="686">
        <f t="shared" ref="O35:AG35" si="46">O23-O33</f>
        <v>0</v>
      </c>
      <c r="P35" s="686">
        <f t="shared" si="46"/>
        <v>0</v>
      </c>
      <c r="Q35" s="686">
        <f t="shared" si="46"/>
        <v>0</v>
      </c>
      <c r="R35" s="686">
        <f t="shared" si="46"/>
        <v>0</v>
      </c>
      <c r="S35" s="1249">
        <f t="shared" si="46"/>
        <v>0</v>
      </c>
      <c r="T35" s="686">
        <f t="shared" si="46"/>
        <v>0</v>
      </c>
      <c r="U35" s="686">
        <f t="shared" si="46"/>
        <v>0</v>
      </c>
      <c r="V35" s="1250">
        <f t="shared" si="46"/>
        <v>0</v>
      </c>
      <c r="W35" s="1250">
        <f t="shared" si="46"/>
        <v>0</v>
      </c>
      <c r="X35" s="1249">
        <f t="shared" si="46"/>
        <v>-82710</v>
      </c>
      <c r="Y35" s="248">
        <f t="shared" si="46"/>
        <v>0</v>
      </c>
      <c r="Z35" s="248">
        <f t="shared" si="46"/>
        <v>0</v>
      </c>
      <c r="AA35" s="248">
        <f t="shared" si="46"/>
        <v>0</v>
      </c>
      <c r="AB35" s="248">
        <f t="shared" si="46"/>
        <v>0</v>
      </c>
      <c r="AC35" s="1249">
        <f t="shared" si="46"/>
        <v>-70049</v>
      </c>
      <c r="AD35" s="248">
        <f t="shared" si="46"/>
        <v>-8321</v>
      </c>
      <c r="AE35" s="248">
        <f t="shared" si="46"/>
        <v>-2913</v>
      </c>
      <c r="AF35" s="248">
        <f t="shared" si="46"/>
        <v>-3042</v>
      </c>
      <c r="AG35" s="248">
        <f t="shared" si="46"/>
        <v>2413</v>
      </c>
      <c r="AH35" s="1249">
        <f>SUM(AD35:AG35)</f>
        <v>-11863</v>
      </c>
      <c r="AI35" s="248">
        <f t="shared" ref="AI35:BL35" si="47">AI23-AI33</f>
        <v>4669</v>
      </c>
      <c r="AJ35" s="248">
        <f t="shared" si="47"/>
        <v>4213</v>
      </c>
      <c r="AK35" s="248">
        <f t="shared" si="47"/>
        <v>-1012</v>
      </c>
      <c r="AL35" s="248">
        <f t="shared" si="47"/>
        <v>7312</v>
      </c>
      <c r="AM35" s="1249">
        <f t="shared" si="47"/>
        <v>15182</v>
      </c>
      <c r="AN35" s="686">
        <f t="shared" si="47"/>
        <v>10322</v>
      </c>
      <c r="AO35" s="248">
        <f t="shared" si="47"/>
        <v>-646</v>
      </c>
      <c r="AP35" s="248">
        <f t="shared" si="47"/>
        <v>16888</v>
      </c>
      <c r="AQ35" s="248">
        <f t="shared" si="47"/>
        <v>20768</v>
      </c>
      <c r="AR35" s="1249">
        <f t="shared" si="47"/>
        <v>47332</v>
      </c>
      <c r="AS35" s="248">
        <f t="shared" si="47"/>
        <v>23199</v>
      </c>
      <c r="AT35" s="248">
        <f t="shared" si="47"/>
        <v>33739</v>
      </c>
      <c r="AU35" s="248">
        <f t="shared" si="47"/>
        <v>49102</v>
      </c>
      <c r="AV35" s="686">
        <f t="shared" si="47"/>
        <v>74604</v>
      </c>
      <c r="AW35" s="1249">
        <f t="shared" si="47"/>
        <v>180644</v>
      </c>
      <c r="AX35" s="686">
        <f t="shared" si="47"/>
        <v>93211</v>
      </c>
      <c r="AY35" s="686">
        <f t="shared" si="47"/>
        <v>99707</v>
      </c>
      <c r="AZ35" s="248">
        <f t="shared" si="47"/>
        <v>122157</v>
      </c>
      <c r="BA35" s="248">
        <f t="shared" si="47"/>
        <v>103864</v>
      </c>
      <c r="BB35" s="1026">
        <f t="shared" si="47"/>
        <v>418939</v>
      </c>
      <c r="BC35" s="248">
        <f t="shared" si="47"/>
        <v>102204</v>
      </c>
      <c r="BD35" s="248">
        <f t="shared" si="47"/>
        <v>112167</v>
      </c>
      <c r="BE35" s="248">
        <f t="shared" si="47"/>
        <v>147054</v>
      </c>
      <c r="BF35" s="248">
        <f t="shared" si="47"/>
        <v>155465</v>
      </c>
      <c r="BG35" s="1249">
        <f t="shared" si="47"/>
        <v>516890</v>
      </c>
      <c r="BH35" s="248">
        <f t="shared" si="47"/>
        <v>175765</v>
      </c>
      <c r="BI35" s="248">
        <f t="shared" si="47"/>
        <v>169870</v>
      </c>
      <c r="BJ35" s="248">
        <f t="shared" si="47"/>
        <v>187409</v>
      </c>
      <c r="BK35" s="248">
        <f t="shared" si="47"/>
        <v>178324</v>
      </c>
      <c r="BL35" s="1249">
        <f t="shared" si="47"/>
        <v>711368</v>
      </c>
      <c r="BM35" s="248">
        <f t="shared" ref="BM35:CA35" si="48">BM23-BM33</f>
        <v>202089</v>
      </c>
      <c r="BN35" s="248">
        <f t="shared" si="48"/>
        <v>237156</v>
      </c>
      <c r="BO35" s="248">
        <f t="shared" si="48"/>
        <v>223076</v>
      </c>
      <c r="BP35" s="248">
        <f t="shared" si="48"/>
        <v>223677</v>
      </c>
      <c r="BQ35" s="1249">
        <f t="shared" si="48"/>
        <v>885998</v>
      </c>
      <c r="BR35" s="248">
        <f t="shared" si="48"/>
        <v>225029</v>
      </c>
      <c r="BS35" s="248">
        <f t="shared" si="48"/>
        <v>238729</v>
      </c>
      <c r="BT35" s="248">
        <f t="shared" si="48"/>
        <v>257052</v>
      </c>
      <c r="BU35" s="248">
        <f t="shared" si="48"/>
        <v>235851.53268309997</v>
      </c>
      <c r="BV35" s="1249">
        <f t="shared" si="48"/>
        <v>956661.53268310032</v>
      </c>
      <c r="BW35" s="248">
        <f t="shared" si="48"/>
        <v>230266.11027999996</v>
      </c>
      <c r="BX35" s="248">
        <f t="shared" si="48"/>
        <v>248880.6812799999</v>
      </c>
      <c r="BY35" s="248">
        <f t="shared" si="48"/>
        <v>259940.44579999999</v>
      </c>
      <c r="BZ35" s="248">
        <f t="shared" si="48"/>
        <v>263072.58133248985</v>
      </c>
      <c r="CA35" s="1249">
        <f t="shared" si="48"/>
        <v>1002159.8186924891</v>
      </c>
    </row>
    <row r="36" spans="1:79" s="975" customFormat="1" ht="12" customHeight="1">
      <c r="A36" s="941"/>
      <c r="B36" s="942"/>
      <c r="C36" s="943" t="s">
        <v>88</v>
      </c>
      <c r="D36" s="944" t="e">
        <f>D35/D13</f>
        <v>#DIV/0!</v>
      </c>
      <c r="E36" s="945" t="e">
        <f>E35/E13</f>
        <v>#DIV/0!</v>
      </c>
      <c r="F36" s="945" t="e">
        <f>F35/F13</f>
        <v>#DIV/0!</v>
      </c>
      <c r="G36" s="945" t="e">
        <f>G35/G13</f>
        <v>#DIV/0!</v>
      </c>
      <c r="H36" s="945" t="e">
        <f>H35/H13</f>
        <v>#DIV/0!</v>
      </c>
      <c r="I36" s="944"/>
      <c r="J36" s="945"/>
      <c r="K36" s="945"/>
      <c r="L36" s="945"/>
      <c r="M36" s="945"/>
      <c r="N36" s="944"/>
      <c r="O36" s="945" t="e">
        <f t="shared" ref="O36:AT36" si="49">O35/O13</f>
        <v>#DIV/0!</v>
      </c>
      <c r="P36" s="945" t="e">
        <f t="shared" si="49"/>
        <v>#DIV/0!</v>
      </c>
      <c r="Q36" s="945" t="e">
        <f t="shared" si="49"/>
        <v>#DIV/0!</v>
      </c>
      <c r="R36" s="945" t="e">
        <f t="shared" si="49"/>
        <v>#DIV/0!</v>
      </c>
      <c r="S36" s="944" t="e">
        <f t="shared" si="49"/>
        <v>#DIV/0!</v>
      </c>
      <c r="T36" s="945" t="e">
        <f t="shared" si="49"/>
        <v>#DIV/0!</v>
      </c>
      <c r="U36" s="945" t="e">
        <f t="shared" si="49"/>
        <v>#DIV/0!</v>
      </c>
      <c r="V36" s="945" t="e">
        <f t="shared" si="49"/>
        <v>#DIV/0!</v>
      </c>
      <c r="W36" s="945" t="e">
        <f t="shared" si="49"/>
        <v>#DIV/0!</v>
      </c>
      <c r="X36" s="944">
        <f t="shared" si="49"/>
        <v>-0.3302046861837824</v>
      </c>
      <c r="Y36" s="953" t="e">
        <f t="shared" si="49"/>
        <v>#DIV/0!</v>
      </c>
      <c r="Z36" s="953" t="e">
        <f t="shared" si="49"/>
        <v>#DIV/0!</v>
      </c>
      <c r="AA36" s="953" t="e">
        <f t="shared" si="49"/>
        <v>#DIV/0!</v>
      </c>
      <c r="AB36" s="953" t="e">
        <f t="shared" si="49"/>
        <v>#DIV/0!</v>
      </c>
      <c r="AC36" s="944">
        <f t="shared" si="49"/>
        <v>-0.18363441418343779</v>
      </c>
      <c r="AD36" s="953">
        <f t="shared" si="49"/>
        <v>-7.3314067208232747E-2</v>
      </c>
      <c r="AE36" s="953">
        <f t="shared" si="49"/>
        <v>-2.320320527627984E-2</v>
      </c>
      <c r="AF36" s="953">
        <f t="shared" si="49"/>
        <v>-2.3294458185605219E-2</v>
      </c>
      <c r="AG36" s="953">
        <f t="shared" si="49"/>
        <v>1.6208337251635611E-2</v>
      </c>
      <c r="AH36" s="944">
        <f t="shared" si="49"/>
        <v>-2.2879283477080216E-2</v>
      </c>
      <c r="AI36" s="953">
        <f t="shared" si="49"/>
        <v>2.996636886424317E-2</v>
      </c>
      <c r="AJ36" s="953">
        <f t="shared" si="49"/>
        <v>2.5220899882665643E-2</v>
      </c>
      <c r="AK36" s="953">
        <f t="shared" si="49"/>
        <v>-5.6731227401407066E-3</v>
      </c>
      <c r="AL36" s="953">
        <f t="shared" si="49"/>
        <v>3.6609056135221196E-2</v>
      </c>
      <c r="AM36" s="944">
        <f t="shared" si="49"/>
        <v>2.1658589752185903E-2</v>
      </c>
      <c r="AN36" s="945">
        <f t="shared" si="49"/>
        <v>4.8242211233770482E-2</v>
      </c>
      <c r="AO36" s="953">
        <f t="shared" si="49"/>
        <v>-2.7417958338284976E-3</v>
      </c>
      <c r="AP36" s="953">
        <f t="shared" si="49"/>
        <v>6.7686832169682007E-2</v>
      </c>
      <c r="AQ36" s="953">
        <f t="shared" si="49"/>
        <v>7.5548845922988772E-2</v>
      </c>
      <c r="AR36" s="944">
        <f t="shared" si="49"/>
        <v>4.8596929477366373E-2</v>
      </c>
      <c r="AS36" s="953">
        <f t="shared" si="49"/>
        <v>7.8106640360652763E-2</v>
      </c>
      <c r="AT36" s="953">
        <f t="shared" si="49"/>
        <v>9.8591796241478166E-2</v>
      </c>
      <c r="AU36" s="953">
        <f t="shared" ref="AU36:BL36" si="50">AU35/AU13</f>
        <v>0.12822943516059365</v>
      </c>
      <c r="AV36" s="945">
        <f t="shared" si="50"/>
        <v>0.1731361018152788</v>
      </c>
      <c r="AW36" s="944">
        <f t="shared" si="50"/>
        <v>0.12432082375862584</v>
      </c>
      <c r="AX36" s="945">
        <f t="shared" si="50"/>
        <v>0.19871108856096428</v>
      </c>
      <c r="AY36" s="945">
        <f t="shared" si="50"/>
        <v>0.1947995873742781</v>
      </c>
      <c r="AZ36" s="953">
        <f t="shared" si="50"/>
        <v>0.22395102875905423</v>
      </c>
      <c r="BA36" s="953">
        <f t="shared" si="50"/>
        <v>0.17882058027505562</v>
      </c>
      <c r="BB36" s="944">
        <f t="shared" si="50"/>
        <v>0.19881189039741118</v>
      </c>
      <c r="BC36" s="953">
        <f t="shared" si="50"/>
        <v>0.17361200763727042</v>
      </c>
      <c r="BD36" s="953">
        <f t="shared" si="50"/>
        <v>0.18027946716726884</v>
      </c>
      <c r="BE36" s="953">
        <f t="shared" si="50"/>
        <v>0.22782715663020189</v>
      </c>
      <c r="BF36" s="953">
        <f t="shared" si="50"/>
        <v>0.23570445255740052</v>
      </c>
      <c r="BG36" s="944">
        <f t="shared" si="50"/>
        <v>0.20544811728536139</v>
      </c>
      <c r="BH36" s="953">
        <f t="shared" si="50"/>
        <v>0.26575172213587184</v>
      </c>
      <c r="BI36" s="953">
        <f t="shared" si="50"/>
        <v>0.24701644788981034</v>
      </c>
      <c r="BJ36" s="953">
        <f t="shared" si="50"/>
        <v>0.26756622088715215</v>
      </c>
      <c r="BK36" s="953">
        <f t="shared" si="50"/>
        <v>0.25031934934150868</v>
      </c>
      <c r="BL36" s="944">
        <f t="shared" si="50"/>
        <v>0.25756639856445712</v>
      </c>
      <c r="BM36" s="953">
        <f t="shared" ref="BM36:CA36" si="51">BM35/BM13</f>
        <v>0.28477678823065217</v>
      </c>
      <c r="BN36" s="953">
        <f t="shared" si="51"/>
        <v>0.3222110058462529</v>
      </c>
      <c r="BO36" s="953">
        <f t="shared" si="51"/>
        <v>0.29553535942343873</v>
      </c>
      <c r="BP36" s="953">
        <f t="shared" si="51"/>
        <v>0.28814998222226801</v>
      </c>
      <c r="BQ36" s="944">
        <f t="shared" si="51"/>
        <v>0.29764047167050922</v>
      </c>
      <c r="BR36" s="953">
        <f t="shared" si="51"/>
        <v>0.29467402776650159</v>
      </c>
      <c r="BS36" s="953">
        <f t="shared" si="51"/>
        <v>0.29817420150979973</v>
      </c>
      <c r="BT36" s="953">
        <f t="shared" si="51"/>
        <v>0.31411009959063968</v>
      </c>
      <c r="BU36" s="953">
        <f t="shared" si="51"/>
        <v>0.28511601184469554</v>
      </c>
      <c r="BV36" s="944">
        <f t="shared" si="51"/>
        <v>0.2980390933162157</v>
      </c>
      <c r="BW36" s="953">
        <f t="shared" si="51"/>
        <v>0.28557237533507912</v>
      </c>
      <c r="BX36" s="953">
        <f t="shared" si="51"/>
        <v>0.29427232932984687</v>
      </c>
      <c r="BY36" s="953">
        <f t="shared" si="51"/>
        <v>0.30074545708996536</v>
      </c>
      <c r="BZ36" s="953">
        <f t="shared" si="51"/>
        <v>0.30106814708502633</v>
      </c>
      <c r="CA36" s="944">
        <f t="shared" si="51"/>
        <v>0.2956049868672565</v>
      </c>
    </row>
    <row r="37" spans="1:79" s="82" customFormat="1" ht="7.9" customHeight="1">
      <c r="A37" s="90"/>
      <c r="B37" s="247"/>
      <c r="C37" s="132"/>
      <c r="D37" s="104"/>
      <c r="E37" s="123"/>
      <c r="F37" s="105"/>
      <c r="G37" s="105"/>
      <c r="H37" s="125"/>
      <c r="I37" s="104"/>
      <c r="J37" s="123"/>
      <c r="K37" s="105"/>
      <c r="L37" s="105"/>
      <c r="M37" s="125"/>
      <c r="N37" s="104"/>
      <c r="O37" s="123"/>
      <c r="P37" s="105"/>
      <c r="Q37" s="105"/>
      <c r="R37" s="125"/>
      <c r="S37" s="104"/>
      <c r="T37" s="124"/>
      <c r="U37" s="95"/>
      <c r="V37" s="106"/>
      <c r="W37" s="94"/>
      <c r="X37" s="170"/>
      <c r="Y37" s="125"/>
      <c r="Z37" s="125"/>
      <c r="AA37" s="125"/>
      <c r="AB37" s="125"/>
      <c r="AC37" s="170"/>
      <c r="AD37" s="125"/>
      <c r="AE37" s="125"/>
      <c r="AF37" s="125"/>
      <c r="AG37" s="410"/>
      <c r="AH37" s="170"/>
      <c r="AI37" s="400"/>
      <c r="AJ37" s="125"/>
      <c r="AK37" s="125"/>
      <c r="AL37" s="401"/>
      <c r="AM37" s="418"/>
      <c r="AN37" s="400"/>
      <c r="AO37" s="125"/>
      <c r="AP37" s="125"/>
      <c r="AQ37" s="125"/>
      <c r="AR37" s="170"/>
      <c r="AS37" s="400"/>
      <c r="AT37" s="125"/>
      <c r="AU37" s="125"/>
      <c r="AV37" s="125"/>
      <c r="AW37" s="170"/>
      <c r="AX37" s="125"/>
      <c r="AY37" s="125"/>
      <c r="AZ37" s="125"/>
      <c r="BA37" s="125"/>
      <c r="BB37" s="170"/>
      <c r="BC37" s="400"/>
      <c r="BD37" s="125"/>
      <c r="BE37" s="125"/>
      <c r="BF37" s="125"/>
      <c r="BG37" s="170"/>
      <c r="BH37" s="400"/>
      <c r="BI37" s="125"/>
      <c r="BJ37" s="125"/>
      <c r="BK37" s="125"/>
      <c r="BL37" s="170"/>
      <c r="BM37" s="400"/>
      <c r="BN37" s="125"/>
      <c r="BO37" s="125"/>
      <c r="BP37" s="125"/>
      <c r="BQ37" s="170"/>
      <c r="BR37" s="400"/>
      <c r="BS37" s="125"/>
      <c r="BT37" s="125"/>
      <c r="BU37" s="125"/>
      <c r="BV37" s="170"/>
      <c r="BW37" s="400"/>
      <c r="BX37" s="125"/>
      <c r="BY37" s="125"/>
      <c r="BZ37" s="125"/>
      <c r="CA37" s="170"/>
    </row>
    <row r="38" spans="1:79" s="109" customFormat="1" ht="14.25" hidden="1" customHeight="1" outlineLevel="1">
      <c r="A38" s="75"/>
      <c r="B38" s="92" t="s">
        <v>87</v>
      </c>
      <c r="C38" s="77"/>
      <c r="D38" s="73"/>
      <c r="E38" s="116"/>
      <c r="F38" s="116"/>
      <c r="G38" s="116"/>
      <c r="H38" s="72"/>
      <c r="I38" s="73"/>
      <c r="J38" s="116"/>
      <c r="K38" s="116"/>
      <c r="L38" s="116"/>
      <c r="M38" s="72"/>
      <c r="N38" s="73"/>
      <c r="O38" s="116"/>
      <c r="P38" s="116"/>
      <c r="Q38" s="116"/>
      <c r="R38" s="72"/>
      <c r="S38" s="73"/>
      <c r="T38" s="67"/>
      <c r="U38" s="67"/>
      <c r="V38" s="72"/>
      <c r="W38" s="113"/>
      <c r="X38" s="73"/>
      <c r="Y38" s="157"/>
      <c r="Z38" s="157"/>
      <c r="AA38" s="157"/>
      <c r="AB38" s="157"/>
      <c r="AC38" s="73"/>
      <c r="AD38" s="213"/>
      <c r="AE38" s="157"/>
      <c r="AF38" s="157"/>
      <c r="AG38" s="157"/>
      <c r="AH38" s="73"/>
      <c r="AI38" s="213"/>
      <c r="AJ38" s="157"/>
      <c r="AK38" s="157"/>
      <c r="AL38" s="417"/>
      <c r="AM38" s="372"/>
      <c r="AN38" s="443"/>
      <c r="AO38" s="116"/>
      <c r="AP38" s="157"/>
      <c r="AQ38" s="116"/>
      <c r="AR38" s="73"/>
      <c r="AS38" s="443"/>
      <c r="AT38" s="157"/>
      <c r="AU38" s="157"/>
      <c r="AV38" s="116"/>
      <c r="AW38" s="73"/>
      <c r="AX38" s="116"/>
      <c r="AY38" s="116"/>
      <c r="AZ38" s="157"/>
      <c r="BA38" s="116"/>
      <c r="BB38" s="73"/>
      <c r="BC38" s="443"/>
      <c r="BD38" s="157"/>
      <c r="BE38" s="157"/>
      <c r="BF38" s="116"/>
      <c r="BG38" s="73"/>
      <c r="BH38" s="443"/>
      <c r="BI38" s="157"/>
      <c r="BJ38" s="157"/>
      <c r="BK38" s="116"/>
      <c r="BL38" s="73"/>
      <c r="BM38" s="443"/>
      <c r="BN38" s="157"/>
      <c r="BO38" s="157"/>
      <c r="BP38" s="116"/>
      <c r="BQ38" s="73"/>
      <c r="BR38" s="443"/>
      <c r="BS38" s="157"/>
      <c r="BT38" s="157"/>
      <c r="BU38" s="116"/>
      <c r="BV38" s="73"/>
      <c r="BW38" s="443"/>
      <c r="BX38" s="157"/>
      <c r="BY38" s="157"/>
      <c r="BZ38" s="116"/>
      <c r="CA38" s="73"/>
    </row>
    <row r="39" spans="1:79" s="109" customFormat="1" ht="14.25" hidden="1" customHeight="1" outlineLevel="1">
      <c r="A39" s="75"/>
      <c r="B39" s="74"/>
      <c r="C39" s="137" t="s">
        <v>172</v>
      </c>
      <c r="D39" s="71"/>
      <c r="E39" s="72"/>
      <c r="F39" s="72"/>
      <c r="G39" s="72"/>
      <c r="H39" s="72"/>
      <c r="I39" s="71"/>
      <c r="J39" s="72"/>
      <c r="K39" s="72"/>
      <c r="L39" s="72"/>
      <c r="M39" s="72"/>
      <c r="N39" s="71"/>
      <c r="O39" s="72"/>
      <c r="P39" s="72"/>
      <c r="Q39" s="72"/>
      <c r="R39" s="72"/>
      <c r="S39" s="71">
        <f>SUM(O39:R39)</f>
        <v>0</v>
      </c>
      <c r="T39" s="72"/>
      <c r="U39" s="113"/>
      <c r="V39" s="113"/>
      <c r="W39" s="113"/>
      <c r="X39" s="71">
        <f>4030+1965</f>
        <v>5995</v>
      </c>
      <c r="Y39" s="113"/>
      <c r="Z39" s="113"/>
      <c r="AA39" s="113"/>
      <c r="AB39" s="113"/>
      <c r="AC39" s="71">
        <f>6940+3385</f>
        <v>10325</v>
      </c>
      <c r="AD39" s="113">
        <v>8406</v>
      </c>
      <c r="AE39" s="114">
        <v>2356</v>
      </c>
      <c r="AF39" s="114">
        <v>2706</v>
      </c>
      <c r="AG39" s="114">
        <v>2444</v>
      </c>
      <c r="AH39" s="71">
        <f>SUM(AD39:AG39)</f>
        <v>15912</v>
      </c>
      <c r="AI39" s="113">
        <v>2433</v>
      </c>
      <c r="AJ39" s="113">
        <v>1768</v>
      </c>
      <c r="AK39" s="113">
        <v>3889</v>
      </c>
      <c r="AL39" s="113">
        <v>5012</v>
      </c>
      <c r="AM39" s="71">
        <f>SUM(AI39:AL39)</f>
        <v>13102</v>
      </c>
      <c r="AN39" s="72">
        <v>4733</v>
      </c>
      <c r="AO39" s="72">
        <v>4420</v>
      </c>
      <c r="AP39" s="113">
        <v>4305</v>
      </c>
      <c r="AQ39" s="113">
        <v>4259</v>
      </c>
      <c r="AR39" s="71">
        <f>SUM(AN39:AQ39)</f>
        <v>17717</v>
      </c>
      <c r="AS39" s="72">
        <v>4259</v>
      </c>
      <c r="AT39" s="113">
        <v>7416</v>
      </c>
      <c r="AU39" s="113">
        <v>7357</v>
      </c>
      <c r="AV39" s="72">
        <v>6586</v>
      </c>
      <c r="AW39" s="71">
        <f>SUM(AS39:AV39)</f>
        <v>25618</v>
      </c>
      <c r="AX39" s="72">
        <v>6529</v>
      </c>
      <c r="AY39" s="72">
        <v>6661</v>
      </c>
      <c r="AZ39" s="72">
        <v>5971</v>
      </c>
      <c r="BA39" s="836">
        <v>5608</v>
      </c>
      <c r="BB39" s="71">
        <f>SUM(AX39:BA39)</f>
        <v>24769</v>
      </c>
      <c r="BC39" s="836">
        <v>5608</v>
      </c>
      <c r="BD39" s="836">
        <v>5033</v>
      </c>
      <c r="BE39" s="836">
        <v>5113</v>
      </c>
      <c r="BF39" s="836">
        <v>4953</v>
      </c>
      <c r="BG39" s="71">
        <f>SUM(BC39:BF39)</f>
        <v>20707</v>
      </c>
      <c r="BH39" s="836">
        <v>5032</v>
      </c>
      <c r="BI39" s="836">
        <v>4944</v>
      </c>
      <c r="BJ39" s="836">
        <v>4699</v>
      </c>
      <c r="BK39" s="836">
        <v>4701</v>
      </c>
      <c r="BL39" s="71">
        <f>SUM(BH39:BK39)</f>
        <v>19376</v>
      </c>
      <c r="BM39" s="836">
        <v>4699</v>
      </c>
      <c r="BN39" s="836">
        <v>6180</v>
      </c>
      <c r="BO39" s="836">
        <v>6920</v>
      </c>
      <c r="BP39" s="836">
        <v>6918</v>
      </c>
      <c r="BQ39" s="71">
        <f>SUM(BM39:BP39)</f>
        <v>24717</v>
      </c>
      <c r="BR39" s="836">
        <v>6919</v>
      </c>
      <c r="BS39" s="113">
        <v>4916</v>
      </c>
      <c r="BT39" s="113">
        <v>4873</v>
      </c>
      <c r="BU39" s="833">
        <f>BT39</f>
        <v>4873</v>
      </c>
      <c r="BV39" s="71">
        <f>SUM(BR39:BU39)</f>
        <v>21581</v>
      </c>
      <c r="BW39" s="833">
        <f>BU39</f>
        <v>4873</v>
      </c>
      <c r="BX39" s="833">
        <f>BW39</f>
        <v>4873</v>
      </c>
      <c r="BY39" s="833">
        <f>BX39</f>
        <v>4873</v>
      </c>
      <c r="BZ39" s="833">
        <f>BY39</f>
        <v>4873</v>
      </c>
      <c r="CA39" s="71">
        <f>SUM(BW39:BZ39)</f>
        <v>19492</v>
      </c>
    </row>
    <row r="40" spans="1:79" s="109" customFormat="1" ht="14.25" hidden="1" customHeight="1" outlineLevel="1">
      <c r="A40" s="74"/>
      <c r="B40" s="74"/>
      <c r="C40" s="137" t="s">
        <v>586</v>
      </c>
      <c r="D40" s="71"/>
      <c r="E40" s="72"/>
      <c r="F40" s="72"/>
      <c r="G40" s="72"/>
      <c r="H40" s="72"/>
      <c r="I40" s="71"/>
      <c r="J40" s="72"/>
      <c r="K40" s="72"/>
      <c r="L40" s="72"/>
      <c r="M40" s="72"/>
      <c r="N40" s="71"/>
      <c r="O40" s="72"/>
      <c r="P40" s="72"/>
      <c r="Q40" s="72"/>
      <c r="R40" s="72"/>
      <c r="S40" s="71">
        <f>SUM(O40:R40)</f>
        <v>0</v>
      </c>
      <c r="T40" s="72"/>
      <c r="U40" s="113"/>
      <c r="V40" s="113"/>
      <c r="W40" s="113"/>
      <c r="X40" s="71">
        <f>1074+1297+10617+8221+11455</f>
        <v>32664</v>
      </c>
      <c r="Y40" s="113"/>
      <c r="Z40" s="113"/>
      <c r="AA40" s="113"/>
      <c r="AB40" s="113"/>
      <c r="AC40" s="71">
        <f>1190+1021+11187+10161+11884</f>
        <v>35443</v>
      </c>
      <c r="AD40" s="113">
        <v>2537</v>
      </c>
      <c r="AE40" s="114">
        <v>8512</v>
      </c>
      <c r="AF40" s="114">
        <v>6595</v>
      </c>
      <c r="AG40" s="114">
        <v>6234</v>
      </c>
      <c r="AH40" s="71">
        <f>SUM(AD40:AG40)</f>
        <v>23878</v>
      </c>
      <c r="AI40" s="113">
        <v>269794</v>
      </c>
      <c r="AJ40" s="113">
        <v>40165</v>
      </c>
      <c r="AK40" s="113">
        <v>51748</v>
      </c>
      <c r="AL40" s="113">
        <v>49271</v>
      </c>
      <c r="AM40" s="71">
        <f>SUM(AI40:AL40)</f>
        <v>410978</v>
      </c>
      <c r="AN40" s="72">
        <v>42271</v>
      </c>
      <c r="AO40" s="72">
        <v>55792</v>
      </c>
      <c r="AP40" s="113">
        <v>52736</v>
      </c>
      <c r="AQ40" s="113">
        <v>55605</v>
      </c>
      <c r="AR40" s="71">
        <f>SUM(AN40:AQ40)</f>
        <v>206404</v>
      </c>
      <c r="AS40" s="72">
        <v>53551</v>
      </c>
      <c r="AT40" s="113">
        <v>68767</v>
      </c>
      <c r="AU40" s="113">
        <v>80920</v>
      </c>
      <c r="AV40" s="72">
        <f>6138+6510+37190+20328+13473</f>
        <v>83639</v>
      </c>
      <c r="AW40" s="71">
        <f>SUM(AS40:AV40)</f>
        <v>286877</v>
      </c>
      <c r="AX40" s="72">
        <v>81136</v>
      </c>
      <c r="AY40" s="72">
        <v>99959</v>
      </c>
      <c r="AZ40" s="72">
        <f>8095+7270+49663+30074+14338</f>
        <v>109440</v>
      </c>
      <c r="BA40" s="836">
        <v>118007</v>
      </c>
      <c r="BB40" s="71">
        <f>SUM(AX40:BA40)</f>
        <v>408542</v>
      </c>
      <c r="BC40" s="836">
        <v>110723</v>
      </c>
      <c r="BD40" s="836">
        <v>141207</v>
      </c>
      <c r="BE40" s="836">
        <v>135247</v>
      </c>
      <c r="BF40" s="836">
        <v>145923</v>
      </c>
      <c r="BG40" s="71">
        <f>SUM(BC40:BF40)</f>
        <v>533100</v>
      </c>
      <c r="BH40" s="836">
        <v>139752</v>
      </c>
      <c r="BI40" s="836">
        <v>151673</v>
      </c>
      <c r="BJ40" s="836">
        <v>159410</v>
      </c>
      <c r="BK40" s="836">
        <v>161000</v>
      </c>
      <c r="BL40" s="71">
        <f>SUM(BH40:BK40)</f>
        <v>611835</v>
      </c>
      <c r="BM40" s="836">
        <v>137876</v>
      </c>
      <c r="BN40" s="836">
        <v>164448</v>
      </c>
      <c r="BO40" s="836">
        <v>153228</v>
      </c>
      <c r="BP40" s="836">
        <v>149947</v>
      </c>
      <c r="BQ40" s="71">
        <f>SUM(BM40:BP40)</f>
        <v>605499</v>
      </c>
      <c r="BR40" s="836">
        <v>145596</v>
      </c>
      <c r="BS40" s="113">
        <v>160538</v>
      </c>
      <c r="BT40" s="113">
        <v>160642</v>
      </c>
      <c r="BU40" s="833">
        <v>150000</v>
      </c>
      <c r="BV40" s="71">
        <f>SUM(BR40:BU40)</f>
        <v>616776</v>
      </c>
      <c r="BW40" s="833">
        <v>160000</v>
      </c>
      <c r="BX40" s="833">
        <v>160000</v>
      </c>
      <c r="BY40" s="833">
        <v>160000</v>
      </c>
      <c r="BZ40" s="833">
        <v>160000</v>
      </c>
      <c r="CA40" s="71">
        <f>SUM(BW40:BZ40)</f>
        <v>640000</v>
      </c>
    </row>
    <row r="41" spans="1:79" s="109" customFormat="1" ht="14.25" hidden="1" customHeight="1" outlineLevel="1">
      <c r="A41" s="75"/>
      <c r="B41" s="74"/>
      <c r="C41" s="137" t="s">
        <v>548</v>
      </c>
      <c r="D41" s="71"/>
      <c r="E41" s="72"/>
      <c r="F41" s="72"/>
      <c r="G41" s="72"/>
      <c r="H41" s="72"/>
      <c r="I41" s="71"/>
      <c r="J41" s="72"/>
      <c r="K41" s="72"/>
      <c r="L41" s="72"/>
      <c r="M41" s="72"/>
      <c r="N41" s="71"/>
      <c r="O41" s="72"/>
      <c r="P41" s="72"/>
      <c r="Q41" s="72"/>
      <c r="R41" s="72"/>
      <c r="S41" s="71">
        <f>SUM(O41:R41)</f>
        <v>0</v>
      </c>
      <c r="T41" s="72"/>
      <c r="U41" s="113"/>
      <c r="V41" s="113"/>
      <c r="W41" s="113"/>
      <c r="X41" s="71"/>
      <c r="Y41" s="113"/>
      <c r="Z41" s="113"/>
      <c r="AA41" s="113"/>
      <c r="AB41" s="113"/>
      <c r="AC41" s="71">
        <v>0</v>
      </c>
      <c r="AD41" s="113"/>
      <c r="AE41" s="114"/>
      <c r="AF41" s="114"/>
      <c r="AG41" s="114"/>
      <c r="AH41" s="71">
        <f>SUM(AD41:AG41)</f>
        <v>0</v>
      </c>
      <c r="AI41" s="113"/>
      <c r="AJ41" s="113"/>
      <c r="AK41" s="113">
        <v>0</v>
      </c>
      <c r="AL41" s="113">
        <v>15657</v>
      </c>
      <c r="AM41" s="71">
        <f>SUM(AI41:AL41)</f>
        <v>15657</v>
      </c>
      <c r="AN41" s="72">
        <v>5755</v>
      </c>
      <c r="AO41" s="72">
        <v>3864</v>
      </c>
      <c r="AP41" s="113">
        <v>3844</v>
      </c>
      <c r="AQ41" s="113">
        <v>3257</v>
      </c>
      <c r="AR41" s="71">
        <f>SUM(AN41:AQ41)</f>
        <v>16720</v>
      </c>
      <c r="AS41" s="72">
        <v>6548</v>
      </c>
      <c r="AT41" s="113">
        <v>9259</v>
      </c>
      <c r="AU41" s="113">
        <v>8959</v>
      </c>
      <c r="AV41" s="72">
        <v>9276</v>
      </c>
      <c r="AW41" s="71">
        <f>SUM(AS41:AV41)</f>
        <v>34042</v>
      </c>
      <c r="AX41" s="72">
        <v>16283</v>
      </c>
      <c r="AY41" s="72">
        <v>11585</v>
      </c>
      <c r="AZ41" s="72">
        <v>10104</v>
      </c>
      <c r="BA41" s="836">
        <v>4220</v>
      </c>
      <c r="BB41" s="71">
        <f>SUM(AX41:BA41)</f>
        <v>42192</v>
      </c>
      <c r="BC41" s="836">
        <v>5099</v>
      </c>
      <c r="BD41" s="836">
        <v>3385</v>
      </c>
      <c r="BE41" s="836">
        <v>2536</v>
      </c>
      <c r="BF41" s="836">
        <v>1944</v>
      </c>
      <c r="BG41" s="71">
        <f>SUM(BC41:BF41)</f>
        <v>12964</v>
      </c>
      <c r="BH41" s="836">
        <v>4184</v>
      </c>
      <c r="BI41" s="836">
        <v>4046</v>
      </c>
      <c r="BJ41" s="836">
        <v>2852</v>
      </c>
      <c r="BK41" s="836">
        <v>2600</v>
      </c>
      <c r="BL41" s="71">
        <f>SUM(BH41:BK41)</f>
        <v>13682</v>
      </c>
      <c r="BM41" s="836">
        <v>6404</v>
      </c>
      <c r="BN41" s="836">
        <v>4772</v>
      </c>
      <c r="BO41" s="836">
        <v>4274</v>
      </c>
      <c r="BP41" s="836">
        <v>6343</v>
      </c>
      <c r="BQ41" s="71">
        <f>SUM(BM41:BP41)</f>
        <v>21793</v>
      </c>
      <c r="BR41" s="836">
        <v>12259</v>
      </c>
      <c r="BS41" s="113">
        <v>8048</v>
      </c>
      <c r="BT41" s="113">
        <v>6182</v>
      </c>
      <c r="BU41" s="833">
        <v>6000</v>
      </c>
      <c r="BV41" s="71">
        <f>SUM(BR41:BU41)</f>
        <v>32489</v>
      </c>
      <c r="BW41" s="833">
        <v>6000</v>
      </c>
      <c r="BX41" s="833">
        <v>6000</v>
      </c>
      <c r="BY41" s="833">
        <v>6000</v>
      </c>
      <c r="BZ41" s="833">
        <v>60000</v>
      </c>
      <c r="CA41" s="71">
        <f>SUM(BW41:BZ41)</f>
        <v>78000</v>
      </c>
    </row>
    <row r="42" spans="1:79" s="109" customFormat="1" ht="14.25" hidden="1" customHeight="1" outlineLevel="1">
      <c r="A42" s="75"/>
      <c r="B42" s="74"/>
      <c r="C42" s="137" t="s">
        <v>171</v>
      </c>
      <c r="D42" s="71"/>
      <c r="E42" s="72"/>
      <c r="F42" s="72"/>
      <c r="G42" s="72"/>
      <c r="H42" s="72"/>
      <c r="I42" s="71"/>
      <c r="J42" s="72"/>
      <c r="K42" s="72"/>
      <c r="L42" s="72"/>
      <c r="M42" s="72"/>
      <c r="N42" s="71"/>
      <c r="O42" s="72"/>
      <c r="P42" s="72"/>
      <c r="Q42" s="72"/>
      <c r="R42" s="72"/>
      <c r="S42" s="71">
        <f>SUM(O42:R42)</f>
        <v>0</v>
      </c>
      <c r="T42" s="72"/>
      <c r="U42" s="114"/>
      <c r="V42" s="113"/>
      <c r="W42" s="113"/>
      <c r="X42" s="71"/>
      <c r="Y42" s="113"/>
      <c r="Z42" s="113"/>
      <c r="AA42" s="113"/>
      <c r="AB42" s="113"/>
      <c r="AC42" s="71">
        <v>0</v>
      </c>
      <c r="AD42" s="113"/>
      <c r="AE42" s="114"/>
      <c r="AF42" s="114"/>
      <c r="AG42" s="114"/>
      <c r="AH42" s="71">
        <f>SUM(AD42:AG42)</f>
        <v>0</v>
      </c>
      <c r="AI42" s="113"/>
      <c r="AJ42" s="113"/>
      <c r="AK42" s="113">
        <v>1768</v>
      </c>
      <c r="AL42" s="113"/>
      <c r="AM42" s="71">
        <f>SUM(AI42:AL42)</f>
        <v>1768</v>
      </c>
      <c r="AN42" s="72"/>
      <c r="AO42" s="72"/>
      <c r="AP42" s="113">
        <v>0</v>
      </c>
      <c r="AQ42" s="113"/>
      <c r="AR42" s="71">
        <f>SUM(AN42:AQ42)</f>
        <v>0</v>
      </c>
      <c r="AS42" s="72">
        <v>694</v>
      </c>
      <c r="AT42" s="113">
        <v>6932</v>
      </c>
      <c r="AU42" s="113">
        <v>336</v>
      </c>
      <c r="AV42" s="72"/>
      <c r="AW42" s="71">
        <f>SUM(AS42:AV42)</f>
        <v>7962</v>
      </c>
      <c r="AX42" s="72"/>
      <c r="AY42" s="72">
        <v>221</v>
      </c>
      <c r="AZ42" s="72"/>
      <c r="BA42" s="836"/>
      <c r="BB42" s="71">
        <f>SUM(AX42:BA42)</f>
        <v>221</v>
      </c>
      <c r="BC42" s="72"/>
      <c r="BD42" s="113"/>
      <c r="BE42" s="113"/>
      <c r="BF42" s="836"/>
      <c r="BG42" s="71">
        <f>SUM(BC42:BF42)</f>
        <v>0</v>
      </c>
      <c r="BH42" s="72"/>
      <c r="BI42" s="836"/>
      <c r="BJ42" s="113"/>
      <c r="BK42" s="113"/>
      <c r="BL42" s="71">
        <f>SUM(BH42:BK42)</f>
        <v>0</v>
      </c>
      <c r="BM42" s="836">
        <v>1358</v>
      </c>
      <c r="BN42" s="836">
        <v>3358</v>
      </c>
      <c r="BO42" s="113">
        <v>-376</v>
      </c>
      <c r="BP42" s="113"/>
      <c r="BQ42" s="71">
        <f>SUM(BM42:BP42)</f>
        <v>4340</v>
      </c>
      <c r="BR42" s="836"/>
      <c r="BS42" s="113"/>
      <c r="BT42" s="113"/>
      <c r="BU42" s="113"/>
      <c r="BV42" s="71">
        <f>SUM(BR42:BU42)</f>
        <v>0</v>
      </c>
      <c r="BW42" s="72"/>
      <c r="BX42" s="113"/>
      <c r="BY42" s="113"/>
      <c r="BZ42" s="113"/>
      <c r="CA42" s="71">
        <f>SUM(BW42:BZ42)</f>
        <v>0</v>
      </c>
    </row>
    <row r="43" spans="1:79" s="109" customFormat="1" ht="14.25" hidden="1" customHeight="1" outlineLevel="1">
      <c r="A43" s="72"/>
      <c r="B43" s="74"/>
      <c r="C43" s="137" t="s">
        <v>166</v>
      </c>
      <c r="D43" s="71"/>
      <c r="E43" s="72"/>
      <c r="F43" s="72"/>
      <c r="G43" s="72"/>
      <c r="H43" s="72"/>
      <c r="I43" s="71"/>
      <c r="J43" s="72"/>
      <c r="K43" s="72"/>
      <c r="L43" s="72"/>
      <c r="M43" s="72"/>
      <c r="N43" s="71"/>
      <c r="O43" s="72"/>
      <c r="P43" s="72"/>
      <c r="Q43" s="72"/>
      <c r="R43" s="72"/>
      <c r="S43" s="71">
        <f>SUM(O43:R43)</f>
        <v>0</v>
      </c>
      <c r="T43" s="72"/>
      <c r="U43" s="113"/>
      <c r="V43" s="113"/>
      <c r="W43" s="113"/>
      <c r="X43" s="71"/>
      <c r="Y43" s="113"/>
      <c r="Z43" s="114"/>
      <c r="AA43" s="113"/>
      <c r="AB43" s="113"/>
      <c r="AC43" s="71">
        <f>SUM(Y43:AB43)</f>
        <v>0</v>
      </c>
      <c r="AD43" s="113"/>
      <c r="AE43" s="344"/>
      <c r="AF43" s="114"/>
      <c r="AG43" s="114"/>
      <c r="AH43" s="71">
        <f>SUM(AD43:AG43)</f>
        <v>0</v>
      </c>
      <c r="AI43" s="113"/>
      <c r="AJ43" s="113"/>
      <c r="AK43" s="113"/>
      <c r="AL43" s="113"/>
      <c r="AM43" s="71">
        <f>SUM(AI43:AL43)</f>
        <v>0</v>
      </c>
      <c r="AN43" s="72"/>
      <c r="AO43" s="72"/>
      <c r="AP43" s="113"/>
      <c r="AQ43" s="193"/>
      <c r="AR43" s="71">
        <f>SUM(AN43:AQ43)</f>
        <v>0</v>
      </c>
      <c r="AS43" s="72"/>
      <c r="AT43" s="113"/>
      <c r="AU43" s="113"/>
      <c r="AV43" s="193"/>
      <c r="AW43" s="71">
        <f>SUM(AS43:AV43)</f>
        <v>0</v>
      </c>
      <c r="AX43" s="193"/>
      <c r="AY43" s="836">
        <v>3892</v>
      </c>
      <c r="AZ43" s="72"/>
      <c r="BA43" s="836">
        <v>1207</v>
      </c>
      <c r="BB43" s="71">
        <f>SUM(AX43:BA43)</f>
        <v>5099</v>
      </c>
      <c r="BC43" s="72"/>
      <c r="BD43" s="113">
        <f>1828+1804</f>
        <v>3632</v>
      </c>
      <c r="BE43" s="113">
        <f>28082+830+2677</f>
        <v>31589</v>
      </c>
      <c r="BF43" s="836">
        <f>253+2676</f>
        <v>2929</v>
      </c>
      <c r="BG43" s="71">
        <f>SUM(BC43:BF43)</f>
        <v>38150</v>
      </c>
      <c r="BH43" s="836">
        <f>28772+2676</f>
        <v>31448</v>
      </c>
      <c r="BI43" s="836">
        <f>811+1784</f>
        <v>2595</v>
      </c>
      <c r="BJ43" s="113">
        <f>710</f>
        <v>710</v>
      </c>
      <c r="BK43" s="836">
        <v>88</v>
      </c>
      <c r="BL43" s="71">
        <f>SUM(BH43:BK43)</f>
        <v>34841</v>
      </c>
      <c r="BM43" s="72">
        <f>29124</f>
        <v>29124</v>
      </c>
      <c r="BN43" s="836">
        <v>597</v>
      </c>
      <c r="BO43" s="113"/>
      <c r="BP43" s="193"/>
      <c r="BQ43" s="71">
        <f>SUM(BM43:BP43)</f>
        <v>29721</v>
      </c>
      <c r="BR43" s="72"/>
      <c r="BS43" s="113"/>
      <c r="BT43" s="113"/>
      <c r="BU43" s="193"/>
      <c r="BV43" s="71">
        <f>SUM(BR43:BU43)</f>
        <v>0</v>
      </c>
      <c r="BW43" s="833"/>
      <c r="BX43" s="113"/>
      <c r="BY43" s="113"/>
      <c r="BZ43" s="193"/>
      <c r="CA43" s="71">
        <f>SUM(BW43:BZ43)</f>
        <v>0</v>
      </c>
    </row>
    <row r="44" spans="1:79" s="109" customFormat="1" ht="14.25" customHeight="1" collapsed="1">
      <c r="A44" s="75"/>
      <c r="B44" s="92" t="s">
        <v>86</v>
      </c>
      <c r="C44" s="77"/>
      <c r="D44" s="71">
        <f>SUM(D39:D43)</f>
        <v>0</v>
      </c>
      <c r="E44" s="72">
        <f>SUM(E39:E43)</f>
        <v>0</v>
      </c>
      <c r="F44" s="72">
        <f>SUM(F39:F43)</f>
        <v>0</v>
      </c>
      <c r="G44" s="72">
        <f>SUM(G39:G43)</f>
        <v>0</v>
      </c>
      <c r="H44" s="72">
        <f>SUM(H39:H43)</f>
        <v>0</v>
      </c>
      <c r="I44" s="71"/>
      <c r="J44" s="72"/>
      <c r="K44" s="72"/>
      <c r="L44" s="72"/>
      <c r="M44" s="72"/>
      <c r="N44" s="71"/>
      <c r="O44" s="72">
        <f t="shared" ref="O44:BB44" si="52">SUM(O39:O43)</f>
        <v>0</v>
      </c>
      <c r="P44" s="72">
        <f t="shared" si="52"/>
        <v>0</v>
      </c>
      <c r="Q44" s="72">
        <f t="shared" si="52"/>
        <v>0</v>
      </c>
      <c r="R44" s="72">
        <f t="shared" si="52"/>
        <v>0</v>
      </c>
      <c r="S44" s="71">
        <f t="shared" si="52"/>
        <v>0</v>
      </c>
      <c r="T44" s="72">
        <f t="shared" si="52"/>
        <v>0</v>
      </c>
      <c r="U44" s="72">
        <f t="shared" si="52"/>
        <v>0</v>
      </c>
      <c r="V44" s="72">
        <f t="shared" si="52"/>
        <v>0</v>
      </c>
      <c r="W44" s="72">
        <f t="shared" si="52"/>
        <v>0</v>
      </c>
      <c r="X44" s="71">
        <f t="shared" si="52"/>
        <v>38659</v>
      </c>
      <c r="Y44" s="72">
        <f t="shared" si="52"/>
        <v>0</v>
      </c>
      <c r="Z44" s="72">
        <f t="shared" si="52"/>
        <v>0</v>
      </c>
      <c r="AA44" s="72">
        <f t="shared" si="52"/>
        <v>0</v>
      </c>
      <c r="AB44" s="113">
        <f t="shared" si="52"/>
        <v>0</v>
      </c>
      <c r="AC44" s="71">
        <f t="shared" si="52"/>
        <v>45768</v>
      </c>
      <c r="AD44" s="113">
        <f t="shared" si="52"/>
        <v>10943</v>
      </c>
      <c r="AE44" s="113">
        <f t="shared" si="52"/>
        <v>10868</v>
      </c>
      <c r="AF44" s="113">
        <f t="shared" si="52"/>
        <v>9301</v>
      </c>
      <c r="AG44" s="113">
        <f t="shared" si="52"/>
        <v>8678</v>
      </c>
      <c r="AH44" s="71">
        <f>SUM(AH39:AH43)</f>
        <v>39790</v>
      </c>
      <c r="AI44" s="72">
        <f t="shared" si="52"/>
        <v>272227</v>
      </c>
      <c r="AJ44" s="72">
        <f t="shared" si="52"/>
        <v>41933</v>
      </c>
      <c r="AK44" s="72">
        <f t="shared" si="52"/>
        <v>57405</v>
      </c>
      <c r="AL44" s="72">
        <f t="shared" si="52"/>
        <v>69940</v>
      </c>
      <c r="AM44" s="71">
        <f t="shared" si="52"/>
        <v>441505</v>
      </c>
      <c r="AN44" s="72">
        <f t="shared" si="52"/>
        <v>52759</v>
      </c>
      <c r="AO44" s="72">
        <f t="shared" si="52"/>
        <v>64076</v>
      </c>
      <c r="AP44" s="72">
        <f t="shared" si="52"/>
        <v>60885</v>
      </c>
      <c r="AQ44" s="72">
        <f t="shared" si="52"/>
        <v>63121</v>
      </c>
      <c r="AR44" s="71">
        <f t="shared" si="52"/>
        <v>240841</v>
      </c>
      <c r="AS44" s="72">
        <f>SUM(AS39:AS43)</f>
        <v>65052</v>
      </c>
      <c r="AT44" s="72">
        <f>SUM(AT39:AT43)</f>
        <v>92374</v>
      </c>
      <c r="AU44" s="72">
        <f t="shared" si="52"/>
        <v>97572</v>
      </c>
      <c r="AV44" s="72">
        <f t="shared" si="52"/>
        <v>99501</v>
      </c>
      <c r="AW44" s="71">
        <f t="shared" si="52"/>
        <v>354499</v>
      </c>
      <c r="AX44" s="72">
        <f t="shared" si="52"/>
        <v>103948</v>
      </c>
      <c r="AY44" s="72">
        <f t="shared" si="52"/>
        <v>122318</v>
      </c>
      <c r="AZ44" s="72">
        <f t="shared" si="52"/>
        <v>125515</v>
      </c>
      <c r="BA44" s="72">
        <f t="shared" si="52"/>
        <v>129042</v>
      </c>
      <c r="BB44" s="71">
        <f t="shared" si="52"/>
        <v>480823</v>
      </c>
      <c r="BC44" s="72">
        <f t="shared" ref="BC44:CA44" si="53">SUM(BC39:BC43)</f>
        <v>121430</v>
      </c>
      <c r="BD44" s="72">
        <f t="shared" si="53"/>
        <v>153257</v>
      </c>
      <c r="BE44" s="72">
        <f t="shared" si="53"/>
        <v>174485</v>
      </c>
      <c r="BF44" s="72">
        <f t="shared" si="53"/>
        <v>155749</v>
      </c>
      <c r="BG44" s="71">
        <f t="shared" si="53"/>
        <v>604921</v>
      </c>
      <c r="BH44" s="72">
        <f t="shared" si="53"/>
        <v>180416</v>
      </c>
      <c r="BI44" s="72">
        <f t="shared" si="53"/>
        <v>163258</v>
      </c>
      <c r="BJ44" s="72">
        <f t="shared" si="53"/>
        <v>167671</v>
      </c>
      <c r="BK44" s="72">
        <f t="shared" si="53"/>
        <v>168389</v>
      </c>
      <c r="BL44" s="71">
        <f t="shared" si="53"/>
        <v>679734</v>
      </c>
      <c r="BM44" s="72">
        <f t="shared" si="53"/>
        <v>179461</v>
      </c>
      <c r="BN44" s="72">
        <f t="shared" si="53"/>
        <v>179355</v>
      </c>
      <c r="BO44" s="72">
        <f t="shared" si="53"/>
        <v>164046</v>
      </c>
      <c r="BP44" s="72">
        <f t="shared" si="53"/>
        <v>163208</v>
      </c>
      <c r="BQ44" s="71">
        <f t="shared" si="53"/>
        <v>686070</v>
      </c>
      <c r="BR44" s="72">
        <f t="shared" si="53"/>
        <v>164774</v>
      </c>
      <c r="BS44" s="72">
        <f t="shared" si="53"/>
        <v>173502</v>
      </c>
      <c r="BT44" s="72">
        <f t="shared" si="53"/>
        <v>171697</v>
      </c>
      <c r="BU44" s="72">
        <f t="shared" si="53"/>
        <v>160873</v>
      </c>
      <c r="BV44" s="71">
        <f t="shared" si="53"/>
        <v>670846</v>
      </c>
      <c r="BW44" s="72">
        <f t="shared" si="53"/>
        <v>170873</v>
      </c>
      <c r="BX44" s="72">
        <f t="shared" si="53"/>
        <v>170873</v>
      </c>
      <c r="BY44" s="72">
        <f t="shared" si="53"/>
        <v>170873</v>
      </c>
      <c r="BZ44" s="72">
        <f t="shared" si="53"/>
        <v>224873</v>
      </c>
      <c r="CA44" s="71">
        <f t="shared" si="53"/>
        <v>737492</v>
      </c>
    </row>
    <row r="45" spans="1:79" s="109" customFormat="1" ht="7.9" customHeight="1">
      <c r="A45" s="75"/>
      <c r="B45" s="74"/>
      <c r="C45" s="77"/>
      <c r="D45" s="117"/>
      <c r="E45" s="72"/>
      <c r="F45" s="72"/>
      <c r="G45" s="72"/>
      <c r="H45" s="72"/>
      <c r="I45" s="117"/>
      <c r="J45" s="72"/>
      <c r="K45" s="72"/>
      <c r="L45" s="72"/>
      <c r="M45" s="72"/>
      <c r="N45" s="117"/>
      <c r="O45" s="72"/>
      <c r="P45" s="72"/>
      <c r="Q45" s="72"/>
      <c r="R45" s="72"/>
      <c r="S45" s="336"/>
      <c r="T45" s="72"/>
      <c r="U45" s="67"/>
      <c r="V45" s="67"/>
      <c r="W45" s="72"/>
      <c r="X45" s="73"/>
      <c r="Y45" s="113"/>
      <c r="Z45" s="157"/>
      <c r="AA45" s="157"/>
      <c r="AB45" s="157"/>
      <c r="AC45" s="73"/>
      <c r="AD45" s="213"/>
      <c r="AE45" s="157"/>
      <c r="AF45" s="157"/>
      <c r="AG45" s="157"/>
      <c r="AH45" s="73"/>
      <c r="AI45" s="213"/>
      <c r="AJ45" s="157"/>
      <c r="AK45" s="157"/>
      <c r="AL45" s="116"/>
      <c r="AM45" s="73"/>
      <c r="AN45" s="443"/>
      <c r="AO45" s="116"/>
      <c r="AP45" s="157"/>
      <c r="AQ45" s="116"/>
      <c r="AR45" s="73"/>
      <c r="AS45" s="443"/>
      <c r="AT45" s="157"/>
      <c r="AU45" s="157"/>
      <c r="AV45" s="116"/>
      <c r="AW45" s="73"/>
      <c r="AX45" s="116"/>
      <c r="AY45" s="116"/>
      <c r="AZ45" s="157"/>
      <c r="BA45" s="116"/>
      <c r="BB45" s="73"/>
      <c r="BC45" s="443"/>
      <c r="BD45" s="157"/>
      <c r="BE45" s="157"/>
      <c r="BF45" s="116"/>
      <c r="BG45" s="73"/>
      <c r="BH45" s="443"/>
      <c r="BI45" s="157"/>
      <c r="BJ45" s="157"/>
      <c r="BK45" s="116"/>
      <c r="BL45" s="73"/>
      <c r="BM45" s="443"/>
      <c r="BN45" s="157"/>
      <c r="BO45" s="157"/>
      <c r="BP45" s="116"/>
      <c r="BQ45" s="73"/>
      <c r="BR45" s="443"/>
      <c r="BS45" s="157"/>
      <c r="BT45" s="157"/>
      <c r="BU45" s="116"/>
      <c r="BV45" s="73"/>
      <c r="BW45" s="443"/>
      <c r="BX45" s="157"/>
      <c r="BY45" s="157"/>
      <c r="BZ45" s="116"/>
      <c r="CA45" s="73"/>
    </row>
    <row r="46" spans="1:79" s="118" customFormat="1" ht="14.25" customHeight="1">
      <c r="A46" s="121"/>
      <c r="B46" s="1251" t="s">
        <v>2</v>
      </c>
      <c r="C46" s="268"/>
      <c r="D46" s="336">
        <f>D35-D44</f>
        <v>0</v>
      </c>
      <c r="E46" s="119">
        <f>E35-E44</f>
        <v>0</v>
      </c>
      <c r="F46" s="119">
        <f>F35-F44</f>
        <v>0</v>
      </c>
      <c r="G46" s="119">
        <f>G35-G44</f>
        <v>0</v>
      </c>
      <c r="H46" s="119">
        <f>H35-H44</f>
        <v>0</v>
      </c>
      <c r="I46" s="336"/>
      <c r="J46" s="119"/>
      <c r="K46" s="119"/>
      <c r="L46" s="119"/>
      <c r="M46" s="119"/>
      <c r="N46" s="336"/>
      <c r="O46" s="119">
        <f t="shared" ref="O46:BF46" si="54">O35-O44</f>
        <v>0</v>
      </c>
      <c r="P46" s="119">
        <f t="shared" si="54"/>
        <v>0</v>
      </c>
      <c r="Q46" s="119">
        <f t="shared" si="54"/>
        <v>0</v>
      </c>
      <c r="R46" s="119">
        <f t="shared" si="54"/>
        <v>0</v>
      </c>
      <c r="S46" s="336">
        <f t="shared" si="54"/>
        <v>0</v>
      </c>
      <c r="T46" s="119">
        <f t="shared" si="54"/>
        <v>0</v>
      </c>
      <c r="U46" s="119">
        <f t="shared" si="54"/>
        <v>0</v>
      </c>
      <c r="V46" s="119">
        <f t="shared" si="54"/>
        <v>0</v>
      </c>
      <c r="W46" s="119">
        <f t="shared" si="54"/>
        <v>0</v>
      </c>
      <c r="X46" s="336">
        <f t="shared" si="54"/>
        <v>-121369</v>
      </c>
      <c r="Y46" s="195">
        <f t="shared" si="54"/>
        <v>0</v>
      </c>
      <c r="Z46" s="195">
        <f t="shared" si="54"/>
        <v>0</v>
      </c>
      <c r="AA46" s="195">
        <f t="shared" si="54"/>
        <v>0</v>
      </c>
      <c r="AB46" s="195">
        <f t="shared" si="54"/>
        <v>0</v>
      </c>
      <c r="AC46" s="336">
        <f t="shared" si="54"/>
        <v>-115817</v>
      </c>
      <c r="AD46" s="195">
        <f t="shared" si="54"/>
        <v>-19264</v>
      </c>
      <c r="AE46" s="195">
        <f t="shared" si="54"/>
        <v>-13781</v>
      </c>
      <c r="AF46" s="195">
        <f t="shared" si="54"/>
        <v>-12343</v>
      </c>
      <c r="AG46" s="195">
        <f t="shared" si="54"/>
        <v>-6265</v>
      </c>
      <c r="AH46" s="336">
        <f t="shared" si="54"/>
        <v>-51653</v>
      </c>
      <c r="AI46" s="195">
        <f t="shared" si="54"/>
        <v>-267558</v>
      </c>
      <c r="AJ46" s="195">
        <f t="shared" si="54"/>
        <v>-37720</v>
      </c>
      <c r="AK46" s="195">
        <f t="shared" si="54"/>
        <v>-58417</v>
      </c>
      <c r="AL46" s="119">
        <f t="shared" si="54"/>
        <v>-62628</v>
      </c>
      <c r="AM46" s="336">
        <f t="shared" si="54"/>
        <v>-426323</v>
      </c>
      <c r="AN46" s="119">
        <f t="shared" si="54"/>
        <v>-42437</v>
      </c>
      <c r="AO46" s="119">
        <f t="shared" si="54"/>
        <v>-64722</v>
      </c>
      <c r="AP46" s="195">
        <f t="shared" si="54"/>
        <v>-43997</v>
      </c>
      <c r="AQ46" s="119">
        <f t="shared" si="54"/>
        <v>-42353</v>
      </c>
      <c r="AR46" s="336">
        <f t="shared" si="54"/>
        <v>-193509</v>
      </c>
      <c r="AS46" s="119">
        <f t="shared" si="54"/>
        <v>-41853</v>
      </c>
      <c r="AT46" s="195">
        <f t="shared" si="54"/>
        <v>-58635</v>
      </c>
      <c r="AU46" s="195">
        <f t="shared" si="54"/>
        <v>-48470</v>
      </c>
      <c r="AV46" s="119">
        <f t="shared" si="54"/>
        <v>-24897</v>
      </c>
      <c r="AW46" s="336">
        <f t="shared" si="54"/>
        <v>-173855</v>
      </c>
      <c r="AX46" s="119">
        <f t="shared" si="54"/>
        <v>-10737</v>
      </c>
      <c r="AY46" s="119">
        <f t="shared" si="54"/>
        <v>-22611</v>
      </c>
      <c r="AZ46" s="195">
        <f t="shared" si="54"/>
        <v>-3358</v>
      </c>
      <c r="BA46" s="119">
        <f t="shared" si="54"/>
        <v>-25178</v>
      </c>
      <c r="BB46" s="336">
        <f t="shared" si="54"/>
        <v>-61884</v>
      </c>
      <c r="BC46" s="119">
        <f t="shared" si="54"/>
        <v>-19226</v>
      </c>
      <c r="BD46" s="195">
        <f t="shared" si="54"/>
        <v>-41090</v>
      </c>
      <c r="BE46" s="195">
        <f t="shared" si="54"/>
        <v>-27431</v>
      </c>
      <c r="BF46" s="119">
        <f t="shared" si="54"/>
        <v>-284</v>
      </c>
      <c r="BG46" s="336">
        <f t="shared" ref="BG46:CA46" si="55">BG35-BG44</f>
        <v>-88031</v>
      </c>
      <c r="BH46" s="119">
        <f t="shared" si="55"/>
        <v>-4651</v>
      </c>
      <c r="BI46" s="195">
        <f t="shared" si="55"/>
        <v>6612</v>
      </c>
      <c r="BJ46" s="195">
        <f t="shared" si="55"/>
        <v>19738</v>
      </c>
      <c r="BK46" s="119">
        <f t="shared" si="55"/>
        <v>9935</v>
      </c>
      <c r="BL46" s="336">
        <f t="shared" si="55"/>
        <v>31634</v>
      </c>
      <c r="BM46" s="119">
        <f t="shared" si="55"/>
        <v>22628</v>
      </c>
      <c r="BN46" s="195">
        <f t="shared" si="55"/>
        <v>57801</v>
      </c>
      <c r="BO46" s="195">
        <f t="shared" si="55"/>
        <v>59030</v>
      </c>
      <c r="BP46" s="119">
        <f t="shared" si="55"/>
        <v>60469</v>
      </c>
      <c r="BQ46" s="336">
        <f t="shared" si="55"/>
        <v>199928</v>
      </c>
      <c r="BR46" s="119">
        <f t="shared" si="55"/>
        <v>60255</v>
      </c>
      <c r="BS46" s="195">
        <f t="shared" si="55"/>
        <v>65227</v>
      </c>
      <c r="BT46" s="195">
        <f t="shared" si="55"/>
        <v>85355</v>
      </c>
      <c r="BU46" s="119">
        <f t="shared" si="55"/>
        <v>74978.532683099969</v>
      </c>
      <c r="BV46" s="336">
        <f t="shared" si="55"/>
        <v>285815.53268310032</v>
      </c>
      <c r="BW46" s="119">
        <f t="shared" si="55"/>
        <v>59393.110279999964</v>
      </c>
      <c r="BX46" s="195">
        <f t="shared" si="55"/>
        <v>78007.681279999902</v>
      </c>
      <c r="BY46" s="195">
        <f t="shared" si="55"/>
        <v>89067.445799999987</v>
      </c>
      <c r="BZ46" s="119">
        <f t="shared" si="55"/>
        <v>38199.581332489848</v>
      </c>
      <c r="CA46" s="336">
        <f t="shared" si="55"/>
        <v>264667.81869248906</v>
      </c>
    </row>
    <row r="47" spans="1:79" s="975" customFormat="1" ht="12" customHeight="1">
      <c r="A47" s="941"/>
      <c r="B47" s="942"/>
      <c r="C47" s="943" t="s">
        <v>85</v>
      </c>
      <c r="D47" s="944" t="e">
        <f>D46/D13</f>
        <v>#DIV/0!</v>
      </c>
      <c r="E47" s="945" t="e">
        <f>E46/E13</f>
        <v>#DIV/0!</v>
      </c>
      <c r="F47" s="945" t="e">
        <f>F46/F13</f>
        <v>#DIV/0!</v>
      </c>
      <c r="G47" s="945" t="e">
        <f>G46/G13</f>
        <v>#DIV/0!</v>
      </c>
      <c r="H47" s="945" t="e">
        <f>H46/H13</f>
        <v>#DIV/0!</v>
      </c>
      <c r="I47" s="944"/>
      <c r="J47" s="945"/>
      <c r="K47" s="945"/>
      <c r="L47" s="945"/>
      <c r="M47" s="945"/>
      <c r="N47" s="944"/>
      <c r="O47" s="945" t="e">
        <f t="shared" ref="O47:AT47" si="56">O46/O13</f>
        <v>#DIV/0!</v>
      </c>
      <c r="P47" s="945" t="e">
        <f t="shared" si="56"/>
        <v>#DIV/0!</v>
      </c>
      <c r="Q47" s="945" t="e">
        <f t="shared" si="56"/>
        <v>#DIV/0!</v>
      </c>
      <c r="R47" s="945" t="e">
        <f t="shared" si="56"/>
        <v>#DIV/0!</v>
      </c>
      <c r="S47" s="944" t="e">
        <f t="shared" si="56"/>
        <v>#DIV/0!</v>
      </c>
      <c r="T47" s="945" t="e">
        <f t="shared" si="56"/>
        <v>#DIV/0!</v>
      </c>
      <c r="U47" s="945" t="e">
        <f t="shared" si="56"/>
        <v>#DIV/0!</v>
      </c>
      <c r="V47" s="945" t="e">
        <f t="shared" si="56"/>
        <v>#DIV/0!</v>
      </c>
      <c r="W47" s="945" t="e">
        <f t="shared" si="56"/>
        <v>#DIV/0!</v>
      </c>
      <c r="X47" s="944">
        <f t="shared" si="56"/>
        <v>-0.48454373784837973</v>
      </c>
      <c r="Y47" s="953" t="e">
        <f t="shared" si="56"/>
        <v>#DIV/0!</v>
      </c>
      <c r="Z47" s="953" t="e">
        <f t="shared" si="56"/>
        <v>#DIV/0!</v>
      </c>
      <c r="AA47" s="953" t="e">
        <f t="shared" si="56"/>
        <v>#DIV/0!</v>
      </c>
      <c r="AB47" s="953" t="e">
        <f t="shared" si="56"/>
        <v>#DIV/0!</v>
      </c>
      <c r="AC47" s="944">
        <f t="shared" si="56"/>
        <v>-0.30361585386633949</v>
      </c>
      <c r="AD47" s="953">
        <f t="shared" si="56"/>
        <v>-0.16972986308128776</v>
      </c>
      <c r="AE47" s="953">
        <f t="shared" si="56"/>
        <v>-0.1097711541065611</v>
      </c>
      <c r="AF47" s="953">
        <f t="shared" si="56"/>
        <v>-9.4517914985182513E-2</v>
      </c>
      <c r="AG47" s="953">
        <f t="shared" si="56"/>
        <v>-4.2082566465601781E-2</v>
      </c>
      <c r="AH47" s="944">
        <f t="shared" si="56"/>
        <v>-9.9619289340101516E-2</v>
      </c>
      <c r="AI47" s="953">
        <f t="shared" si="56"/>
        <v>-1.7172288971041281</v>
      </c>
      <c r="AJ47" s="953">
        <f t="shared" si="56"/>
        <v>-0.22580876894710375</v>
      </c>
      <c r="AK47" s="953">
        <f t="shared" si="56"/>
        <v>-0.3274770860778653</v>
      </c>
      <c r="AL47" s="945">
        <f t="shared" si="56"/>
        <v>-0.31356017062864239</v>
      </c>
      <c r="AM47" s="944">
        <f t="shared" si="56"/>
        <v>-0.6081909471032243</v>
      </c>
      <c r="AN47" s="945">
        <f t="shared" si="56"/>
        <v>-0.19833895738495622</v>
      </c>
      <c r="AO47" s="945">
        <f t="shared" si="56"/>
        <v>-0.27469738383443965</v>
      </c>
      <c r="AP47" s="953">
        <f t="shared" si="56"/>
        <v>-0.17633926782150042</v>
      </c>
      <c r="AQ47" s="945">
        <f t="shared" si="56"/>
        <v>-0.15406973571727386</v>
      </c>
      <c r="AR47" s="944">
        <f t="shared" si="56"/>
        <v>-0.19868045352479693</v>
      </c>
      <c r="AS47" s="945">
        <f t="shared" si="56"/>
        <v>-0.14091112629916805</v>
      </c>
      <c r="AT47" s="953">
        <f t="shared" si="56"/>
        <v>-0.17134265901831922</v>
      </c>
      <c r="AU47" s="953">
        <f t="shared" ref="AU47:BL47" si="57">AU46/AU13</f>
        <v>-0.12657897279609739</v>
      </c>
      <c r="AV47" s="945">
        <f t="shared" si="57"/>
        <v>-5.7779335248713155E-2</v>
      </c>
      <c r="AW47" s="944">
        <f t="shared" si="57"/>
        <v>-0.11964857296426062</v>
      </c>
      <c r="AX47" s="945">
        <f t="shared" si="57"/>
        <v>-2.2889583395512048E-2</v>
      </c>
      <c r="AY47" s="945">
        <f t="shared" si="57"/>
        <v>-4.4175569118715861E-2</v>
      </c>
      <c r="AZ47" s="953">
        <f t="shared" si="57"/>
        <v>-6.1562379116457027E-3</v>
      </c>
      <c r="BA47" s="945">
        <f t="shared" si="57"/>
        <v>-4.334846116234066E-2</v>
      </c>
      <c r="BB47" s="944">
        <f t="shared" si="57"/>
        <v>-2.9367700370109714E-2</v>
      </c>
      <c r="BC47" s="945">
        <f t="shared" si="57"/>
        <v>-3.2658843673771684E-2</v>
      </c>
      <c r="BD47" s="953">
        <f t="shared" si="57"/>
        <v>-6.6041556838491514E-2</v>
      </c>
      <c r="BE47" s="953">
        <f t="shared" si="57"/>
        <v>-4.2498175728120743E-2</v>
      </c>
      <c r="BF47" s="945">
        <f t="shared" si="57"/>
        <v>-4.305796451053404E-4</v>
      </c>
      <c r="BG47" s="944">
        <f t="shared" si="57"/>
        <v>-3.4989655850853466E-2</v>
      </c>
      <c r="BH47" s="945">
        <f t="shared" si="57"/>
        <v>-7.0321808076348529E-3</v>
      </c>
      <c r="BI47" s="953">
        <f t="shared" si="57"/>
        <v>9.6148393091624526E-3</v>
      </c>
      <c r="BJ47" s="953">
        <f t="shared" si="57"/>
        <v>2.8180194483032349E-2</v>
      </c>
      <c r="BK47" s="945">
        <f t="shared" si="57"/>
        <v>1.3946091023686597E-2</v>
      </c>
      <c r="BL47" s="944">
        <f t="shared" si="57"/>
        <v>1.145378405015131E-2</v>
      </c>
      <c r="BM47" s="945">
        <f t="shared" ref="BM47:CA47" si="58">BM46/BM13</f>
        <v>3.1886590383856606E-2</v>
      </c>
      <c r="BN47" s="953">
        <f t="shared" si="58"/>
        <v>7.8531086495468236E-2</v>
      </c>
      <c r="BO47" s="953">
        <f t="shared" si="58"/>
        <v>7.8204075143742877E-2</v>
      </c>
      <c r="BP47" s="945">
        <f t="shared" si="58"/>
        <v>7.7898672080716061E-2</v>
      </c>
      <c r="BQ47" s="944">
        <f t="shared" si="58"/>
        <v>6.7163429511287356E-2</v>
      </c>
      <c r="BR47" s="945">
        <f t="shared" si="58"/>
        <v>7.8903534846933299E-2</v>
      </c>
      <c r="BS47" s="953">
        <f t="shared" si="58"/>
        <v>8.1468982159183453E-2</v>
      </c>
      <c r="BT47" s="953">
        <f t="shared" si="58"/>
        <v>0.10430133805828802</v>
      </c>
      <c r="BU47" s="945">
        <f t="shared" si="58"/>
        <v>9.0639988510468741E-2</v>
      </c>
      <c r="BV47" s="944">
        <f t="shared" si="58"/>
        <v>8.9043197940289906E-2</v>
      </c>
      <c r="BW47" s="945">
        <f t="shared" si="58"/>
        <v>7.3658392720377081E-2</v>
      </c>
      <c r="BX47" s="953">
        <f t="shared" si="58"/>
        <v>9.2234969616063034E-2</v>
      </c>
      <c r="BY47" s="953">
        <f t="shared" si="58"/>
        <v>0.10304910271472925</v>
      </c>
      <c r="BZ47" s="945">
        <f t="shared" si="58"/>
        <v>4.3716745823317506E-2</v>
      </c>
      <c r="CA47" s="944">
        <f t="shared" si="58"/>
        <v>7.8068513234599735E-2</v>
      </c>
    </row>
    <row r="48" spans="1:79" s="109" customFormat="1" ht="7.9" customHeight="1">
      <c r="A48" s="75"/>
      <c r="B48" s="74"/>
      <c r="C48" s="77"/>
      <c r="D48" s="73"/>
      <c r="E48" s="116"/>
      <c r="F48" s="116"/>
      <c r="G48" s="72"/>
      <c r="H48" s="72"/>
      <c r="I48" s="73"/>
      <c r="J48" s="116"/>
      <c r="K48" s="116"/>
      <c r="L48" s="116"/>
      <c r="M48" s="72"/>
      <c r="N48" s="73"/>
      <c r="O48" s="116"/>
      <c r="P48" s="116"/>
      <c r="Q48" s="116"/>
      <c r="R48" s="72"/>
      <c r="S48" s="71"/>
      <c r="T48" s="67"/>
      <c r="U48" s="67"/>
      <c r="V48" s="72"/>
      <c r="W48" s="113"/>
      <c r="X48" s="71"/>
      <c r="Y48" s="113"/>
      <c r="Z48" s="113"/>
      <c r="AA48" s="113"/>
      <c r="AB48" s="113"/>
      <c r="AC48" s="73"/>
      <c r="AD48" s="113"/>
      <c r="AE48" s="157"/>
      <c r="AF48" s="157"/>
      <c r="AG48" s="157"/>
      <c r="AH48" s="73"/>
      <c r="AI48" s="157"/>
      <c r="AJ48" s="157"/>
      <c r="AK48" s="113"/>
      <c r="AL48" s="116"/>
      <c r="AM48" s="73"/>
      <c r="AN48" s="116"/>
      <c r="AO48" s="116"/>
      <c r="AP48" s="157"/>
      <c r="AQ48" s="116"/>
      <c r="AR48" s="73"/>
      <c r="AS48" s="116"/>
      <c r="AT48" s="157"/>
      <c r="AU48" s="157"/>
      <c r="AV48" s="116"/>
      <c r="AW48" s="73"/>
      <c r="AX48" s="116"/>
      <c r="AY48" s="116"/>
      <c r="AZ48" s="157"/>
      <c r="BA48" s="116"/>
      <c r="BB48" s="73"/>
      <c r="BC48" s="116"/>
      <c r="BD48" s="157"/>
      <c r="BE48" s="157"/>
      <c r="BF48" s="116"/>
      <c r="BG48" s="73"/>
      <c r="BH48" s="116"/>
      <c r="BI48" s="157"/>
      <c r="BJ48" s="157"/>
      <c r="BK48" s="116"/>
      <c r="BL48" s="73"/>
      <c r="BM48" s="116"/>
      <c r="BN48" s="157"/>
      <c r="BO48" s="157"/>
      <c r="BP48" s="116"/>
      <c r="BQ48" s="73"/>
      <c r="BR48" s="116"/>
      <c r="BS48" s="157"/>
      <c r="BT48" s="157"/>
      <c r="BU48" s="116"/>
      <c r="BV48" s="73"/>
      <c r="BW48" s="116"/>
      <c r="BX48" s="157"/>
      <c r="BY48" s="157"/>
      <c r="BZ48" s="116"/>
      <c r="CA48" s="73"/>
    </row>
    <row r="49" spans="1:79" ht="14.25" hidden="1" customHeight="1" outlineLevel="1">
      <c r="A49" s="81"/>
      <c r="B49" s="92"/>
      <c r="C49" s="137" t="s">
        <v>84</v>
      </c>
      <c r="D49" s="71"/>
      <c r="E49" s="72"/>
      <c r="F49" s="72"/>
      <c r="G49" s="72"/>
      <c r="H49" s="72"/>
      <c r="I49" s="71"/>
      <c r="J49" s="72"/>
      <c r="K49" s="72"/>
      <c r="L49" s="72"/>
      <c r="M49" s="72"/>
      <c r="N49" s="71"/>
      <c r="O49" s="72"/>
      <c r="P49" s="72"/>
      <c r="Q49" s="72"/>
      <c r="R49" s="72"/>
      <c r="S49" s="71">
        <f>SUM(O49:R49)</f>
        <v>0</v>
      </c>
      <c r="T49" s="72">
        <v>0</v>
      </c>
      <c r="U49" s="113">
        <v>0</v>
      </c>
      <c r="V49" s="114">
        <v>0</v>
      </c>
      <c r="W49" s="114">
        <v>0</v>
      </c>
      <c r="X49" s="71">
        <v>-780</v>
      </c>
      <c r="Y49" s="113">
        <v>0</v>
      </c>
      <c r="Z49" s="113">
        <v>0</v>
      </c>
      <c r="AA49" s="113">
        <v>0</v>
      </c>
      <c r="AB49" s="113">
        <v>0</v>
      </c>
      <c r="AC49" s="71">
        <v>-611</v>
      </c>
      <c r="AD49" s="113">
        <v>-151</v>
      </c>
      <c r="AE49" s="113">
        <v>-169</v>
      </c>
      <c r="AF49" s="113">
        <v>-154</v>
      </c>
      <c r="AG49" s="113">
        <v>-150</v>
      </c>
      <c r="AH49" s="71">
        <f>SUM(AD49:AG49)</f>
        <v>-624</v>
      </c>
      <c r="AI49" s="113">
        <v>-193</v>
      </c>
      <c r="AJ49" s="113">
        <f>-47</f>
        <v>-47</v>
      </c>
      <c r="AK49" s="113">
        <f>-3503+3147</f>
        <v>-356</v>
      </c>
      <c r="AL49" s="113">
        <f>-7101+6360</f>
        <v>-741</v>
      </c>
      <c r="AM49" s="71">
        <f>SUM(AI49:AL49)</f>
        <v>-1337</v>
      </c>
      <c r="AN49" s="72">
        <f>-7156+6454</f>
        <v>-702</v>
      </c>
      <c r="AO49" s="113">
        <f>-7273+6548</f>
        <v>-725</v>
      </c>
      <c r="AP49" s="113">
        <f>-7364+6645</f>
        <v>-719</v>
      </c>
      <c r="AQ49" s="113">
        <f>-7461+6742</f>
        <v>-719</v>
      </c>
      <c r="AR49" s="71">
        <f>SUM(AN49:AQ49)</f>
        <v>-2865</v>
      </c>
      <c r="AS49" s="72">
        <f>-7560+6842</f>
        <v>-718</v>
      </c>
      <c r="AT49" s="113">
        <f>-7684+6942</f>
        <v>-742</v>
      </c>
      <c r="AU49" s="113">
        <f>-7769+7044</f>
        <v>-725</v>
      </c>
      <c r="AV49" s="72">
        <f>-7786+7173</f>
        <v>-613</v>
      </c>
      <c r="AW49" s="71">
        <f>SUM(AS49:AV49)</f>
        <v>-2798</v>
      </c>
      <c r="AX49" s="72">
        <f>-1672+1319</f>
        <v>-353</v>
      </c>
      <c r="AY49" s="72">
        <f>-1669+1274</f>
        <v>-395</v>
      </c>
      <c r="AZ49" s="72">
        <f>-1485+1255</f>
        <v>-230</v>
      </c>
      <c r="BA49" s="836">
        <f>-1617+1250</f>
        <v>-367</v>
      </c>
      <c r="BB49" s="71">
        <f>SUM(AX49:BA49)</f>
        <v>-1345</v>
      </c>
      <c r="BC49" s="836">
        <f>-1649+1284</f>
        <v>-365</v>
      </c>
      <c r="BD49" s="836">
        <f>-1632+1198</f>
        <v>-434</v>
      </c>
      <c r="BE49" s="836">
        <f>+-1456+1197</f>
        <v>-259</v>
      </c>
      <c r="BF49" s="836">
        <f>+-1652+1291</f>
        <v>-361</v>
      </c>
      <c r="BG49" s="71">
        <f>SUM(BC49:BF49)</f>
        <v>-1419</v>
      </c>
      <c r="BH49" s="836">
        <f>-1966+1604</f>
        <v>-362</v>
      </c>
      <c r="BI49" s="836">
        <f>-1592+1294</f>
        <v>-298</v>
      </c>
      <c r="BJ49" s="836">
        <v>-1577</v>
      </c>
      <c r="BK49" s="836">
        <v>-1709</v>
      </c>
      <c r="BL49" s="71">
        <f t="shared" ref="BL49:BL55" si="59">SUM(BH49:BK49)</f>
        <v>-3946</v>
      </c>
      <c r="BM49" s="836">
        <v>-144</v>
      </c>
      <c r="BN49" s="836">
        <v>-544</v>
      </c>
      <c r="BO49" s="836">
        <v>-462</v>
      </c>
      <c r="BP49" s="836">
        <v>-400</v>
      </c>
      <c r="BQ49" s="71">
        <f>SUM(BM49:BP49)</f>
        <v>-1550</v>
      </c>
      <c r="BR49" s="836">
        <v>-478</v>
      </c>
      <c r="BS49" s="833">
        <v>-828</v>
      </c>
      <c r="BT49" s="833">
        <v>-654</v>
      </c>
      <c r="BU49" s="833">
        <v>-500</v>
      </c>
      <c r="BV49" s="71">
        <f>SUM(BR49:BU49)</f>
        <v>-2460</v>
      </c>
      <c r="BW49" s="833">
        <v>-500</v>
      </c>
      <c r="BX49" s="833">
        <v>-500</v>
      </c>
      <c r="BY49" s="833">
        <v>-500</v>
      </c>
      <c r="BZ49" s="833">
        <v>-500</v>
      </c>
      <c r="CA49" s="71">
        <f>SUM(BW49:BZ49)</f>
        <v>-2000</v>
      </c>
    </row>
    <row r="50" spans="1:79" ht="14.25" hidden="1" customHeight="1" outlineLevel="1">
      <c r="A50" s="81"/>
      <c r="B50" s="92"/>
      <c r="C50" s="137" t="s">
        <v>546</v>
      </c>
      <c r="D50" s="71"/>
      <c r="E50" s="72"/>
      <c r="F50" s="72"/>
      <c r="G50" s="72"/>
      <c r="H50" s="72"/>
      <c r="I50" s="71"/>
      <c r="J50" s="72"/>
      <c r="K50" s="72"/>
      <c r="L50" s="72"/>
      <c r="M50" s="72"/>
      <c r="N50" s="71"/>
      <c r="O50" s="72"/>
      <c r="P50" s="72"/>
      <c r="Q50" s="72"/>
      <c r="R50" s="72"/>
      <c r="S50" s="71"/>
      <c r="T50" s="72"/>
      <c r="U50" s="113"/>
      <c r="V50" s="114"/>
      <c r="W50" s="114"/>
      <c r="X50" s="71"/>
      <c r="Y50" s="113"/>
      <c r="Z50" s="113"/>
      <c r="AA50" s="113"/>
      <c r="AB50" s="113"/>
      <c r="AC50" s="71"/>
      <c r="AD50" s="113"/>
      <c r="AE50" s="193"/>
      <c r="AF50" s="113"/>
      <c r="AG50" s="113">
        <v>0</v>
      </c>
      <c r="AH50" s="71">
        <f>SUM(AD50:AG50)</f>
        <v>0</v>
      </c>
      <c r="AI50" s="113"/>
      <c r="AJ50" s="113">
        <v>0</v>
      </c>
      <c r="AK50" s="113">
        <f>-3147-71</f>
        <v>-3218</v>
      </c>
      <c r="AL50" s="113">
        <f>-6360</f>
        <v>-6360</v>
      </c>
      <c r="AM50" s="71">
        <f>SUM(AI50:AL50)</f>
        <v>-9578</v>
      </c>
      <c r="AN50" s="72">
        <f>-6454</f>
        <v>-6454</v>
      </c>
      <c r="AO50" s="113">
        <v>-6548</v>
      </c>
      <c r="AP50" s="113">
        <f>-6645</f>
        <v>-6645</v>
      </c>
      <c r="AQ50" s="113">
        <f>-6742</f>
        <v>-6742</v>
      </c>
      <c r="AR50" s="71">
        <f>SUM(AN50:AQ50)</f>
        <v>-26389</v>
      </c>
      <c r="AS50" s="72">
        <v>-6842</v>
      </c>
      <c r="AT50" s="113">
        <v>-6942</v>
      </c>
      <c r="AU50" s="113">
        <v>-7044</v>
      </c>
      <c r="AV50" s="72">
        <v>-7173</v>
      </c>
      <c r="AW50" s="71">
        <f>SUM(AS50:AV50)</f>
        <v>-28001</v>
      </c>
      <c r="AX50" s="72">
        <v>-1319</v>
      </c>
      <c r="AY50" s="72">
        <v>-1274</v>
      </c>
      <c r="AZ50" s="72">
        <v>-1255</v>
      </c>
      <c r="BA50" s="836">
        <v>-1250</v>
      </c>
      <c r="BB50" s="71">
        <f>SUM(AX50:BA50)</f>
        <v>-5098</v>
      </c>
      <c r="BC50" s="836">
        <v>-1284</v>
      </c>
      <c r="BD50" s="836">
        <v>-1198</v>
      </c>
      <c r="BE50" s="836">
        <v>-1197</v>
      </c>
      <c r="BF50" s="836">
        <v>-1291</v>
      </c>
      <c r="BG50" s="71">
        <f>SUM(BC50:BF50)</f>
        <v>-4970</v>
      </c>
      <c r="BH50" s="836">
        <v>-1604</v>
      </c>
      <c r="BI50" s="836">
        <v>-1249</v>
      </c>
      <c r="BJ50" s="836">
        <f>1250+22</f>
        <v>1272</v>
      </c>
      <c r="BK50" s="1206">
        <v>1027</v>
      </c>
      <c r="BL50" s="71">
        <f t="shared" si="59"/>
        <v>-554</v>
      </c>
      <c r="BM50" s="836">
        <v>0</v>
      </c>
      <c r="BN50" s="836"/>
      <c r="BO50" s="836"/>
      <c r="BP50" s="836">
        <v>0</v>
      </c>
      <c r="BQ50" s="71">
        <f>SUM(BM50:BP50)</f>
        <v>0</v>
      </c>
      <c r="BR50" s="836">
        <v>0</v>
      </c>
      <c r="BS50" s="833">
        <v>0</v>
      </c>
      <c r="BT50" s="833">
        <v>0</v>
      </c>
      <c r="BU50" s="833">
        <v>0</v>
      </c>
      <c r="BV50" s="71">
        <f>SUM(BR50:BU50)</f>
        <v>0</v>
      </c>
      <c r="BW50" s="833">
        <v>0</v>
      </c>
      <c r="BX50" s="833">
        <v>0</v>
      </c>
      <c r="BY50" s="833">
        <v>0</v>
      </c>
      <c r="BZ50" s="833">
        <v>0</v>
      </c>
      <c r="CA50" s="71">
        <f>SUM(BW50:BZ50)</f>
        <v>0</v>
      </c>
    </row>
    <row r="51" spans="1:79" ht="14.25" hidden="1" customHeight="1" outlineLevel="1">
      <c r="A51" s="81"/>
      <c r="B51" s="92"/>
      <c r="C51" s="137" t="s">
        <v>547</v>
      </c>
      <c r="D51" s="71"/>
      <c r="E51" s="72"/>
      <c r="F51" s="72"/>
      <c r="G51" s="72"/>
      <c r="H51" s="72"/>
      <c r="I51" s="71"/>
      <c r="J51" s="72"/>
      <c r="K51" s="72"/>
      <c r="L51" s="72"/>
      <c r="M51" s="72"/>
      <c r="N51" s="71"/>
      <c r="O51" s="72"/>
      <c r="P51" s="72"/>
      <c r="Q51" s="72"/>
      <c r="R51" s="72"/>
      <c r="S51" s="71"/>
      <c r="T51" s="72"/>
      <c r="U51" s="113"/>
      <c r="V51" s="114"/>
      <c r="W51" s="114"/>
      <c r="X51" s="71"/>
      <c r="Y51" s="113"/>
      <c r="Z51" s="113"/>
      <c r="AA51" s="113"/>
      <c r="AB51" s="113"/>
      <c r="AC51" s="71"/>
      <c r="AD51" s="113"/>
      <c r="AE51" s="193"/>
      <c r="AF51" s="113"/>
      <c r="AG51" s="113"/>
      <c r="AH51" s="71"/>
      <c r="AI51" s="113"/>
      <c r="AJ51" s="113"/>
      <c r="AK51" s="113"/>
      <c r="AL51" s="113"/>
      <c r="AM51" s="71"/>
      <c r="AN51" s="72"/>
      <c r="AO51" s="113"/>
      <c r="AP51" s="113"/>
      <c r="AQ51" s="113"/>
      <c r="AR51" s="71"/>
      <c r="AS51" s="72"/>
      <c r="AT51" s="113"/>
      <c r="AU51" s="113"/>
      <c r="AV51" s="72"/>
      <c r="AW51" s="71">
        <f>SUM(AS51:AV51)</f>
        <v>0</v>
      </c>
      <c r="AX51" s="72">
        <v>5119</v>
      </c>
      <c r="AY51" s="72">
        <v>151</v>
      </c>
      <c r="AZ51" s="72"/>
      <c r="BA51" s="836"/>
      <c r="BB51" s="71">
        <f>SUM(AX51:BA51)</f>
        <v>5270</v>
      </c>
      <c r="BC51" s="836">
        <v>340</v>
      </c>
      <c r="BD51" s="836">
        <v>89</v>
      </c>
      <c r="BE51" s="836">
        <v>-45</v>
      </c>
      <c r="BF51" s="836">
        <v>-4073</v>
      </c>
      <c r="BG51" s="71">
        <f>SUM(BC51:BF51)</f>
        <v>-3689</v>
      </c>
      <c r="BH51" s="836">
        <v>-119</v>
      </c>
      <c r="BI51" s="836">
        <v>0</v>
      </c>
      <c r="BJ51" s="836"/>
      <c r="BK51" s="1206">
        <v>-98</v>
      </c>
      <c r="BL51" s="71">
        <f t="shared" si="59"/>
        <v>-217</v>
      </c>
      <c r="BM51" s="836"/>
      <c r="BN51" s="836">
        <v>0</v>
      </c>
      <c r="BO51" s="836"/>
      <c r="BP51" s="836"/>
      <c r="BQ51" s="71">
        <f>SUM(BM51:BP51)</f>
        <v>0</v>
      </c>
      <c r="BR51" s="836"/>
      <c r="BS51" s="833"/>
      <c r="BT51" s="833"/>
      <c r="BU51" s="833"/>
      <c r="BV51" s="71">
        <f>SUM(BR51:BU51)</f>
        <v>0</v>
      </c>
      <c r="BW51" s="833"/>
      <c r="BX51" s="833"/>
      <c r="BY51" s="833"/>
      <c r="BZ51" s="833"/>
      <c r="CA51" s="71">
        <f>SUM(BW51:BZ51)</f>
        <v>0</v>
      </c>
    </row>
    <row r="52" spans="1:79" ht="14.25" hidden="1" customHeight="1" outlineLevel="1">
      <c r="A52" s="81"/>
      <c r="B52" s="92"/>
      <c r="C52" s="137" t="s">
        <v>401</v>
      </c>
      <c r="D52" s="71"/>
      <c r="E52" s="72"/>
      <c r="F52" s="72"/>
      <c r="G52" s="72"/>
      <c r="H52" s="72"/>
      <c r="I52" s="71"/>
      <c r="J52" s="72"/>
      <c r="K52" s="72"/>
      <c r="L52" s="72"/>
      <c r="M52" s="72"/>
      <c r="N52" s="71"/>
      <c r="O52" s="72"/>
      <c r="P52" s="72"/>
      <c r="Q52" s="72"/>
      <c r="R52" s="72"/>
      <c r="S52" s="71"/>
      <c r="T52" s="72"/>
      <c r="U52" s="113"/>
      <c r="V52" s="114"/>
      <c r="W52" s="114"/>
      <c r="X52" s="71"/>
      <c r="Y52" s="113"/>
      <c r="Z52" s="113"/>
      <c r="AA52" s="113"/>
      <c r="AB52" s="113"/>
      <c r="AC52" s="71"/>
      <c r="AD52" s="113"/>
      <c r="AE52" s="193"/>
      <c r="AF52" s="113"/>
      <c r="AG52" s="113"/>
      <c r="AH52" s="71"/>
      <c r="AI52" s="113"/>
      <c r="AJ52" s="113"/>
      <c r="AK52" s="113"/>
      <c r="AL52" s="113"/>
      <c r="AM52" s="71"/>
      <c r="AN52" s="72"/>
      <c r="AO52" s="113"/>
      <c r="AP52" s="113"/>
      <c r="AQ52" s="113"/>
      <c r="AR52" s="71"/>
      <c r="AS52" s="72"/>
      <c r="AT52" s="113"/>
      <c r="AU52" s="113"/>
      <c r="AV52" s="72">
        <v>-33752</v>
      </c>
      <c r="AW52" s="71">
        <f>SUM(AS52:AV52)</f>
        <v>-33752</v>
      </c>
      <c r="AX52" s="72">
        <v>0</v>
      </c>
      <c r="AY52" s="72"/>
      <c r="AZ52" s="72"/>
      <c r="BA52" s="836"/>
      <c r="BB52" s="71">
        <f>SUM(AX52:BA52)</f>
        <v>0</v>
      </c>
      <c r="BC52" s="836"/>
      <c r="BD52" s="833"/>
      <c r="BE52" s="836"/>
      <c r="BF52" s="836"/>
      <c r="BG52" s="71">
        <f>SUM(BC52:BF52)</f>
        <v>0</v>
      </c>
      <c r="BH52" s="836"/>
      <c r="BI52" s="836"/>
      <c r="BJ52" s="836"/>
      <c r="BK52" s="833"/>
      <c r="BL52" s="71">
        <f t="shared" si="59"/>
        <v>0</v>
      </c>
      <c r="BM52" s="836"/>
      <c r="BN52" s="836"/>
      <c r="BO52" s="836"/>
      <c r="BP52" s="836"/>
      <c r="BQ52" s="71">
        <f>SUM(BM52:BP52)</f>
        <v>0</v>
      </c>
      <c r="BR52" s="836"/>
      <c r="BS52" s="833"/>
      <c r="BT52" s="833"/>
      <c r="BU52" s="833"/>
      <c r="BV52" s="71">
        <f>SUM(BR52:BU52)</f>
        <v>0</v>
      </c>
      <c r="BW52" s="833"/>
      <c r="BX52" s="833"/>
      <c r="BY52" s="833"/>
      <c r="BZ52" s="833"/>
      <c r="CA52" s="71">
        <f>SUM(BW52:BZ52)</f>
        <v>0</v>
      </c>
    </row>
    <row r="53" spans="1:79" ht="14.25" hidden="1" customHeight="1" outlineLevel="1">
      <c r="A53" s="81"/>
      <c r="B53" s="92"/>
      <c r="C53" s="137" t="s">
        <v>256</v>
      </c>
      <c r="D53" s="274"/>
      <c r="E53" s="263"/>
      <c r="F53" s="263"/>
      <c r="G53" s="263"/>
      <c r="H53" s="263"/>
      <c r="I53" s="274"/>
      <c r="J53" s="263"/>
      <c r="K53" s="263"/>
      <c r="L53" s="263"/>
      <c r="M53" s="263"/>
      <c r="N53" s="71"/>
      <c r="O53" s="263"/>
      <c r="P53" s="263"/>
      <c r="Q53" s="263"/>
      <c r="R53" s="263"/>
      <c r="S53" s="71"/>
      <c r="T53" s="72"/>
      <c r="U53" s="113"/>
      <c r="V53" s="113"/>
      <c r="W53" s="113"/>
      <c r="X53" s="71">
        <v>-3508</v>
      </c>
      <c r="Y53" s="113"/>
      <c r="Z53" s="113"/>
      <c r="AA53" s="113"/>
      <c r="AB53" s="113"/>
      <c r="AC53" s="71">
        <v>1372</v>
      </c>
      <c r="AD53" s="113">
        <v>-110</v>
      </c>
      <c r="AE53" s="113">
        <v>2034</v>
      </c>
      <c r="AF53" s="113">
        <v>-1225</v>
      </c>
      <c r="AG53" s="113">
        <v>2436</v>
      </c>
      <c r="AH53" s="71">
        <f>SUM(AD53:AG53)</f>
        <v>3135</v>
      </c>
      <c r="AI53" s="113">
        <v>-2228</v>
      </c>
      <c r="AJ53" s="113">
        <v>2998</v>
      </c>
      <c r="AK53" s="113">
        <f>3395+71</f>
        <v>3466</v>
      </c>
      <c r="AL53" s="113">
        <f>4794</f>
        <v>4794</v>
      </c>
      <c r="AM53" s="71">
        <f>SUM(AI53:AL53)</f>
        <v>9030</v>
      </c>
      <c r="AN53" s="72">
        <f>5217</f>
        <v>5217</v>
      </c>
      <c r="AO53" s="113">
        <f>4531</f>
        <v>4531</v>
      </c>
      <c r="AP53" s="113">
        <f>5801</f>
        <v>5801</v>
      </c>
      <c r="AQ53" s="113">
        <f>3658</f>
        <v>3658</v>
      </c>
      <c r="AR53" s="71">
        <f>SUM(AN53:AQ53)</f>
        <v>19207</v>
      </c>
      <c r="AS53" s="72">
        <f>3742</f>
        <v>3742</v>
      </c>
      <c r="AT53" s="113">
        <v>2601</v>
      </c>
      <c r="AU53" s="113">
        <v>-311</v>
      </c>
      <c r="AV53" s="72">
        <f>2882-33752+33752</f>
        <v>2882</v>
      </c>
      <c r="AW53" s="71">
        <f>SUM(AS53:AV53)</f>
        <v>8914</v>
      </c>
      <c r="AX53" s="72">
        <f>6037-5119</f>
        <v>918</v>
      </c>
      <c r="AY53" s="72">
        <f>-1063-151</f>
        <v>-1214</v>
      </c>
      <c r="AZ53" s="72">
        <v>-940</v>
      </c>
      <c r="BA53" s="836">
        <v>-2621</v>
      </c>
      <c r="BB53" s="71">
        <f>SUM(AX53:BA53)</f>
        <v>-3857</v>
      </c>
      <c r="BC53" s="836">
        <f>-4650-340</f>
        <v>-4990</v>
      </c>
      <c r="BD53" s="836">
        <f>1003-89</f>
        <v>914</v>
      </c>
      <c r="BE53" s="836">
        <f>820+45</f>
        <v>865</v>
      </c>
      <c r="BF53" s="836">
        <f>7366+4073</f>
        <v>11439</v>
      </c>
      <c r="BG53" s="71">
        <f>SUM(BC53:BF53)</f>
        <v>8228</v>
      </c>
      <c r="BH53" s="836">
        <f>12245+119</f>
        <v>12364</v>
      </c>
      <c r="BI53" s="836">
        <f>17455-45</f>
        <v>17410</v>
      </c>
      <c r="BJ53" s="836">
        <v>17673</v>
      </c>
      <c r="BK53" s="836">
        <v>21516</v>
      </c>
      <c r="BL53" s="71">
        <f t="shared" si="59"/>
        <v>68963</v>
      </c>
      <c r="BM53" s="836">
        <v>14109</v>
      </c>
      <c r="BN53" s="836">
        <v>14630</v>
      </c>
      <c r="BO53" s="836">
        <v>13006</v>
      </c>
      <c r="BP53" s="836">
        <v>7818</v>
      </c>
      <c r="BQ53" s="71">
        <f>SUM(BM53:BP53)</f>
        <v>49563</v>
      </c>
      <c r="BR53" s="836">
        <v>14013</v>
      </c>
      <c r="BS53" s="833">
        <v>12061</v>
      </c>
      <c r="BT53" s="833">
        <v>10828</v>
      </c>
      <c r="BU53" s="833">
        <v>10500</v>
      </c>
      <c r="BV53" s="71">
        <f>SUM(BR53:BU53)</f>
        <v>47402</v>
      </c>
      <c r="BW53" s="833">
        <v>10000</v>
      </c>
      <c r="BX53" s="833">
        <v>9500</v>
      </c>
      <c r="BY53" s="833">
        <v>9500</v>
      </c>
      <c r="BZ53" s="833">
        <v>9500</v>
      </c>
      <c r="CA53" s="71">
        <f>SUM(BW53:BZ53)</f>
        <v>38500</v>
      </c>
    </row>
    <row r="54" spans="1:79" ht="14.25" customHeight="1" collapsed="1">
      <c r="A54" s="75"/>
      <c r="B54" s="92" t="s">
        <v>290</v>
      </c>
      <c r="C54" s="77"/>
      <c r="D54" s="274">
        <f>SUM(D49:D53)</f>
        <v>0</v>
      </c>
      <c r="E54" s="113">
        <f>SUM(E49:E53)</f>
        <v>0</v>
      </c>
      <c r="F54" s="113">
        <f>SUM(F49:F53)</f>
        <v>0</v>
      </c>
      <c r="G54" s="113">
        <f>SUM(G49:G53)</f>
        <v>0</v>
      </c>
      <c r="H54" s="113">
        <f>SUM(H49:H53)</f>
        <v>0</v>
      </c>
      <c r="I54" s="274"/>
      <c r="J54" s="113"/>
      <c r="K54" s="113"/>
      <c r="L54" s="113"/>
      <c r="M54" s="113"/>
      <c r="N54" s="274"/>
      <c r="O54" s="113">
        <f>SUM(O49:O53)</f>
        <v>0</v>
      </c>
      <c r="P54" s="113">
        <f>SUM(P49:P53)</f>
        <v>0</v>
      </c>
      <c r="Q54" s="113">
        <f>SUM(Q49:Q53)</f>
        <v>0</v>
      </c>
      <c r="R54" s="113">
        <f>SUM(R49:R53)</f>
        <v>0</v>
      </c>
      <c r="S54" s="155">
        <f>S53</f>
        <v>0</v>
      </c>
      <c r="T54" s="72">
        <f>SUM(T49:T53)</f>
        <v>0</v>
      </c>
      <c r="U54" s="72">
        <f>SUM(U49:U53)</f>
        <v>0</v>
      </c>
      <c r="V54" s="72">
        <f>SUM(V49:V53)</f>
        <v>0</v>
      </c>
      <c r="W54" s="72">
        <f>SUM(W49:W53)</f>
        <v>0</v>
      </c>
      <c r="X54" s="77">
        <f>+X49+X53</f>
        <v>-4288</v>
      </c>
      <c r="Y54" s="72">
        <f>SUM(Y49:Y53)</f>
        <v>0</v>
      </c>
      <c r="Z54" s="72">
        <f>SUM(Z49:Z53)</f>
        <v>0</v>
      </c>
      <c r="AA54" s="113">
        <f>SUM(AA49:AA53)</f>
        <v>0</v>
      </c>
      <c r="AB54" s="113">
        <f>SUM(AB49:AB53)</f>
        <v>0</v>
      </c>
      <c r="AC54" s="71">
        <f>+AC49+AC53</f>
        <v>761</v>
      </c>
      <c r="AD54" s="72">
        <f>+AD49+AD53</f>
        <v>-261</v>
      </c>
      <c r="AE54" s="72">
        <f>+AE49+AE53</f>
        <v>1865</v>
      </c>
      <c r="AF54" s="72">
        <f>+AF49+AF53</f>
        <v>-1379</v>
      </c>
      <c r="AG54" s="72">
        <f>+AG49+AG53</f>
        <v>2286</v>
      </c>
      <c r="AH54" s="71">
        <f t="shared" ref="AH54:AR54" si="60">+AH49+AH53</f>
        <v>2511</v>
      </c>
      <c r="AI54" s="72">
        <f t="shared" si="60"/>
        <v>-2421</v>
      </c>
      <c r="AJ54" s="72">
        <f t="shared" si="60"/>
        <v>2951</v>
      </c>
      <c r="AK54" s="72">
        <f t="shared" si="60"/>
        <v>3110</v>
      </c>
      <c r="AL54" s="72">
        <f t="shared" si="60"/>
        <v>4053</v>
      </c>
      <c r="AM54" s="71">
        <f t="shared" si="60"/>
        <v>7693</v>
      </c>
      <c r="AN54" s="72">
        <f t="shared" si="60"/>
        <v>4515</v>
      </c>
      <c r="AO54" s="72">
        <f>+AO49+AO53</f>
        <v>3806</v>
      </c>
      <c r="AP54" s="72">
        <f>+AP49+AP53</f>
        <v>5082</v>
      </c>
      <c r="AQ54" s="72">
        <f t="shared" si="60"/>
        <v>2939</v>
      </c>
      <c r="AR54" s="71">
        <f t="shared" si="60"/>
        <v>16342</v>
      </c>
      <c r="AS54" s="72">
        <f t="shared" ref="AS54:BI54" si="61">+AS49+AS53</f>
        <v>3024</v>
      </c>
      <c r="AT54" s="72">
        <f t="shared" si="61"/>
        <v>1859</v>
      </c>
      <c r="AU54" s="72">
        <f t="shared" si="61"/>
        <v>-1036</v>
      </c>
      <c r="AV54" s="72">
        <f t="shared" si="61"/>
        <v>2269</v>
      </c>
      <c r="AW54" s="71">
        <f t="shared" si="61"/>
        <v>6116</v>
      </c>
      <c r="AX54" s="72">
        <f t="shared" si="61"/>
        <v>565</v>
      </c>
      <c r="AY54" s="72">
        <f t="shared" si="61"/>
        <v>-1609</v>
      </c>
      <c r="AZ54" s="72">
        <f t="shared" si="61"/>
        <v>-1170</v>
      </c>
      <c r="BA54" s="72">
        <f t="shared" si="61"/>
        <v>-2988</v>
      </c>
      <c r="BB54" s="71">
        <f t="shared" si="61"/>
        <v>-5202</v>
      </c>
      <c r="BC54" s="836">
        <f t="shared" si="61"/>
        <v>-5355</v>
      </c>
      <c r="BD54" s="113">
        <f t="shared" si="61"/>
        <v>480</v>
      </c>
      <c r="BE54" s="113">
        <f t="shared" si="61"/>
        <v>606</v>
      </c>
      <c r="BF54" s="836">
        <f t="shared" si="61"/>
        <v>11078</v>
      </c>
      <c r="BG54" s="71">
        <f t="shared" si="61"/>
        <v>6809</v>
      </c>
      <c r="BH54" s="72">
        <f t="shared" si="61"/>
        <v>12002</v>
      </c>
      <c r="BI54" s="113">
        <f t="shared" si="61"/>
        <v>17112</v>
      </c>
      <c r="BJ54" s="72">
        <f>+BJ49+BJ53+BJ50</f>
        <v>17368</v>
      </c>
      <c r="BK54" s="72">
        <f>SUM(BK49:BK53)</f>
        <v>20736</v>
      </c>
      <c r="BL54" s="71">
        <f t="shared" si="59"/>
        <v>67218</v>
      </c>
      <c r="BM54" s="72">
        <f>+BM49+BM53</f>
        <v>13965</v>
      </c>
      <c r="BN54" s="113">
        <f>+BN49+BN53</f>
        <v>14086</v>
      </c>
      <c r="BO54" s="72">
        <f>+BO49+BO53+BO50</f>
        <v>12544</v>
      </c>
      <c r="BP54" s="72">
        <f t="shared" ref="BP54:CA54" si="62">+BP49+BP53</f>
        <v>7418</v>
      </c>
      <c r="BQ54" s="71">
        <f t="shared" si="62"/>
        <v>48013</v>
      </c>
      <c r="BR54" s="72">
        <f t="shared" si="62"/>
        <v>13535</v>
      </c>
      <c r="BS54" s="113">
        <f t="shared" si="62"/>
        <v>11233</v>
      </c>
      <c r="BT54" s="113">
        <f t="shared" si="62"/>
        <v>10174</v>
      </c>
      <c r="BU54" s="72">
        <f t="shared" si="62"/>
        <v>10000</v>
      </c>
      <c r="BV54" s="71">
        <f t="shared" si="62"/>
        <v>44942</v>
      </c>
      <c r="BW54" s="72">
        <f t="shared" si="62"/>
        <v>9500</v>
      </c>
      <c r="BX54" s="113">
        <f t="shared" si="62"/>
        <v>9000</v>
      </c>
      <c r="BY54" s="72">
        <f t="shared" si="62"/>
        <v>9000</v>
      </c>
      <c r="BZ54" s="72">
        <f t="shared" si="62"/>
        <v>9000</v>
      </c>
      <c r="CA54" s="71">
        <f t="shared" si="62"/>
        <v>36500</v>
      </c>
    </row>
    <row r="55" spans="1:79" ht="14.25" customHeight="1">
      <c r="A55" s="75"/>
      <c r="B55" s="92" t="s">
        <v>291</v>
      </c>
      <c r="C55" s="77"/>
      <c r="D55" s="274"/>
      <c r="E55" s="113"/>
      <c r="F55" s="113"/>
      <c r="G55" s="113"/>
      <c r="H55" s="113"/>
      <c r="I55" s="274"/>
      <c r="J55" s="113"/>
      <c r="K55" s="113"/>
      <c r="L55" s="113"/>
      <c r="M55" s="113"/>
      <c r="N55" s="274"/>
      <c r="O55" s="113"/>
      <c r="P55" s="113"/>
      <c r="Q55" s="113"/>
      <c r="R55" s="113"/>
      <c r="S55" s="155"/>
      <c r="T55" s="72"/>
      <c r="U55" s="72"/>
      <c r="V55" s="72"/>
      <c r="W55" s="72"/>
      <c r="X55" s="77">
        <f>X49+X50+X53</f>
        <v>-4288</v>
      </c>
      <c r="Y55" s="72"/>
      <c r="Z55" s="72"/>
      <c r="AA55" s="113"/>
      <c r="AB55" s="113"/>
      <c r="AC55" s="71">
        <f t="shared" ref="AC55:AH55" si="63">AC49+AC50+AC53</f>
        <v>761</v>
      </c>
      <c r="AD55" s="72">
        <f t="shared" si="63"/>
        <v>-261</v>
      </c>
      <c r="AE55" s="72">
        <f t="shared" si="63"/>
        <v>1865</v>
      </c>
      <c r="AF55" s="72">
        <f t="shared" si="63"/>
        <v>-1379</v>
      </c>
      <c r="AG55" s="72">
        <f t="shared" si="63"/>
        <v>2286</v>
      </c>
      <c r="AH55" s="71">
        <f t="shared" si="63"/>
        <v>2511</v>
      </c>
      <c r="AI55" s="72">
        <f>AI49+AI50+AI53</f>
        <v>-2421</v>
      </c>
      <c r="AJ55" s="72">
        <f>AJ49+AJ50+AJ53</f>
        <v>2951</v>
      </c>
      <c r="AK55" s="72">
        <f>AK49+AK50+AK53</f>
        <v>-108</v>
      </c>
      <c r="AL55" s="72">
        <f>AL49+AL50+AL53</f>
        <v>-2307</v>
      </c>
      <c r="AM55" s="71">
        <f t="shared" ref="AM55:AT55" si="64">AM49+AM50+AM53</f>
        <v>-1885</v>
      </c>
      <c r="AN55" s="72">
        <f t="shared" si="64"/>
        <v>-1939</v>
      </c>
      <c r="AO55" s="72">
        <f t="shared" si="64"/>
        <v>-2742</v>
      </c>
      <c r="AP55" s="72">
        <f t="shared" si="64"/>
        <v>-1563</v>
      </c>
      <c r="AQ55" s="72">
        <f t="shared" si="64"/>
        <v>-3803</v>
      </c>
      <c r="AR55" s="71">
        <f t="shared" si="64"/>
        <v>-10047</v>
      </c>
      <c r="AS55" s="72">
        <f t="shared" si="64"/>
        <v>-3818</v>
      </c>
      <c r="AT55" s="72">
        <f t="shared" si="64"/>
        <v>-5083</v>
      </c>
      <c r="AU55" s="72">
        <f>AU49+AU50+AU53</f>
        <v>-8080</v>
      </c>
      <c r="AV55" s="72">
        <f>AV49+AV50+AV53+AV52</f>
        <v>-38656</v>
      </c>
      <c r="AW55" s="71">
        <f>AW49+AW50+AW53+AW52</f>
        <v>-55637</v>
      </c>
      <c r="AX55" s="72">
        <f t="shared" ref="AX55:BI55" si="65">AX49+AX53+AX52+AX51+AX50</f>
        <v>4365</v>
      </c>
      <c r="AY55" s="72">
        <f t="shared" si="65"/>
        <v>-2732</v>
      </c>
      <c r="AZ55" s="72">
        <f t="shared" si="65"/>
        <v>-2425</v>
      </c>
      <c r="BA55" s="72">
        <f t="shared" si="65"/>
        <v>-4238</v>
      </c>
      <c r="BB55" s="71">
        <f t="shared" si="65"/>
        <v>-5030</v>
      </c>
      <c r="BC55" s="836">
        <f t="shared" si="65"/>
        <v>-6299</v>
      </c>
      <c r="BD55" s="113">
        <f t="shared" si="65"/>
        <v>-629</v>
      </c>
      <c r="BE55" s="113">
        <f t="shared" si="65"/>
        <v>-636</v>
      </c>
      <c r="BF55" s="72">
        <f t="shared" si="65"/>
        <v>5714</v>
      </c>
      <c r="BG55" s="71">
        <f t="shared" si="65"/>
        <v>-1850</v>
      </c>
      <c r="BH55" s="72">
        <f t="shared" si="65"/>
        <v>10279</v>
      </c>
      <c r="BI55" s="113">
        <f t="shared" si="65"/>
        <v>15863</v>
      </c>
      <c r="BJ55" s="72">
        <f>BJ49+BJ53+BJ52+BJ51</f>
        <v>16096</v>
      </c>
      <c r="BK55" s="72">
        <f>BK49+BK53</f>
        <v>19807</v>
      </c>
      <c r="BL55" s="71">
        <f t="shared" si="59"/>
        <v>62045</v>
      </c>
      <c r="BM55" s="72">
        <f>BM49+BM53+BM52+BM51+BM50</f>
        <v>13965</v>
      </c>
      <c r="BN55" s="113">
        <f>BN49+BN53+BN52+BN51+BN50</f>
        <v>14086</v>
      </c>
      <c r="BO55" s="72">
        <f>BO49+BO53+BO52+BO51</f>
        <v>12544</v>
      </c>
      <c r="BP55" s="72">
        <f t="shared" ref="BP55:CA55" si="66">BP49+BP53+BP52+BP51+BP50</f>
        <v>7418</v>
      </c>
      <c r="BQ55" s="71">
        <f t="shared" si="66"/>
        <v>48013</v>
      </c>
      <c r="BR55" s="72">
        <f t="shared" si="66"/>
        <v>13535</v>
      </c>
      <c r="BS55" s="113">
        <f t="shared" si="66"/>
        <v>11233</v>
      </c>
      <c r="BT55" s="113">
        <f t="shared" si="66"/>
        <v>10174</v>
      </c>
      <c r="BU55" s="72">
        <f t="shared" si="66"/>
        <v>10000</v>
      </c>
      <c r="BV55" s="71">
        <f t="shared" si="66"/>
        <v>44942</v>
      </c>
      <c r="BW55" s="72">
        <f t="shared" si="66"/>
        <v>9500</v>
      </c>
      <c r="BX55" s="113">
        <f t="shared" si="66"/>
        <v>9000</v>
      </c>
      <c r="BY55" s="72">
        <f t="shared" si="66"/>
        <v>9000</v>
      </c>
      <c r="BZ55" s="72">
        <f t="shared" si="66"/>
        <v>9000</v>
      </c>
      <c r="CA55" s="71">
        <f t="shared" si="66"/>
        <v>36500</v>
      </c>
    </row>
    <row r="56" spans="1:79" ht="7.9" customHeight="1">
      <c r="A56" s="81"/>
      <c r="B56" s="92"/>
      <c r="C56" s="137"/>
      <c r="D56" s="99"/>
      <c r="E56" s="100"/>
      <c r="F56" s="100"/>
      <c r="G56" s="100"/>
      <c r="H56" s="100"/>
      <c r="I56" s="99"/>
      <c r="J56" s="100"/>
      <c r="K56" s="100"/>
      <c r="L56" s="100"/>
      <c r="M56" s="100"/>
      <c r="N56" s="99"/>
      <c r="O56" s="100"/>
      <c r="P56" s="100"/>
      <c r="Q56" s="100"/>
      <c r="R56" s="100"/>
      <c r="S56" s="99"/>
      <c r="T56" s="103"/>
      <c r="U56" s="103"/>
      <c r="V56" s="81"/>
      <c r="W56" s="135"/>
      <c r="X56" s="99"/>
      <c r="Y56" s="156"/>
      <c r="Z56" s="156"/>
      <c r="AA56" s="154"/>
      <c r="AB56" s="156"/>
      <c r="AC56" s="99"/>
      <c r="AD56" s="156"/>
      <c r="AE56" s="156"/>
      <c r="AF56" s="156"/>
      <c r="AG56" s="156"/>
      <c r="AH56" s="99"/>
      <c r="AI56" s="156"/>
      <c r="AJ56" s="156"/>
      <c r="AK56" s="156"/>
      <c r="AL56" s="100"/>
      <c r="AM56" s="99"/>
      <c r="AN56" s="100"/>
      <c r="AO56" s="100"/>
      <c r="AP56" s="156"/>
      <c r="AQ56" s="100"/>
      <c r="AR56" s="99"/>
      <c r="AS56" s="100"/>
      <c r="AT56" s="156"/>
      <c r="AU56" s="156"/>
      <c r="AV56" s="100"/>
      <c r="AW56" s="99"/>
      <c r="AX56" s="100"/>
      <c r="AY56" s="100"/>
      <c r="AZ56" s="156"/>
      <c r="BA56" s="100"/>
      <c r="BB56" s="99"/>
      <c r="BC56" s="100"/>
      <c r="BD56" s="156"/>
      <c r="BE56" s="156"/>
      <c r="BF56" s="100"/>
      <c r="BG56" s="99"/>
      <c r="BH56" s="100"/>
      <c r="BI56" s="156"/>
      <c r="BJ56" s="156"/>
      <c r="BK56" s="100"/>
      <c r="BL56" s="99"/>
      <c r="BM56" s="100"/>
      <c r="BN56" s="156"/>
      <c r="BO56" s="156"/>
      <c r="BP56" s="100"/>
      <c r="BQ56" s="99"/>
      <c r="BR56" s="100"/>
      <c r="BS56" s="156"/>
      <c r="BT56" s="156"/>
      <c r="BU56" s="100"/>
      <c r="BV56" s="99"/>
      <c r="BW56" s="100"/>
      <c r="BX56" s="156"/>
      <c r="BY56" s="156"/>
      <c r="BZ56" s="100"/>
      <c r="CA56" s="99"/>
    </row>
    <row r="57" spans="1:79" ht="14.25" customHeight="1">
      <c r="A57" s="81"/>
      <c r="B57" s="92" t="s">
        <v>5</v>
      </c>
      <c r="C57" s="137"/>
      <c r="D57" s="289">
        <f>D66-D49+CF!D7+D40+D39</f>
        <v>0</v>
      </c>
      <c r="E57" s="103">
        <f>E66-E49+CF!E7+E40</f>
        <v>0</v>
      </c>
      <c r="F57" s="103">
        <f>F66-F49+CF!F7+F40</f>
        <v>0</v>
      </c>
      <c r="G57" s="103">
        <f>G66-G49+CF!G7+G40</f>
        <v>0</v>
      </c>
      <c r="H57" s="103">
        <f>H66-H49+CF!H7+H40</f>
        <v>0</v>
      </c>
      <c r="I57" s="289"/>
      <c r="J57" s="154"/>
      <c r="K57" s="154"/>
      <c r="L57" s="154"/>
      <c r="M57" s="154"/>
      <c r="N57" s="289"/>
      <c r="O57" s="154">
        <f>O66-O49+CF!O7+O40+O39</f>
        <v>0</v>
      </c>
      <c r="P57" s="154">
        <f>P66-P49+CF!P7+P40+P39</f>
        <v>0</v>
      </c>
      <c r="Q57" s="154">
        <f>Q66-Q49+CF!Q7+Q40+Q39</f>
        <v>0</v>
      </c>
      <c r="R57" s="154">
        <f>R66-R49+CF!R7+R40+R39</f>
        <v>0</v>
      </c>
      <c r="S57" s="289">
        <f>S66-S53+CF!S7+S40+S39</f>
        <v>0</v>
      </c>
      <c r="T57" s="154">
        <f>T66-T53+CF!T7+T40+T39</f>
        <v>0</v>
      </c>
      <c r="U57" s="154">
        <f>U66-U53+CF!U7+U40+U39+U42+U43</f>
        <v>0</v>
      </c>
      <c r="V57" s="154">
        <f>V66-V53+CF!V7+V40+V39+V42+V43</f>
        <v>0</v>
      </c>
      <c r="W57" s="154">
        <f>W66-W53+CF!W7+W40+W39+W42+W43</f>
        <v>0</v>
      </c>
      <c r="X57" s="513">
        <f>+X35+CF!X8</f>
        <v>-88705</v>
      </c>
      <c r="Y57" s="154">
        <f>Y66-Y53+CF!Y7+Y40+Y39+Y43+Y42</f>
        <v>0</v>
      </c>
      <c r="Z57" s="154">
        <f>Z66-Z53+CF!Z7+Z40+Z39+Z43+Z42</f>
        <v>0</v>
      </c>
      <c r="AA57" s="154">
        <f>AA66-AA53+CF!AA7+AA40+AA39+AA43+AA42</f>
        <v>0</v>
      </c>
      <c r="AB57" s="154">
        <f>AB66-AB53+CF!AB7+AB40+AB39+AB43+AB42</f>
        <v>0</v>
      </c>
      <c r="AC57" s="289">
        <f>+AC35+CF!AC8</f>
        <v>-51903</v>
      </c>
      <c r="AD57" s="154">
        <f>+AD35+CF!AD8</f>
        <v>-9041</v>
      </c>
      <c r="AE57" s="154">
        <f>+AE35+CF!AE8</f>
        <v>2430</v>
      </c>
      <c r="AF57" s="154">
        <f>+AF35+CF!AF8</f>
        <v>2570</v>
      </c>
      <c r="AG57" s="154">
        <f>+AG35+CF!AG8</f>
        <v>8016</v>
      </c>
      <c r="AH57" s="289">
        <f>SUM(AD57:AG57)</f>
        <v>3975</v>
      </c>
      <c r="AI57" s="154">
        <f>+AI35+CF!AI8</f>
        <v>10836</v>
      </c>
      <c r="AJ57" s="154">
        <f>+AJ35+CF!AJ8</f>
        <v>9526</v>
      </c>
      <c r="AK57" s="154">
        <f>+AK35+CF!AK8</f>
        <v>5442</v>
      </c>
      <c r="AL57" s="154">
        <f>+AL35+CF!AL8</f>
        <v>14303</v>
      </c>
      <c r="AM57" s="289">
        <f>AM66-AM53+CF!AM7+AM40+AM39+AM42+AM43</f>
        <v>36215</v>
      </c>
      <c r="AN57" s="154">
        <f>+AN35+CF!AN8</f>
        <v>17560</v>
      </c>
      <c r="AO57" s="154">
        <f>+AO35+CF!AO8</f>
        <v>7224</v>
      </c>
      <c r="AP57" s="154">
        <f>+AP35+CF!AP8</f>
        <v>25238</v>
      </c>
      <c r="AQ57" s="154">
        <f>+AQ35+CF!AQ8</f>
        <v>29775</v>
      </c>
      <c r="AR57" s="289">
        <f>AR66-AR53+CF!AR7+AR40+AR39+AR42+AR43</f>
        <v>77929</v>
      </c>
      <c r="AS57" s="154">
        <f>+AS35+CF!AS8</f>
        <v>32979</v>
      </c>
      <c r="AT57" s="154">
        <f>+AT35+CF!AT8</f>
        <v>44260</v>
      </c>
      <c r="AU57" s="154">
        <f>AU66-AU49+CF!AU7+AU40+AU39+AU41-AU50-AU53+AU43-AU51+AU42-AU52</f>
        <v>68581</v>
      </c>
      <c r="AV57" s="154">
        <f>AV66-AV49+CF!AV7+AV40+AV39+AV41-AV50-AV53+AV43-AV51+AV42-AV52</f>
        <v>94239</v>
      </c>
      <c r="AW57" s="289">
        <f>AW66-AW53+CF!AW7+AW40+AW39+AW42+AW43</f>
        <v>153141</v>
      </c>
      <c r="AX57" s="154">
        <f>AX66-AX49+CF!AX7+AX40+AX39+AX41-AX50-AX53+AX43-AX51+AX42</f>
        <v>113248</v>
      </c>
      <c r="AY57" s="154">
        <f>AY66-AY49+CF!AY7+AY40+AY39+AY41-AY50-AY53+AY43-AY51+AY42</f>
        <v>120667</v>
      </c>
      <c r="AZ57" s="154">
        <f>AZ66-AZ49+CF!AZ7+AZ40+AZ39+AZ41-AZ50-AZ53+AZ43-AZ51</f>
        <v>142323</v>
      </c>
      <c r="BA57" s="154">
        <f>BA66-BA49+CF!BA7+BA40+BA39+BA41-BA50-BA53+BA43-BA51</f>
        <v>124614</v>
      </c>
      <c r="BB57" s="289">
        <f>BB66-BB49+CF!BB7+BB40+BB39+BB41-BB50-BB53+BB43-BB51+BB42</f>
        <v>500852</v>
      </c>
      <c r="BC57" s="154">
        <f>BC66-BC49+CF!BC7+BC40+BC39+BC41-BC50-BC53+BC43-BC51</f>
        <v>123505</v>
      </c>
      <c r="BD57" s="154">
        <f>BD66-BD49+CF!BD7+BD40+BD39+BD41-BD50-BD53+BD43-BD51</f>
        <v>133310</v>
      </c>
      <c r="BE57" s="154">
        <f>BE66-BE49+CF!BE7+BE40+BE39+BE41-BE50-BE53+BE43-BE51</f>
        <v>168586</v>
      </c>
      <c r="BF57" s="154">
        <f>BF66-BF49+CF!BF7+BF40+BF39+BF41-BF50-BF53+BF43-BF51</f>
        <v>177744</v>
      </c>
      <c r="BG57" s="289">
        <f>BG66-BG49+CF!BG7+BG40+BG39+BG41-BG50-BG53+BG43-BG51</f>
        <v>603145</v>
      </c>
      <c r="BH57" s="154">
        <f>BH66-BH49+CF!BH7+BH40+BH39+BH41-BH50-BH53+BH43-BH51</f>
        <v>198632</v>
      </c>
      <c r="BI57" s="154">
        <f>BI66-BI49+CF!BI7+BI40+BI39+BI41-BI50-BI53+BI43-BI51-BI52</f>
        <v>195108</v>
      </c>
      <c r="BJ57" s="154">
        <f>BJ66-BJ49+CF!BJ7+BJ40+BJ39+BJ41-BJ53+BJ43-BJ51-BJ52</f>
        <v>210733</v>
      </c>
      <c r="BK57" s="154">
        <f>BK66-BK49+CF!BK7+BK40+BK39+BK41-BK50-BK53+BK43-BK51-BK52</f>
        <v>201028</v>
      </c>
      <c r="BL57" s="289">
        <f>BL66-BL49+CF!BL7+BL40+BL39+BL41-BL50-BL53+BL43-BL51-BL52</f>
        <v>804229</v>
      </c>
      <c r="BM57" s="154">
        <f>BM66-BM49+CF!BM7+BM40+BM39+BM41-BM50-BM53+BM43-BM51</f>
        <v>225237</v>
      </c>
      <c r="BN57" s="154">
        <f>BN66-BN49+CF!BN7+BN40+BN39+BN41-BN50-BN53+BN43-BN51-BN52</f>
        <v>260820</v>
      </c>
      <c r="BO57" s="154">
        <f>BO66-BO49+CF!BO7+BO40+BO39+BO41-BO53+BO43-BO51-BO52</f>
        <v>251021</v>
      </c>
      <c r="BP57" s="154">
        <f>BP66-BP49+CF!BP7+BP40+BP39+BP41-BP50-BP53+BP43-BP51-BP52</f>
        <v>252384</v>
      </c>
      <c r="BQ57" s="289">
        <f>BQ66-BQ49+CF!BQ7+BQ40+BQ39+BQ41-BQ50-BQ53+BQ43-BQ51-BQ52</f>
        <v>989462</v>
      </c>
      <c r="BR57" s="154">
        <f>BR66-BR49+CF!BR7+BR40+BR39+BR41-BR50-BR53+BR43-BR51</f>
        <v>255398</v>
      </c>
      <c r="BS57" s="154">
        <f>BS66-BS49+CF!BS7+BS40+BS39+BS41-BS50-BS53+BS43-BS51-BS52</f>
        <v>267609</v>
      </c>
      <c r="BT57" s="154">
        <f>BT66-BT49+CF!BT7+BT40+BT39+BT41-BT50-BT53+BT43-BT51-BT52</f>
        <v>287451</v>
      </c>
      <c r="BU57" s="154">
        <f>BU66-BU49+CF!BU7+BU40+BU39+BU41-BU50-BU53+BU43-BU51-BU52</f>
        <v>285944.47668309999</v>
      </c>
      <c r="BV57" s="289">
        <f>BV66-BV49+CF!BV7+BV40+BV39+BV41-BV50-BV53+BV43-BV51-BV52</f>
        <v>1096402.4766831002</v>
      </c>
      <c r="BW57" s="154">
        <f>BW66-BW49+CF!BW7+BW40+BW39+BW41-BW50-BW53+BW43-BW51</f>
        <v>277870.71642703196</v>
      </c>
      <c r="BX57" s="154">
        <f>BX66-BX49+CF!BX7+BX40+BX39+BX41-BX50-BX53+BX43-BX51-BX52</f>
        <v>295285.35395506106</v>
      </c>
      <c r="BY57" s="154">
        <f>BY66-BY49+CF!BY7+BY40+BY39+BY41-BY50-BY53+BY43-BY51-BY52</f>
        <v>304169.98854621581</v>
      </c>
      <c r="BZ57" s="154">
        <f>BZ66-BZ49+CF!BZ7+BZ40+BZ39+BZ41-BZ50-BZ53+BZ43-BZ51-BZ52</f>
        <v>306258.48573207867</v>
      </c>
      <c r="CA57" s="289">
        <f>CA66-CA49+CF!CA7+CA40+CA39+CA41-CA50-CA53+CA43-CA51-CA52</f>
        <v>1183584.5446603869</v>
      </c>
    </row>
    <row r="58" spans="1:79" s="975" customFormat="1" ht="12" customHeight="1">
      <c r="A58" s="941"/>
      <c r="B58" s="942"/>
      <c r="C58" s="976" t="s">
        <v>83</v>
      </c>
      <c r="D58" s="977" t="e">
        <f>D57/D13</f>
        <v>#DIV/0!</v>
      </c>
      <c r="E58" s="971" t="e">
        <f>E57/E13</f>
        <v>#DIV/0!</v>
      </c>
      <c r="F58" s="971" t="e">
        <f>F57/F13</f>
        <v>#DIV/0!</v>
      </c>
      <c r="G58" s="971" t="e">
        <f>G57/G13</f>
        <v>#DIV/0!</v>
      </c>
      <c r="H58" s="971" t="e">
        <f>H57/H13</f>
        <v>#DIV/0!</v>
      </c>
      <c r="I58" s="977"/>
      <c r="J58" s="971"/>
      <c r="K58" s="971"/>
      <c r="L58" s="971"/>
      <c r="M58" s="971"/>
      <c r="N58" s="977"/>
      <c r="O58" s="971" t="e">
        <f t="shared" ref="O58:AT58" si="67">O57/O13</f>
        <v>#DIV/0!</v>
      </c>
      <c r="P58" s="971" t="e">
        <f t="shared" si="67"/>
        <v>#DIV/0!</v>
      </c>
      <c r="Q58" s="971" t="e">
        <f t="shared" si="67"/>
        <v>#DIV/0!</v>
      </c>
      <c r="R58" s="971" t="e">
        <f t="shared" si="67"/>
        <v>#DIV/0!</v>
      </c>
      <c r="S58" s="977" t="e">
        <f t="shared" si="67"/>
        <v>#DIV/0!</v>
      </c>
      <c r="T58" s="971" t="e">
        <f t="shared" si="67"/>
        <v>#DIV/0!</v>
      </c>
      <c r="U58" s="971" t="e">
        <f t="shared" si="67"/>
        <v>#DIV/0!</v>
      </c>
      <c r="V58" s="971" t="e">
        <f t="shared" si="67"/>
        <v>#DIV/0!</v>
      </c>
      <c r="W58" s="971" t="e">
        <f t="shared" si="67"/>
        <v>#DIV/0!</v>
      </c>
      <c r="X58" s="977">
        <f t="shared" si="67"/>
        <v>-0.35413863726190808</v>
      </c>
      <c r="Y58" s="978" t="e">
        <f t="shared" si="67"/>
        <v>#DIV/0!</v>
      </c>
      <c r="Z58" s="978" t="e">
        <f t="shared" si="67"/>
        <v>#DIV/0!</v>
      </c>
      <c r="AA58" s="978" t="e">
        <f t="shared" si="67"/>
        <v>#DIV/0!</v>
      </c>
      <c r="AB58" s="978" t="e">
        <f t="shared" si="67"/>
        <v>#DIV/0!</v>
      </c>
      <c r="AC58" s="977">
        <f t="shared" si="67"/>
        <v>-0.13606442632104629</v>
      </c>
      <c r="AD58" s="978">
        <f t="shared" si="67"/>
        <v>-7.9657791326719407E-2</v>
      </c>
      <c r="AE58" s="978">
        <f t="shared" si="67"/>
        <v>1.9355917892674223E-2</v>
      </c>
      <c r="AF58" s="978">
        <f t="shared" si="67"/>
        <v>1.9680064936556677E-2</v>
      </c>
      <c r="AG58" s="978">
        <f t="shared" si="67"/>
        <v>5.3844190389188175E-2</v>
      </c>
      <c r="AH58" s="977">
        <f t="shared" si="67"/>
        <v>7.6662860845817969E-3</v>
      </c>
      <c r="AI58" s="978">
        <f t="shared" si="67"/>
        <v>6.9547134935304997E-2</v>
      </c>
      <c r="AJ58" s="978">
        <f t="shared" si="67"/>
        <v>5.70268911185077E-2</v>
      </c>
      <c r="AK58" s="978">
        <f t="shared" si="67"/>
        <v>3.050704935953135E-2</v>
      </c>
      <c r="AL58" s="971">
        <f t="shared" si="67"/>
        <v>7.1610958684637419E-2</v>
      </c>
      <c r="AM58" s="977">
        <f t="shared" si="67"/>
        <v>5.1664196276868163E-2</v>
      </c>
      <c r="AN58" s="971">
        <f t="shared" si="67"/>
        <v>8.2070648059001133E-2</v>
      </c>
      <c r="AO58" s="971">
        <f t="shared" si="67"/>
        <v>3.0660577559716823E-2</v>
      </c>
      <c r="AP58" s="978">
        <f t="shared" si="67"/>
        <v>0.10115349776755296</v>
      </c>
      <c r="AQ58" s="971">
        <f t="shared" si="67"/>
        <v>0.10831408355917714</v>
      </c>
      <c r="AR58" s="977">
        <f t="shared" si="67"/>
        <v>8.0011622522641851E-2</v>
      </c>
      <c r="AS58" s="971">
        <f t="shared" si="67"/>
        <v>0.11103404855614325</v>
      </c>
      <c r="AT58" s="978">
        <f t="shared" si="67"/>
        <v>0.12933616591030628</v>
      </c>
      <c r="AU58" s="978">
        <f t="shared" ref="AU58:BL58" si="68">AU57/AU13</f>
        <v>0.17909866996759138</v>
      </c>
      <c r="AV58" s="971">
        <f t="shared" si="68"/>
        <v>0.21870373034917776</v>
      </c>
      <c r="AW58" s="977">
        <f t="shared" si="68"/>
        <v>0.10539301206361529</v>
      </c>
      <c r="AX58" s="971">
        <f t="shared" si="68"/>
        <v>0.24142679895454489</v>
      </c>
      <c r="AY58" s="971">
        <f t="shared" si="68"/>
        <v>0.23574956432037886</v>
      </c>
      <c r="AZ58" s="978">
        <f t="shared" si="68"/>
        <v>0.26092145571743636</v>
      </c>
      <c r="BA58" s="971">
        <f t="shared" si="68"/>
        <v>0.21454544202414483</v>
      </c>
      <c r="BB58" s="977">
        <f t="shared" si="68"/>
        <v>0.23768456250032627</v>
      </c>
      <c r="BC58" s="971">
        <f t="shared" si="68"/>
        <v>0.20979561468475874</v>
      </c>
      <c r="BD58" s="978">
        <f t="shared" si="68"/>
        <v>0.21426137605595771</v>
      </c>
      <c r="BE58" s="978">
        <f t="shared" si="68"/>
        <v>0.2611861562940091</v>
      </c>
      <c r="BF58" s="971">
        <f t="shared" si="68"/>
        <v>0.26948221281550572</v>
      </c>
      <c r="BG58" s="977">
        <f t="shared" si="68"/>
        <v>0.23973186693509121</v>
      </c>
      <c r="BH58" s="971">
        <f t="shared" si="68"/>
        <v>0.30032598111849623</v>
      </c>
      <c r="BI58" s="978">
        <f t="shared" si="68"/>
        <v>0.28371628371628371</v>
      </c>
      <c r="BJ58" s="978">
        <f t="shared" si="68"/>
        <v>0.30086619333229586</v>
      </c>
      <c r="BK58" s="971">
        <f t="shared" si="68"/>
        <v>0.28218971175738994</v>
      </c>
      <c r="BL58" s="977">
        <f t="shared" si="68"/>
        <v>0.29118876186600295</v>
      </c>
      <c r="BM58" s="971">
        <f t="shared" ref="BM58:CA58" si="69">BM57/BM13</f>
        <v>0.31739614452398401</v>
      </c>
      <c r="BN58" s="978">
        <f t="shared" si="69"/>
        <v>0.35436200030705395</v>
      </c>
      <c r="BO58" s="978">
        <f t="shared" si="69"/>
        <v>0.33255743091068068</v>
      </c>
      <c r="BP58" s="971">
        <f t="shared" si="69"/>
        <v>0.32513152945177598</v>
      </c>
      <c r="BQ58" s="977">
        <f t="shared" si="69"/>
        <v>0.33239796972458791</v>
      </c>
      <c r="BR58" s="971">
        <f t="shared" si="69"/>
        <v>0.33444203788626786</v>
      </c>
      <c r="BS58" s="978">
        <f t="shared" si="69"/>
        <v>0.33424552480777781</v>
      </c>
      <c r="BT58" s="978">
        <f t="shared" si="69"/>
        <v>0.35125679721390601</v>
      </c>
      <c r="BU58" s="971">
        <f t="shared" si="69"/>
        <v>0.34567232984848811</v>
      </c>
      <c r="BV58" s="977">
        <f t="shared" si="69"/>
        <v>0.34157409794016375</v>
      </c>
      <c r="BW58" s="971">
        <f t="shared" si="69"/>
        <v>0.34461085232923194</v>
      </c>
      <c r="BX58" s="978">
        <f t="shared" si="69"/>
        <v>0.34914043339340123</v>
      </c>
      <c r="BY58" s="978">
        <f t="shared" si="69"/>
        <v>0.35191807860776242</v>
      </c>
      <c r="BZ58" s="971">
        <f t="shared" si="69"/>
        <v>0.3504913904801355</v>
      </c>
      <c r="CA58" s="977">
        <f t="shared" si="69"/>
        <v>0.34911945904705988</v>
      </c>
    </row>
    <row r="59" spans="1:79" ht="7.9" customHeight="1">
      <c r="A59" s="81"/>
      <c r="B59" s="92"/>
      <c r="C59" s="137"/>
      <c r="D59" s="99"/>
      <c r="E59" s="103"/>
      <c r="F59" s="103"/>
      <c r="G59" s="103"/>
      <c r="H59" s="103"/>
      <c r="I59" s="99"/>
      <c r="J59" s="103"/>
      <c r="K59" s="103"/>
      <c r="L59" s="103"/>
      <c r="M59" s="103"/>
      <c r="N59" s="99"/>
      <c r="O59" s="103"/>
      <c r="P59" s="103"/>
      <c r="Q59" s="103"/>
      <c r="R59" s="103"/>
      <c r="S59" s="99"/>
      <c r="T59" s="103"/>
      <c r="U59" s="103"/>
      <c r="V59" s="302"/>
      <c r="W59" s="115"/>
      <c r="X59" s="99"/>
      <c r="Y59" s="154"/>
      <c r="Z59" s="156"/>
      <c r="AA59" s="154"/>
      <c r="AB59" s="156"/>
      <c r="AC59" s="99"/>
      <c r="AD59" s="154"/>
      <c r="AE59" s="156"/>
      <c r="AF59" s="156"/>
      <c r="AG59" s="156"/>
      <c r="AH59" s="99"/>
      <c r="AI59" s="156"/>
      <c r="AJ59" s="156"/>
      <c r="AK59" s="156"/>
      <c r="AL59" s="100"/>
      <c r="AM59" s="99"/>
      <c r="AN59" s="100"/>
      <c r="AO59" s="100"/>
      <c r="AP59" s="156"/>
      <c r="AQ59" s="100"/>
      <c r="AR59" s="99"/>
      <c r="AS59" s="100"/>
      <c r="AT59" s="156"/>
      <c r="AU59" s="156"/>
      <c r="AV59" s="100"/>
      <c r="AW59" s="99"/>
      <c r="AX59" s="100"/>
      <c r="AY59" s="100"/>
      <c r="AZ59" s="156"/>
      <c r="BA59" s="100"/>
      <c r="BB59" s="99"/>
      <c r="BC59" s="100"/>
      <c r="BD59" s="156"/>
      <c r="BE59" s="156"/>
      <c r="BF59" s="100"/>
      <c r="BG59" s="99"/>
      <c r="BH59" s="100"/>
      <c r="BI59" s="156"/>
      <c r="BJ59" s="156"/>
      <c r="BK59" s="100"/>
      <c r="BL59" s="99"/>
      <c r="BM59" s="100"/>
      <c r="BN59" s="156"/>
      <c r="BO59" s="156"/>
      <c r="BP59" s="100"/>
      <c r="BQ59" s="99"/>
      <c r="BR59" s="100"/>
      <c r="BS59" s="156"/>
      <c r="BT59" s="156"/>
      <c r="BU59" s="100"/>
      <c r="BV59" s="99"/>
      <c r="BW59" s="100"/>
      <c r="BX59" s="156"/>
      <c r="BY59" s="156"/>
      <c r="BZ59" s="100"/>
      <c r="CA59" s="99"/>
    </row>
    <row r="60" spans="1:79" ht="14.25" customHeight="1">
      <c r="A60" s="81"/>
      <c r="B60" s="92" t="s">
        <v>82</v>
      </c>
      <c r="C60" s="137"/>
      <c r="D60" s="102">
        <f>D35+D54</f>
        <v>0</v>
      </c>
      <c r="E60" s="103">
        <f>E35+E54</f>
        <v>0</v>
      </c>
      <c r="F60" s="103">
        <f>F35+F54</f>
        <v>0</v>
      </c>
      <c r="G60" s="103">
        <f>G35+G54</f>
        <v>0</v>
      </c>
      <c r="H60" s="103">
        <f>H35+H54</f>
        <v>0</v>
      </c>
      <c r="I60" s="102"/>
      <c r="J60" s="103"/>
      <c r="K60" s="103"/>
      <c r="L60" s="103"/>
      <c r="M60" s="103"/>
      <c r="N60" s="102"/>
      <c r="O60" s="103">
        <f t="shared" ref="O60:AG60" si="70">O35+O54</f>
        <v>0</v>
      </c>
      <c r="P60" s="103">
        <f t="shared" si="70"/>
        <v>0</v>
      </c>
      <c r="Q60" s="103">
        <f t="shared" si="70"/>
        <v>0</v>
      </c>
      <c r="R60" s="103">
        <f t="shared" si="70"/>
        <v>0</v>
      </c>
      <c r="S60" s="102">
        <f t="shared" si="70"/>
        <v>0</v>
      </c>
      <c r="T60" s="103">
        <f t="shared" si="70"/>
        <v>0</v>
      </c>
      <c r="U60" s="103">
        <f t="shared" si="70"/>
        <v>0</v>
      </c>
      <c r="V60" s="115">
        <f t="shared" si="70"/>
        <v>0</v>
      </c>
      <c r="W60" s="115">
        <f t="shared" si="70"/>
        <v>0</v>
      </c>
      <c r="X60" s="102">
        <f t="shared" si="70"/>
        <v>-86998</v>
      </c>
      <c r="Y60" s="154">
        <f t="shared" si="70"/>
        <v>0</v>
      </c>
      <c r="Z60" s="154">
        <f t="shared" si="70"/>
        <v>0</v>
      </c>
      <c r="AA60" s="154">
        <f t="shared" si="70"/>
        <v>0</v>
      </c>
      <c r="AB60" s="154">
        <f t="shared" si="70"/>
        <v>0</v>
      </c>
      <c r="AC60" s="102">
        <f t="shared" si="70"/>
        <v>-69288</v>
      </c>
      <c r="AD60" s="154">
        <f t="shared" si="70"/>
        <v>-8582</v>
      </c>
      <c r="AE60" s="154">
        <f t="shared" si="70"/>
        <v>-1048</v>
      </c>
      <c r="AF60" s="154">
        <f t="shared" si="70"/>
        <v>-4421</v>
      </c>
      <c r="AG60" s="154">
        <f t="shared" si="70"/>
        <v>4699</v>
      </c>
      <c r="AH60" s="102">
        <f>SUM(AD60:AG60)</f>
        <v>-9352</v>
      </c>
      <c r="AI60" s="154">
        <f>AI35+AI54</f>
        <v>2248</v>
      </c>
      <c r="AJ60" s="154">
        <f>AJ35+AJ54</f>
        <v>7164</v>
      </c>
      <c r="AK60" s="154">
        <f>+AK35+AK54</f>
        <v>2098</v>
      </c>
      <c r="AL60" s="103">
        <f>AL35+AL54</f>
        <v>11365</v>
      </c>
      <c r="AM60" s="102">
        <f>AM35+AM54</f>
        <v>22875</v>
      </c>
      <c r="AN60" s="103">
        <f>AN35+AN54</f>
        <v>14837</v>
      </c>
      <c r="AO60" s="103">
        <f>AO35+AO54</f>
        <v>3160</v>
      </c>
      <c r="AP60" s="154">
        <f>+AP35+AP54</f>
        <v>21970</v>
      </c>
      <c r="AQ60" s="103">
        <f t="shared" ref="AQ60:BG60" si="71">AQ35+AQ54</f>
        <v>23707</v>
      </c>
      <c r="AR60" s="102">
        <f t="shared" si="71"/>
        <v>63674</v>
      </c>
      <c r="AS60" s="103">
        <f t="shared" si="71"/>
        <v>26223</v>
      </c>
      <c r="AT60" s="154">
        <f t="shared" si="71"/>
        <v>35598</v>
      </c>
      <c r="AU60" s="154">
        <f t="shared" si="71"/>
        <v>48066</v>
      </c>
      <c r="AV60" s="103">
        <f t="shared" si="71"/>
        <v>76873</v>
      </c>
      <c r="AW60" s="102">
        <f t="shared" si="71"/>
        <v>186760</v>
      </c>
      <c r="AX60" s="103">
        <f t="shared" si="71"/>
        <v>93776</v>
      </c>
      <c r="AY60" s="103">
        <f t="shared" si="71"/>
        <v>98098</v>
      </c>
      <c r="AZ60" s="154">
        <f t="shared" si="71"/>
        <v>120987</v>
      </c>
      <c r="BA60" s="103">
        <f t="shared" si="71"/>
        <v>100876</v>
      </c>
      <c r="BB60" s="102">
        <f t="shared" si="71"/>
        <v>413737</v>
      </c>
      <c r="BC60" s="103">
        <f t="shared" si="71"/>
        <v>96849</v>
      </c>
      <c r="BD60" s="154">
        <f t="shared" si="71"/>
        <v>112647</v>
      </c>
      <c r="BE60" s="154">
        <f t="shared" si="71"/>
        <v>147660</v>
      </c>
      <c r="BF60" s="103">
        <f>BF35+BF54</f>
        <v>166543</v>
      </c>
      <c r="BG60" s="102">
        <f t="shared" si="71"/>
        <v>523699</v>
      </c>
      <c r="BH60" s="103">
        <f t="shared" ref="BH60:CA60" si="72">BH35+BH54</f>
        <v>187767</v>
      </c>
      <c r="BI60" s="154">
        <f t="shared" si="72"/>
        <v>186982</v>
      </c>
      <c r="BJ60" s="154">
        <f t="shared" si="72"/>
        <v>204777</v>
      </c>
      <c r="BK60" s="103">
        <f t="shared" si="72"/>
        <v>199060</v>
      </c>
      <c r="BL60" s="102">
        <f t="shared" si="72"/>
        <v>778586</v>
      </c>
      <c r="BM60" s="103">
        <f t="shared" si="72"/>
        <v>216054</v>
      </c>
      <c r="BN60" s="154">
        <f t="shared" si="72"/>
        <v>251242</v>
      </c>
      <c r="BO60" s="154">
        <f t="shared" si="72"/>
        <v>235620</v>
      </c>
      <c r="BP60" s="103">
        <f t="shared" si="72"/>
        <v>231095</v>
      </c>
      <c r="BQ60" s="102">
        <f t="shared" si="72"/>
        <v>934011</v>
      </c>
      <c r="BR60" s="103">
        <f t="shared" si="72"/>
        <v>238564</v>
      </c>
      <c r="BS60" s="154">
        <f t="shared" si="72"/>
        <v>249962</v>
      </c>
      <c r="BT60" s="154">
        <f t="shared" si="72"/>
        <v>267226</v>
      </c>
      <c r="BU60" s="103">
        <f t="shared" si="72"/>
        <v>245851.53268309997</v>
      </c>
      <c r="BV60" s="102">
        <f t="shared" si="72"/>
        <v>1001603.5326831003</v>
      </c>
      <c r="BW60" s="103">
        <f t="shared" si="72"/>
        <v>239766.11027999996</v>
      </c>
      <c r="BX60" s="154">
        <f t="shared" si="72"/>
        <v>257880.6812799999</v>
      </c>
      <c r="BY60" s="154">
        <f t="shared" si="72"/>
        <v>268940.44579999999</v>
      </c>
      <c r="BZ60" s="103">
        <f t="shared" si="72"/>
        <v>272072.58133248985</v>
      </c>
      <c r="CA60" s="102">
        <f t="shared" si="72"/>
        <v>1038659.8186924891</v>
      </c>
    </row>
    <row r="61" spans="1:79" ht="14.25" customHeight="1">
      <c r="A61" s="75"/>
      <c r="B61" s="74"/>
      <c r="C61" s="137" t="s">
        <v>78</v>
      </c>
      <c r="D61" s="71"/>
      <c r="E61" s="113"/>
      <c r="F61" s="113"/>
      <c r="G61" s="114"/>
      <c r="H61" s="113"/>
      <c r="I61" s="71"/>
      <c r="J61" s="72"/>
      <c r="K61" s="113"/>
      <c r="L61" s="114"/>
      <c r="M61" s="113"/>
      <c r="N61" s="71"/>
      <c r="O61" s="113"/>
      <c r="P61" s="113"/>
      <c r="Q61" s="114"/>
      <c r="R61" s="113"/>
      <c r="S61" s="71"/>
      <c r="T61" s="72"/>
      <c r="U61" s="72"/>
      <c r="V61" s="83"/>
      <c r="W61" s="83"/>
      <c r="X61" s="71">
        <f>X67</f>
        <v>-1033</v>
      </c>
      <c r="Y61" s="113"/>
      <c r="Z61" s="113"/>
      <c r="AA61" s="113"/>
      <c r="AB61" s="113"/>
      <c r="AC61" s="71">
        <f>AC67</f>
        <v>356</v>
      </c>
      <c r="AD61" s="113">
        <f>AD67</f>
        <v>-143</v>
      </c>
      <c r="AE61" s="113">
        <f>AE67</f>
        <v>121</v>
      </c>
      <c r="AF61" s="113">
        <f>AF67</f>
        <v>783</v>
      </c>
      <c r="AG61" s="113">
        <f>AG67</f>
        <v>2373</v>
      </c>
      <c r="AH61" s="71">
        <f>SUM(AD61:AG61)</f>
        <v>3134</v>
      </c>
      <c r="AI61" s="72">
        <f>AI67</f>
        <v>708</v>
      </c>
      <c r="AJ61" s="72">
        <f>AJ67</f>
        <v>1945</v>
      </c>
      <c r="AK61" s="113">
        <f>AK67+7369</f>
        <v>1657</v>
      </c>
      <c r="AL61" s="113">
        <f>AL67-289</f>
        <v>1020</v>
      </c>
      <c r="AM61" s="71">
        <f>SUM(AI61:AL61)</f>
        <v>5330</v>
      </c>
      <c r="AN61" s="72">
        <f>AN67</f>
        <v>1346</v>
      </c>
      <c r="AO61" s="72">
        <f>AO67</f>
        <v>1168</v>
      </c>
      <c r="AP61" s="113">
        <f>AP67</f>
        <v>1038</v>
      </c>
      <c r="AQ61" s="113">
        <f>AQ67</f>
        <v>1251</v>
      </c>
      <c r="AR61" s="71">
        <f>SUM(AN61:AQ61)</f>
        <v>4803</v>
      </c>
      <c r="AS61" s="72">
        <v>2133</v>
      </c>
      <c r="AT61" s="113">
        <f>AT67</f>
        <v>842</v>
      </c>
      <c r="AU61" s="113">
        <v>1941</v>
      </c>
      <c r="AV61" s="72">
        <f>8859-9294</f>
        <v>-435</v>
      </c>
      <c r="AW61" s="71">
        <f>SUM(AS61:AV61)</f>
        <v>4481</v>
      </c>
      <c r="AX61" s="72">
        <v>1982</v>
      </c>
      <c r="AY61" s="72">
        <v>158</v>
      </c>
      <c r="AZ61" s="72">
        <v>-107</v>
      </c>
      <c r="BA61" s="836">
        <v>1029</v>
      </c>
      <c r="BB61" s="71">
        <f>SUM(AX61:BA61)</f>
        <v>3062</v>
      </c>
      <c r="BC61" s="836">
        <f>BC67+17522</f>
        <v>19370</v>
      </c>
      <c r="BD61" s="836">
        <f>BD67+19171</f>
        <v>22530</v>
      </c>
      <c r="BE61" s="836">
        <f>BE67+27733</f>
        <v>29532</v>
      </c>
      <c r="BF61" s="836">
        <f>BF67+32742</f>
        <v>33309</v>
      </c>
      <c r="BG61" s="71">
        <f>SUM(BC61:BF61)</f>
        <v>104741</v>
      </c>
      <c r="BH61" s="836">
        <f>BH67+32464</f>
        <v>37553</v>
      </c>
      <c r="BI61" s="836">
        <f>BI67+22325</f>
        <v>37405</v>
      </c>
      <c r="BJ61" s="836">
        <f>BJ67+43922</f>
        <v>40951</v>
      </c>
      <c r="BK61" s="836">
        <f>BK67+37311</f>
        <v>39812</v>
      </c>
      <c r="BL61" s="71">
        <f>SUM(BH61:BK61)</f>
        <v>155721</v>
      </c>
      <c r="BM61" s="836">
        <f>BM67+40378</f>
        <v>43211</v>
      </c>
      <c r="BN61" s="836">
        <f>BN67+866572</f>
        <v>50248</v>
      </c>
      <c r="BO61" s="836">
        <f>BO67+37973</f>
        <v>47124</v>
      </c>
      <c r="BP61" s="836">
        <f>BP67+61823</f>
        <v>46219</v>
      </c>
      <c r="BQ61" s="71">
        <f>SUM(BM61:BP61)</f>
        <v>186802</v>
      </c>
      <c r="BR61" s="836">
        <f>BR67+46010</f>
        <v>47713</v>
      </c>
      <c r="BS61" s="836">
        <f>BS67+41387</f>
        <v>54877</v>
      </c>
      <c r="BT61" s="836">
        <f>BT67+44313</f>
        <v>56117</v>
      </c>
      <c r="BU61" s="836">
        <f>BU60*BU62</f>
        <v>49170.306536619995</v>
      </c>
      <c r="BV61" s="71">
        <f>SUM(BR61:BU61)</f>
        <v>207877.30653661999</v>
      </c>
      <c r="BW61" s="836">
        <f>BW60*BW62</f>
        <v>47953.222055999999</v>
      </c>
      <c r="BX61" s="836">
        <f>BX60*BX62</f>
        <v>51576.136255999983</v>
      </c>
      <c r="BY61" s="836">
        <f>BY60*BY62</f>
        <v>53788.089160000003</v>
      </c>
      <c r="BZ61" s="836">
        <f>BZ60*BZ62</f>
        <v>54414.516266497973</v>
      </c>
      <c r="CA61" s="71">
        <f>SUM(BW61:BZ61)</f>
        <v>207731.96373849793</v>
      </c>
    </row>
    <row r="62" spans="1:79" s="82" customFormat="1" ht="14.25" customHeight="1" thickBot="1">
      <c r="A62" s="90"/>
      <c r="B62" s="247"/>
      <c r="C62" s="132" t="s">
        <v>77</v>
      </c>
      <c r="D62" s="86" t="e">
        <f>D61/D60</f>
        <v>#DIV/0!</v>
      </c>
      <c r="E62" s="94" t="e">
        <f>E61/E60</f>
        <v>#DIV/0!</v>
      </c>
      <c r="F62" s="94" t="e">
        <f>F61/F60</f>
        <v>#DIV/0!</v>
      </c>
      <c r="G62" s="94" t="e">
        <f>G61/G60</f>
        <v>#DIV/0!</v>
      </c>
      <c r="H62" s="94" t="e">
        <f>H61/H60</f>
        <v>#DIV/0!</v>
      </c>
      <c r="I62" s="86"/>
      <c r="J62" s="94"/>
      <c r="K62" s="94"/>
      <c r="L62" s="94"/>
      <c r="M62" s="94"/>
      <c r="N62" s="86"/>
      <c r="O62" s="94" t="e">
        <f t="shared" ref="O62:X62" si="73">O61/O60</f>
        <v>#DIV/0!</v>
      </c>
      <c r="P62" s="94" t="e">
        <f t="shared" si="73"/>
        <v>#DIV/0!</v>
      </c>
      <c r="Q62" s="94" t="e">
        <f t="shared" si="73"/>
        <v>#DIV/0!</v>
      </c>
      <c r="R62" s="94" t="e">
        <f t="shared" si="73"/>
        <v>#DIV/0!</v>
      </c>
      <c r="S62" s="86" t="e">
        <f t="shared" si="73"/>
        <v>#DIV/0!</v>
      </c>
      <c r="T62" s="112" t="e">
        <f t="shared" si="73"/>
        <v>#DIV/0!</v>
      </c>
      <c r="U62" s="112" t="e">
        <f t="shared" si="73"/>
        <v>#DIV/0!</v>
      </c>
      <c r="V62" s="112" t="e">
        <f t="shared" si="73"/>
        <v>#DIV/0!</v>
      </c>
      <c r="W62" s="112" t="e">
        <f t="shared" si="73"/>
        <v>#DIV/0!</v>
      </c>
      <c r="X62" s="86">
        <f t="shared" si="73"/>
        <v>1.1873836180142072E-2</v>
      </c>
      <c r="Y62" s="153" t="e">
        <f>Y61/Y60</f>
        <v>#DIV/0!</v>
      </c>
      <c r="Z62" s="153" t="e">
        <f t="shared" ref="Z62:AQ62" si="74">Z61/Z60</f>
        <v>#DIV/0!</v>
      </c>
      <c r="AA62" s="153" t="e">
        <f t="shared" si="74"/>
        <v>#DIV/0!</v>
      </c>
      <c r="AB62" s="153" t="e">
        <f t="shared" si="74"/>
        <v>#DIV/0!</v>
      </c>
      <c r="AC62" s="86">
        <f t="shared" si="74"/>
        <v>-5.1379748296963403E-3</v>
      </c>
      <c r="AD62" s="94">
        <f t="shared" si="74"/>
        <v>1.6662782568165928E-2</v>
      </c>
      <c r="AE62" s="94">
        <f t="shared" si="74"/>
        <v>-0.11545801526717557</v>
      </c>
      <c r="AF62" s="153">
        <f t="shared" si="74"/>
        <v>-0.17710925130061073</v>
      </c>
      <c r="AG62" s="153">
        <f t="shared" si="74"/>
        <v>0.50500106405618217</v>
      </c>
      <c r="AH62" s="86">
        <f t="shared" si="74"/>
        <v>-0.33511548331907615</v>
      </c>
      <c r="AI62" s="153">
        <f t="shared" si="74"/>
        <v>0.31494661921708184</v>
      </c>
      <c r="AJ62" s="94">
        <f t="shared" si="74"/>
        <v>0.27149637074260191</v>
      </c>
      <c r="AK62" s="94">
        <f t="shared" si="74"/>
        <v>0.78979980934223071</v>
      </c>
      <c r="AL62" s="94">
        <f t="shared" si="74"/>
        <v>8.9749230092388915E-2</v>
      </c>
      <c r="AM62" s="86">
        <f>AM61/AM60</f>
        <v>0.23300546448087431</v>
      </c>
      <c r="AN62" s="94">
        <f t="shared" si="74"/>
        <v>9.0719148075756553E-2</v>
      </c>
      <c r="AO62" s="94">
        <f t="shared" si="74"/>
        <v>0.36962025316455699</v>
      </c>
      <c r="AP62" s="94">
        <f t="shared" si="74"/>
        <v>4.7246244879380977E-2</v>
      </c>
      <c r="AQ62" s="94">
        <f t="shared" si="74"/>
        <v>5.2769224279748596E-2</v>
      </c>
      <c r="AR62" s="86">
        <f t="shared" ref="AR62:AW62" si="75">AR61/AR60</f>
        <v>7.5431102176712631E-2</v>
      </c>
      <c r="AS62" s="94">
        <f t="shared" si="75"/>
        <v>8.1340807687907565E-2</v>
      </c>
      <c r="AT62" s="94">
        <f t="shared" si="75"/>
        <v>2.36530142142817E-2</v>
      </c>
      <c r="AU62" s="94">
        <f t="shared" si="75"/>
        <v>4.0381974784671079E-2</v>
      </c>
      <c r="AV62" s="94">
        <f t="shared" si="75"/>
        <v>-5.6586838031558546E-3</v>
      </c>
      <c r="AW62" s="86">
        <f t="shared" si="75"/>
        <v>2.3993360462625828E-2</v>
      </c>
      <c r="AX62" s="94">
        <f t="shared" ref="AX62:BD62" si="76">AX61/AX60</f>
        <v>2.1135471762497866E-2</v>
      </c>
      <c r="AY62" s="94">
        <f t="shared" si="76"/>
        <v>1.6106342636954881E-3</v>
      </c>
      <c r="AZ62" s="94">
        <f t="shared" si="76"/>
        <v>-8.8439253804127713E-4</v>
      </c>
      <c r="BA62" s="94">
        <f t="shared" si="76"/>
        <v>1.0200642372814149E-2</v>
      </c>
      <c r="BB62" s="86">
        <f t="shared" si="76"/>
        <v>7.4008367634511782E-3</v>
      </c>
      <c r="BC62" s="94">
        <f t="shared" si="76"/>
        <v>0.20000206507036727</v>
      </c>
      <c r="BD62" s="94">
        <f t="shared" si="76"/>
        <v>0.20000532637353857</v>
      </c>
      <c r="BE62" s="94">
        <f t="shared" ref="BE62:BM62" si="77">BE61/BE60</f>
        <v>0.2</v>
      </c>
      <c r="BF62" s="94">
        <f t="shared" si="77"/>
        <v>0.20000240178212234</v>
      </c>
      <c r="BG62" s="86">
        <f>BG61/BG60</f>
        <v>0.20000229139257475</v>
      </c>
      <c r="BH62" s="94">
        <f t="shared" si="77"/>
        <v>0.19999786970021358</v>
      </c>
      <c r="BI62" s="94">
        <f t="shared" si="77"/>
        <v>0.20004599373201698</v>
      </c>
      <c r="BJ62" s="94">
        <f t="shared" si="77"/>
        <v>0.19997851321193297</v>
      </c>
      <c r="BK62" s="94">
        <f t="shared" si="77"/>
        <v>0.2</v>
      </c>
      <c r="BL62" s="86">
        <f>BL61/BL60</f>
        <v>0.20000488064260083</v>
      </c>
      <c r="BM62" s="94">
        <f t="shared" si="77"/>
        <v>0.20000092569450231</v>
      </c>
      <c r="BN62" s="94">
        <f t="shared" ref="BN62:BT62" si="78">BN61/BN60</f>
        <v>0.19999840790950557</v>
      </c>
      <c r="BO62" s="94">
        <f t="shared" si="78"/>
        <v>0.2</v>
      </c>
      <c r="BP62" s="94">
        <f t="shared" si="78"/>
        <v>0.2</v>
      </c>
      <c r="BQ62" s="86">
        <f t="shared" si="78"/>
        <v>0.19999978586975956</v>
      </c>
      <c r="BR62" s="94">
        <f t="shared" si="78"/>
        <v>0.20000083834945759</v>
      </c>
      <c r="BS62" s="94">
        <f t="shared" si="78"/>
        <v>0.21954137028828383</v>
      </c>
      <c r="BT62" s="94">
        <f t="shared" si="78"/>
        <v>0.20999827861061424</v>
      </c>
      <c r="BU62" s="1148">
        <v>0.2</v>
      </c>
      <c r="BV62" s="86">
        <f>BV61/BV60</f>
        <v>0.20754450214423392</v>
      </c>
      <c r="BW62" s="1148">
        <v>0.2</v>
      </c>
      <c r="BX62" s="1148">
        <v>0.2</v>
      </c>
      <c r="BY62" s="1148">
        <v>0.2</v>
      </c>
      <c r="BZ62" s="1148">
        <v>0.2</v>
      </c>
      <c r="CA62" s="86">
        <f>CA61/CA60</f>
        <v>0.20000000000000012</v>
      </c>
    </row>
    <row r="63" spans="1:79" ht="14.25" customHeight="1" thickBot="1">
      <c r="A63" s="81"/>
      <c r="B63" s="204" t="s">
        <v>81</v>
      </c>
      <c r="C63" s="205"/>
      <c r="D63" s="219">
        <f>D60-D61</f>
        <v>0</v>
      </c>
      <c r="E63" s="188">
        <f>E60-E61</f>
        <v>0</v>
      </c>
      <c r="F63" s="110">
        <f>F60-F61</f>
        <v>0</v>
      </c>
      <c r="G63" s="110">
        <f>G60-G61</f>
        <v>0</v>
      </c>
      <c r="H63" s="188">
        <f>H60-H61</f>
        <v>0</v>
      </c>
      <c r="I63" s="219"/>
      <c r="J63" s="188"/>
      <c r="K63" s="110"/>
      <c r="L63" s="110"/>
      <c r="M63" s="110"/>
      <c r="N63" s="219"/>
      <c r="O63" s="188">
        <f>O60-O61</f>
        <v>0</v>
      </c>
      <c r="P63" s="110">
        <f t="shared" ref="P63:AC63" si="79">P60-P61</f>
        <v>0</v>
      </c>
      <c r="Q63" s="110">
        <f t="shared" si="79"/>
        <v>0</v>
      </c>
      <c r="R63" s="188">
        <f>R60-R61</f>
        <v>0</v>
      </c>
      <c r="S63" s="219">
        <f t="shared" si="79"/>
        <v>0</v>
      </c>
      <c r="T63" s="188">
        <f>T60-T61</f>
        <v>0</v>
      </c>
      <c r="U63" s="110">
        <f t="shared" si="79"/>
        <v>0</v>
      </c>
      <c r="V63" s="111">
        <f>V60-V61</f>
        <v>0</v>
      </c>
      <c r="W63" s="343">
        <f>W60-W61</f>
        <v>0</v>
      </c>
      <c r="X63" s="129">
        <f t="shared" si="79"/>
        <v>-85965</v>
      </c>
      <c r="Y63" s="254">
        <f t="shared" si="79"/>
        <v>0</v>
      </c>
      <c r="Z63" s="158">
        <f>Z60-Z61</f>
        <v>0</v>
      </c>
      <c r="AA63" s="158">
        <f t="shared" si="79"/>
        <v>0</v>
      </c>
      <c r="AB63" s="254">
        <f>AB60-AB61</f>
        <v>0</v>
      </c>
      <c r="AC63" s="129">
        <f t="shared" si="79"/>
        <v>-69644</v>
      </c>
      <c r="AD63" s="296">
        <f t="shared" ref="AD63:AM63" si="80">AD60-AD61</f>
        <v>-8439</v>
      </c>
      <c r="AE63" s="254">
        <f>AE60-AE61</f>
        <v>-1169</v>
      </c>
      <c r="AF63" s="254">
        <f t="shared" si="80"/>
        <v>-5204</v>
      </c>
      <c r="AG63" s="411">
        <f>AG60-AG61</f>
        <v>2326</v>
      </c>
      <c r="AH63" s="129">
        <f>AH60-AH61</f>
        <v>-12486</v>
      </c>
      <c r="AI63" s="254">
        <f t="shared" si="80"/>
        <v>1540</v>
      </c>
      <c r="AJ63" s="158">
        <f t="shared" si="80"/>
        <v>5219</v>
      </c>
      <c r="AK63" s="158">
        <f>AK60-AK61</f>
        <v>441</v>
      </c>
      <c r="AL63" s="110">
        <f t="shared" si="80"/>
        <v>10345</v>
      </c>
      <c r="AM63" s="129">
        <f t="shared" si="80"/>
        <v>17545</v>
      </c>
      <c r="AN63" s="188">
        <f t="shared" ref="AN63:AW63" si="81">AN60-AN61</f>
        <v>13491</v>
      </c>
      <c r="AO63" s="158">
        <f t="shared" si="81"/>
        <v>1992</v>
      </c>
      <c r="AP63" s="158">
        <f>AP60-AP61</f>
        <v>20932</v>
      </c>
      <c r="AQ63" s="110">
        <f t="shared" si="81"/>
        <v>22456</v>
      </c>
      <c r="AR63" s="129">
        <f t="shared" si="81"/>
        <v>58871</v>
      </c>
      <c r="AS63" s="254">
        <f t="shared" si="81"/>
        <v>24090</v>
      </c>
      <c r="AT63" s="158">
        <f>AT60-AT61</f>
        <v>34756</v>
      </c>
      <c r="AU63" s="158">
        <f t="shared" si="81"/>
        <v>46125</v>
      </c>
      <c r="AV63" s="110">
        <f t="shared" si="81"/>
        <v>77308</v>
      </c>
      <c r="AW63" s="129">
        <f t="shared" si="81"/>
        <v>182279</v>
      </c>
      <c r="AX63" s="110">
        <f t="shared" ref="AX63:CA63" si="82">AX60-AX61</f>
        <v>91794</v>
      </c>
      <c r="AY63" s="110">
        <f t="shared" si="82"/>
        <v>97940</v>
      </c>
      <c r="AZ63" s="158">
        <f t="shared" si="82"/>
        <v>121094</v>
      </c>
      <c r="BA63" s="110">
        <f t="shared" si="82"/>
        <v>99847</v>
      </c>
      <c r="BB63" s="282">
        <f t="shared" si="82"/>
        <v>410675</v>
      </c>
      <c r="BC63" s="254">
        <f t="shared" si="82"/>
        <v>77479</v>
      </c>
      <c r="BD63" s="158">
        <f t="shared" si="82"/>
        <v>90117</v>
      </c>
      <c r="BE63" s="158">
        <f t="shared" si="82"/>
        <v>118128</v>
      </c>
      <c r="BF63" s="110">
        <f t="shared" si="82"/>
        <v>133234</v>
      </c>
      <c r="BG63" s="129">
        <f t="shared" si="82"/>
        <v>418958</v>
      </c>
      <c r="BH63" s="254">
        <f t="shared" si="82"/>
        <v>150214</v>
      </c>
      <c r="BI63" s="158">
        <f t="shared" si="82"/>
        <v>149577</v>
      </c>
      <c r="BJ63" s="158">
        <f t="shared" si="82"/>
        <v>163826</v>
      </c>
      <c r="BK63" s="110">
        <f t="shared" si="82"/>
        <v>159248</v>
      </c>
      <c r="BL63" s="129">
        <f t="shared" si="82"/>
        <v>622865</v>
      </c>
      <c r="BM63" s="254">
        <f t="shared" si="82"/>
        <v>172843</v>
      </c>
      <c r="BN63" s="158">
        <f t="shared" si="82"/>
        <v>200994</v>
      </c>
      <c r="BO63" s="158">
        <f t="shared" si="82"/>
        <v>188496</v>
      </c>
      <c r="BP63" s="110">
        <f t="shared" si="82"/>
        <v>184876</v>
      </c>
      <c r="BQ63" s="129">
        <f t="shared" si="82"/>
        <v>747209</v>
      </c>
      <c r="BR63" s="254">
        <f t="shared" si="82"/>
        <v>190851</v>
      </c>
      <c r="BS63" s="158">
        <f t="shared" si="82"/>
        <v>195085</v>
      </c>
      <c r="BT63" s="158">
        <f t="shared" si="82"/>
        <v>211109</v>
      </c>
      <c r="BU63" s="110">
        <f t="shared" si="82"/>
        <v>196681.22614647998</v>
      </c>
      <c r="BV63" s="129">
        <f t="shared" si="82"/>
        <v>793726.2261464803</v>
      </c>
      <c r="BW63" s="254">
        <f t="shared" si="82"/>
        <v>191812.88822399997</v>
      </c>
      <c r="BX63" s="158">
        <f t="shared" si="82"/>
        <v>206304.54502399993</v>
      </c>
      <c r="BY63" s="158">
        <f t="shared" si="82"/>
        <v>215152.35663999998</v>
      </c>
      <c r="BZ63" s="110">
        <f t="shared" si="82"/>
        <v>217658.06506599189</v>
      </c>
      <c r="CA63" s="129">
        <f t="shared" si="82"/>
        <v>830927.85495399113</v>
      </c>
    </row>
    <row r="64" spans="1:79" s="973" customFormat="1" ht="15" customHeight="1">
      <c r="A64" s="941"/>
      <c r="B64" s="942"/>
      <c r="C64" s="943" t="s">
        <v>80</v>
      </c>
      <c r="D64" s="970" t="e">
        <f>D63/D13</f>
        <v>#DIV/0!</v>
      </c>
      <c r="E64" s="945" t="e">
        <f>E63/E13</f>
        <v>#DIV/0!</v>
      </c>
      <c r="F64" s="945" t="e">
        <f>F63/F13</f>
        <v>#DIV/0!</v>
      </c>
      <c r="G64" s="945" t="e">
        <f>G63/G13</f>
        <v>#DIV/0!</v>
      </c>
      <c r="H64" s="945" t="e">
        <f>H63/H13</f>
        <v>#DIV/0!</v>
      </c>
      <c r="I64" s="970"/>
      <c r="J64" s="945"/>
      <c r="K64" s="945"/>
      <c r="L64" s="945"/>
      <c r="M64" s="945"/>
      <c r="N64" s="970"/>
      <c r="O64" s="945" t="e">
        <f t="shared" ref="O64:AT64" si="83">O63/O13</f>
        <v>#DIV/0!</v>
      </c>
      <c r="P64" s="945" t="e">
        <f t="shared" si="83"/>
        <v>#DIV/0!</v>
      </c>
      <c r="Q64" s="945" t="e">
        <f t="shared" si="83"/>
        <v>#DIV/0!</v>
      </c>
      <c r="R64" s="945" t="e">
        <f t="shared" si="83"/>
        <v>#DIV/0!</v>
      </c>
      <c r="S64" s="970" t="e">
        <f t="shared" si="83"/>
        <v>#DIV/0!</v>
      </c>
      <c r="T64" s="945" t="e">
        <f t="shared" si="83"/>
        <v>#DIV/0!</v>
      </c>
      <c r="U64" s="945" t="e">
        <f t="shared" si="83"/>
        <v>#DIV/0!</v>
      </c>
      <c r="V64" s="945" t="e">
        <f t="shared" si="83"/>
        <v>#DIV/0!</v>
      </c>
      <c r="W64" s="945" t="e">
        <f t="shared" si="83"/>
        <v>#DIV/0!</v>
      </c>
      <c r="X64" s="970">
        <f t="shared" si="83"/>
        <v>-0.34319968380835275</v>
      </c>
      <c r="Y64" s="953" t="e">
        <f t="shared" si="83"/>
        <v>#DIV/0!</v>
      </c>
      <c r="Z64" s="953" t="e">
        <f t="shared" si="83"/>
        <v>#DIV/0!</v>
      </c>
      <c r="AA64" s="953" t="e">
        <f t="shared" si="83"/>
        <v>#DIV/0!</v>
      </c>
      <c r="AB64" s="953" t="e">
        <f t="shared" si="83"/>
        <v>#DIV/0!</v>
      </c>
      <c r="AC64" s="970">
        <f t="shared" si="83"/>
        <v>-0.18257270112908597</v>
      </c>
      <c r="AD64" s="953">
        <f t="shared" si="83"/>
        <v>-7.4353733105429171E-2</v>
      </c>
      <c r="AE64" s="953">
        <f t="shared" si="83"/>
        <v>-9.3115506240889576E-3</v>
      </c>
      <c r="AF64" s="953">
        <f t="shared" si="83"/>
        <v>-3.9850217093323329E-2</v>
      </c>
      <c r="AG64" s="953">
        <f t="shared" si="83"/>
        <v>1.5623950454746967E-2</v>
      </c>
      <c r="AH64" s="970">
        <f t="shared" si="83"/>
        <v>-2.4080817120022219E-2</v>
      </c>
      <c r="AI64" s="953">
        <f t="shared" si="83"/>
        <v>9.8839597453275821E-3</v>
      </c>
      <c r="AJ64" s="953">
        <f t="shared" si="83"/>
        <v>3.1243265247479706E-2</v>
      </c>
      <c r="AK64" s="953">
        <f t="shared" si="83"/>
        <v>2.4721809569190237E-3</v>
      </c>
      <c r="AL64" s="945">
        <f t="shared" si="83"/>
        <v>5.1794404502032723E-2</v>
      </c>
      <c r="AM64" s="970">
        <f t="shared" si="83"/>
        <v>2.5029637544598977E-2</v>
      </c>
      <c r="AN64" s="945">
        <f t="shared" si="83"/>
        <v>6.3053252446696142E-2</v>
      </c>
      <c r="AO64" s="953">
        <f t="shared" si="83"/>
        <v>8.4545778653039739E-3</v>
      </c>
      <c r="AP64" s="953">
        <f t="shared" si="83"/>
        <v>8.3895119077201791E-2</v>
      </c>
      <c r="AQ64" s="945">
        <f t="shared" si="83"/>
        <v>8.1689372305789487E-2</v>
      </c>
      <c r="AR64" s="970">
        <f t="shared" si="83"/>
        <v>6.0444304809896807E-2</v>
      </c>
      <c r="AS64" s="953">
        <f t="shared" si="83"/>
        <v>8.1106468653309408E-2</v>
      </c>
      <c r="AT64" s="953">
        <f t="shared" si="83"/>
        <v>0.1015636643104068</v>
      </c>
      <c r="AU64" s="953">
        <f t="shared" ref="AU64:BL64" si="84">AU63/AU13</f>
        <v>0.12045502620631302</v>
      </c>
      <c r="AV64" s="945">
        <f t="shared" si="84"/>
        <v>0.17941136881582184</v>
      </c>
      <c r="AW64" s="970">
        <f t="shared" si="84"/>
        <v>0.12544604544794491</v>
      </c>
      <c r="AX64" s="945">
        <f t="shared" si="84"/>
        <v>0.19569026899577469</v>
      </c>
      <c r="AY64" s="945">
        <f t="shared" si="84"/>
        <v>0.19134736364986207</v>
      </c>
      <c r="AZ64" s="953">
        <f t="shared" si="84"/>
        <v>0.22200222563216937</v>
      </c>
      <c r="BA64" s="945">
        <f t="shared" si="84"/>
        <v>0.17190459137644878</v>
      </c>
      <c r="BB64" s="970">
        <f t="shared" si="84"/>
        <v>0.19489012264066327</v>
      </c>
      <c r="BC64" s="953">
        <f t="shared" si="84"/>
        <v>0.13161211635286363</v>
      </c>
      <c r="BD64" s="953">
        <f t="shared" si="84"/>
        <v>0.14483979015853832</v>
      </c>
      <c r="BE64" s="953">
        <f t="shared" si="84"/>
        <v>0.183012814057506</v>
      </c>
      <c r="BF64" s="945">
        <f t="shared" si="84"/>
        <v>0.20199946632382015</v>
      </c>
      <c r="BG64" s="970">
        <f t="shared" si="84"/>
        <v>0.16652311385718516</v>
      </c>
      <c r="BH64" s="953">
        <f t="shared" si="84"/>
        <v>0.22711933086176345</v>
      </c>
      <c r="BI64" s="953">
        <f t="shared" si="84"/>
        <v>0.21750738344624806</v>
      </c>
      <c r="BJ64" s="953">
        <f t="shared" si="84"/>
        <v>0.23389647083682527</v>
      </c>
      <c r="BK64" s="945">
        <f t="shared" si="84"/>
        <v>0.22354173158933499</v>
      </c>
      <c r="BL64" s="970">
        <f t="shared" si="84"/>
        <v>0.22552194481878662</v>
      </c>
      <c r="BM64" s="953">
        <f t="shared" ref="BM64:CA64" si="85">BM63/BM13</f>
        <v>0.24356434248351277</v>
      </c>
      <c r="BN64" s="953">
        <f t="shared" si="85"/>
        <v>0.2730796560452266</v>
      </c>
      <c r="BO64" s="953">
        <f t="shared" si="85"/>
        <v>0.24972311279510348</v>
      </c>
      <c r="BP64" s="945">
        <f t="shared" si="85"/>
        <v>0.23816492582305746</v>
      </c>
      <c r="BQ64" s="970">
        <f t="shared" si="85"/>
        <v>0.25101596075436911</v>
      </c>
      <c r="BR64" s="953">
        <f t="shared" si="85"/>
        <v>0.24991815665209638</v>
      </c>
      <c r="BS64" s="953">
        <f t="shared" si="85"/>
        <v>0.24366253828206577</v>
      </c>
      <c r="BT64" s="953">
        <f t="shared" si="85"/>
        <v>0.25796908413270603</v>
      </c>
      <c r="BU64" s="945">
        <f t="shared" si="85"/>
        <v>0.23776384306544407</v>
      </c>
      <c r="BV64" s="970">
        <f t="shared" si="85"/>
        <v>0.24727809857528879</v>
      </c>
      <c r="BW64" s="953">
        <f t="shared" si="85"/>
        <v>0.23788329964579841</v>
      </c>
      <c r="BX64" s="953">
        <f t="shared" si="85"/>
        <v>0.24393102230078703</v>
      </c>
      <c r="BY64" s="953">
        <f t="shared" si="85"/>
        <v>0.24892660948756457</v>
      </c>
      <c r="BZ64" s="945">
        <f t="shared" si="85"/>
        <v>0.24909441347180503</v>
      </c>
      <c r="CA64" s="970">
        <f t="shared" si="85"/>
        <v>0.24509705245594382</v>
      </c>
    </row>
    <row r="65" spans="1:79" s="218" customFormat="1" ht="7.9" customHeight="1">
      <c r="A65" s="216"/>
      <c r="B65" s="217"/>
      <c r="C65" s="260"/>
      <c r="D65" s="192"/>
      <c r="E65" s="191"/>
      <c r="F65" s="191"/>
      <c r="G65" s="191"/>
      <c r="H65" s="191"/>
      <c r="I65" s="192"/>
      <c r="J65" s="191"/>
      <c r="K65" s="191"/>
      <c r="L65" s="124"/>
      <c r="M65" s="191"/>
      <c r="N65" s="192"/>
      <c r="O65" s="191"/>
      <c r="P65" s="191"/>
      <c r="Q65" s="191"/>
      <c r="R65" s="191"/>
      <c r="S65" s="192"/>
      <c r="T65" s="191"/>
      <c r="U65" s="191"/>
      <c r="V65" s="191"/>
      <c r="W65" s="191"/>
      <c r="X65" s="192"/>
      <c r="Y65" s="248"/>
      <c r="Z65" s="314"/>
      <c r="AA65" s="214"/>
      <c r="AB65" s="314"/>
      <c r="AC65" s="192"/>
      <c r="AD65" s="214"/>
      <c r="AE65" s="214"/>
      <c r="AF65" s="214"/>
      <c r="AG65" s="214"/>
      <c r="AH65" s="192"/>
      <c r="AI65" s="214"/>
      <c r="AJ65" s="214"/>
      <c r="AK65" s="214"/>
      <c r="AL65" s="191"/>
      <c r="AM65" s="192"/>
      <c r="AN65" s="191"/>
      <c r="AO65" s="214"/>
      <c r="AP65" s="214"/>
      <c r="AQ65" s="191"/>
      <c r="AR65" s="192"/>
      <c r="AS65" s="214"/>
      <c r="AT65" s="214"/>
      <c r="AU65" s="214"/>
      <c r="AV65" s="191"/>
      <c r="AW65" s="192"/>
      <c r="AX65" s="191"/>
      <c r="AY65" s="191"/>
      <c r="AZ65" s="214"/>
      <c r="BA65" s="191"/>
      <c r="BB65" s="192"/>
      <c r="BC65" s="214"/>
      <c r="BD65" s="214"/>
      <c r="BE65" s="214"/>
      <c r="BF65" s="191"/>
      <c r="BG65" s="192"/>
      <c r="BH65" s="214"/>
      <c r="BI65" s="214"/>
      <c r="BJ65" s="214"/>
      <c r="BK65" s="191"/>
      <c r="BL65" s="192"/>
      <c r="BM65" s="214"/>
      <c r="BN65" s="214"/>
      <c r="BO65" s="214"/>
      <c r="BP65" s="191"/>
      <c r="BQ65" s="192"/>
      <c r="BR65" s="214"/>
      <c r="BS65" s="214"/>
      <c r="BT65" s="214"/>
      <c r="BU65" s="191"/>
      <c r="BV65" s="192"/>
      <c r="BW65" s="214"/>
      <c r="BX65" s="214"/>
      <c r="BY65" s="214"/>
      <c r="BZ65" s="191"/>
      <c r="CA65" s="192"/>
    </row>
    <row r="66" spans="1:79" s="109" customFormat="1" ht="14.25" customHeight="1">
      <c r="A66" s="75"/>
      <c r="B66" s="92" t="s">
        <v>79</v>
      </c>
      <c r="C66" s="77"/>
      <c r="D66" s="71">
        <f>D46+D54</f>
        <v>0</v>
      </c>
      <c r="E66" s="72">
        <f>E46+E54</f>
        <v>0</v>
      </c>
      <c r="F66" s="72">
        <f>F46+F54</f>
        <v>0</v>
      </c>
      <c r="G66" s="72">
        <f>G46+G54</f>
        <v>0</v>
      </c>
      <c r="H66" s="72">
        <f>H46+H54</f>
        <v>0</v>
      </c>
      <c r="I66" s="71"/>
      <c r="J66" s="72"/>
      <c r="K66" s="72"/>
      <c r="L66" s="72"/>
      <c r="M66" s="72"/>
      <c r="N66" s="71"/>
      <c r="O66" s="72">
        <f t="shared" ref="O66:AJ66" si="86">O46+O54</f>
        <v>0</v>
      </c>
      <c r="P66" s="72">
        <f t="shared" si="86"/>
        <v>0</v>
      </c>
      <c r="Q66" s="72">
        <f t="shared" si="86"/>
        <v>0</v>
      </c>
      <c r="R66" s="72">
        <f t="shared" si="86"/>
        <v>0</v>
      </c>
      <c r="S66" s="71">
        <f t="shared" si="86"/>
        <v>0</v>
      </c>
      <c r="T66" s="72">
        <f t="shared" si="86"/>
        <v>0</v>
      </c>
      <c r="U66" s="72">
        <f t="shared" si="86"/>
        <v>0</v>
      </c>
      <c r="V66" s="72">
        <f t="shared" si="86"/>
        <v>0</v>
      </c>
      <c r="W66" s="72">
        <f t="shared" si="86"/>
        <v>0</v>
      </c>
      <c r="X66" s="71">
        <f t="shared" si="86"/>
        <v>-125657</v>
      </c>
      <c r="Y66" s="113">
        <f t="shared" si="86"/>
        <v>0</v>
      </c>
      <c r="Z66" s="113">
        <f t="shared" si="86"/>
        <v>0</v>
      </c>
      <c r="AA66" s="113">
        <f t="shared" si="86"/>
        <v>0</v>
      </c>
      <c r="AB66" s="113">
        <f t="shared" si="86"/>
        <v>0</v>
      </c>
      <c r="AC66" s="71">
        <f t="shared" si="86"/>
        <v>-115056</v>
      </c>
      <c r="AD66" s="113">
        <f t="shared" si="86"/>
        <v>-19525</v>
      </c>
      <c r="AE66" s="113">
        <f t="shared" si="86"/>
        <v>-11916</v>
      </c>
      <c r="AF66" s="113">
        <f t="shared" si="86"/>
        <v>-13722</v>
      </c>
      <c r="AG66" s="113">
        <f t="shared" si="86"/>
        <v>-3979</v>
      </c>
      <c r="AH66" s="71">
        <f>AH46+AH54</f>
        <v>-49142</v>
      </c>
      <c r="AI66" s="113">
        <f t="shared" si="86"/>
        <v>-269979</v>
      </c>
      <c r="AJ66" s="113">
        <f t="shared" si="86"/>
        <v>-34769</v>
      </c>
      <c r="AK66" s="113">
        <f>+AK46+AK55</f>
        <v>-58525</v>
      </c>
      <c r="AL66" s="113">
        <f>+AL46+AL55</f>
        <v>-64935</v>
      </c>
      <c r="AM66" s="71">
        <f>AM46+AM54</f>
        <v>-418630</v>
      </c>
      <c r="AN66" s="113">
        <f>+AN46+AN55</f>
        <v>-44376</v>
      </c>
      <c r="AO66" s="113">
        <f>+AO46+AO55</f>
        <v>-67464</v>
      </c>
      <c r="AP66" s="113">
        <f>+AP46+AP55</f>
        <v>-45560</v>
      </c>
      <c r="AQ66" s="113">
        <f>+AQ46+AQ55</f>
        <v>-46156</v>
      </c>
      <c r="AR66" s="71">
        <f>AR46+AR54</f>
        <v>-177167</v>
      </c>
      <c r="AS66" s="113">
        <f>+AS46+AS55</f>
        <v>-45671</v>
      </c>
      <c r="AT66" s="113">
        <f>AT46+AT55</f>
        <v>-63718</v>
      </c>
      <c r="AU66" s="113">
        <f>AU46+AU55</f>
        <v>-56550</v>
      </c>
      <c r="AV66" s="72">
        <f>AV46+AV55</f>
        <v>-63553</v>
      </c>
      <c r="AW66" s="71">
        <f>AW46+AW55</f>
        <v>-229492</v>
      </c>
      <c r="AX66" s="72">
        <f>AX46+AX55</f>
        <v>-6372</v>
      </c>
      <c r="AY66" s="72">
        <f t="shared" ref="AY66:BG66" si="87">AY46+AY55</f>
        <v>-25343</v>
      </c>
      <c r="AZ66" s="113">
        <f t="shared" si="87"/>
        <v>-5783</v>
      </c>
      <c r="BA66" s="72">
        <f t="shared" si="87"/>
        <v>-29416</v>
      </c>
      <c r="BB66" s="274">
        <f t="shared" si="87"/>
        <v>-66914</v>
      </c>
      <c r="BC66" s="72">
        <f t="shared" si="87"/>
        <v>-25525</v>
      </c>
      <c r="BD66" s="113">
        <f>BD46+BD55</f>
        <v>-41719</v>
      </c>
      <c r="BE66" s="113">
        <f>BE46+BE55</f>
        <v>-28067</v>
      </c>
      <c r="BF66" s="72">
        <f t="shared" si="87"/>
        <v>5430</v>
      </c>
      <c r="BG66" s="71">
        <f t="shared" si="87"/>
        <v>-89881</v>
      </c>
      <c r="BH66" s="113">
        <f t="shared" ref="BH66:CA66" si="88">BH46+BH55</f>
        <v>5628</v>
      </c>
      <c r="BI66" s="113">
        <f t="shared" si="88"/>
        <v>22475</v>
      </c>
      <c r="BJ66" s="113">
        <f t="shared" si="88"/>
        <v>35834</v>
      </c>
      <c r="BK66" s="72">
        <f t="shared" si="88"/>
        <v>29742</v>
      </c>
      <c r="BL66" s="71">
        <f t="shared" si="88"/>
        <v>93679</v>
      </c>
      <c r="BM66" s="113">
        <f t="shared" si="88"/>
        <v>36593</v>
      </c>
      <c r="BN66" s="113">
        <f t="shared" si="88"/>
        <v>71887</v>
      </c>
      <c r="BO66" s="113">
        <f t="shared" si="88"/>
        <v>71574</v>
      </c>
      <c r="BP66" s="72">
        <f t="shared" si="88"/>
        <v>67887</v>
      </c>
      <c r="BQ66" s="71">
        <f t="shared" si="88"/>
        <v>247941</v>
      </c>
      <c r="BR66" s="113">
        <f t="shared" si="88"/>
        <v>73790</v>
      </c>
      <c r="BS66" s="113">
        <f t="shared" si="88"/>
        <v>76460</v>
      </c>
      <c r="BT66" s="113">
        <f t="shared" si="88"/>
        <v>95529</v>
      </c>
      <c r="BU66" s="72">
        <f t="shared" si="88"/>
        <v>84978.532683099969</v>
      </c>
      <c r="BV66" s="71">
        <f t="shared" si="88"/>
        <v>330757.53268310032</v>
      </c>
      <c r="BW66" s="113">
        <f t="shared" si="88"/>
        <v>68893.110279999964</v>
      </c>
      <c r="BX66" s="113">
        <f t="shared" si="88"/>
        <v>87007.681279999902</v>
      </c>
      <c r="BY66" s="113">
        <f t="shared" si="88"/>
        <v>98067.445799999987</v>
      </c>
      <c r="BZ66" s="72">
        <f t="shared" si="88"/>
        <v>47199.581332489848</v>
      </c>
      <c r="CA66" s="71">
        <f t="shared" si="88"/>
        <v>301167.81869248906</v>
      </c>
    </row>
    <row r="67" spans="1:79" s="109" customFormat="1" ht="14.25" customHeight="1">
      <c r="A67" s="75"/>
      <c r="B67" s="74"/>
      <c r="C67" s="137" t="s">
        <v>78</v>
      </c>
      <c r="D67" s="71"/>
      <c r="E67" s="72"/>
      <c r="F67" s="72"/>
      <c r="G67" s="72"/>
      <c r="H67" s="72"/>
      <c r="I67" s="71"/>
      <c r="J67" s="72"/>
      <c r="K67" s="72"/>
      <c r="L67" s="72"/>
      <c r="M67" s="72"/>
      <c r="N67" s="71"/>
      <c r="O67" s="72"/>
      <c r="P67" s="72"/>
      <c r="Q67" s="72"/>
      <c r="R67" s="72"/>
      <c r="S67" s="71"/>
      <c r="T67" s="72"/>
      <c r="U67" s="72"/>
      <c r="V67" s="83"/>
      <c r="W67" s="83"/>
      <c r="X67" s="71">
        <v>-1033</v>
      </c>
      <c r="Y67" s="113"/>
      <c r="Z67" s="113"/>
      <c r="AA67" s="113"/>
      <c r="AB67" s="113"/>
      <c r="AC67" s="71">
        <v>356</v>
      </c>
      <c r="AD67" s="113">
        <v>-143</v>
      </c>
      <c r="AE67" s="113">
        <v>121</v>
      </c>
      <c r="AF67" s="113">
        <v>783</v>
      </c>
      <c r="AG67" s="113">
        <v>2373</v>
      </c>
      <c r="AH67" s="71">
        <f>SUM(AD67:AG67)</f>
        <v>3134</v>
      </c>
      <c r="AI67" s="113">
        <v>708</v>
      </c>
      <c r="AJ67" s="113">
        <v>1945</v>
      </c>
      <c r="AK67" s="113">
        <v>-5712</v>
      </c>
      <c r="AL67" s="113">
        <v>1309</v>
      </c>
      <c r="AM67" s="71">
        <f>SUM(AI67:AL67)</f>
        <v>-1750</v>
      </c>
      <c r="AN67" s="72">
        <v>1346</v>
      </c>
      <c r="AO67" s="113">
        <v>1168</v>
      </c>
      <c r="AP67" s="113">
        <v>1038</v>
      </c>
      <c r="AQ67" s="113">
        <v>1251</v>
      </c>
      <c r="AR67" s="71">
        <f>SUM(AN67:AQ67)</f>
        <v>4803</v>
      </c>
      <c r="AS67" s="113">
        <f>AS61</f>
        <v>2133</v>
      </c>
      <c r="AT67" s="113">
        <v>842</v>
      </c>
      <c r="AU67" s="113">
        <f>AU61</f>
        <v>1941</v>
      </c>
      <c r="AV67" s="113">
        <v>8859</v>
      </c>
      <c r="AW67" s="71">
        <f>SUM(AS67:AV67)</f>
        <v>13775</v>
      </c>
      <c r="AX67" s="113">
        <v>1982</v>
      </c>
      <c r="AY67" s="113">
        <f>AY61</f>
        <v>158</v>
      </c>
      <c r="AZ67" s="113">
        <v>-107</v>
      </c>
      <c r="BA67" s="113">
        <f>BA61</f>
        <v>1029</v>
      </c>
      <c r="BB67" s="71">
        <f>SUM(AX67:BA67)</f>
        <v>3062</v>
      </c>
      <c r="BC67" s="113">
        <v>1848</v>
      </c>
      <c r="BD67" s="836">
        <v>3359</v>
      </c>
      <c r="BE67" s="836">
        <v>1799</v>
      </c>
      <c r="BF67" s="836">
        <v>567</v>
      </c>
      <c r="BG67" s="71">
        <f>SUM(BC67:BF67)</f>
        <v>7573</v>
      </c>
      <c r="BH67" s="836">
        <v>5089</v>
      </c>
      <c r="BI67" s="836">
        <v>15080</v>
      </c>
      <c r="BJ67" s="836">
        <v>-2971</v>
      </c>
      <c r="BK67" s="836">
        <v>2501</v>
      </c>
      <c r="BL67" s="71">
        <f>SUM(BH67:BK67)</f>
        <v>19699</v>
      </c>
      <c r="BM67" s="836">
        <v>2833</v>
      </c>
      <c r="BN67" s="836">
        <v>-816324</v>
      </c>
      <c r="BO67" s="836">
        <v>9151</v>
      </c>
      <c r="BP67" s="836">
        <v>-15604</v>
      </c>
      <c r="BQ67" s="71">
        <f>SUM(BM67:BP67)</f>
        <v>-819944</v>
      </c>
      <c r="BR67" s="836">
        <v>1703</v>
      </c>
      <c r="BS67" s="113">
        <v>13490</v>
      </c>
      <c r="BT67" s="113">
        <v>11804</v>
      </c>
      <c r="BU67" s="833">
        <v>6000</v>
      </c>
      <c r="BV67" s="71">
        <f>SUM(BR67:BU67)</f>
        <v>32997</v>
      </c>
      <c r="BW67" s="833">
        <v>8000</v>
      </c>
      <c r="BX67" s="833">
        <v>8000</v>
      </c>
      <c r="BY67" s="833">
        <v>8000</v>
      </c>
      <c r="BZ67" s="833">
        <v>8000</v>
      </c>
      <c r="CA67" s="71">
        <f>SUM(BW67:BZ67)</f>
        <v>32000</v>
      </c>
    </row>
    <row r="68" spans="1:79" s="82" customFormat="1" ht="14.25" customHeight="1">
      <c r="A68" s="90"/>
      <c r="B68" s="247"/>
      <c r="C68" s="132" t="s">
        <v>77</v>
      </c>
      <c r="D68" s="93" t="e">
        <f>D67/D66</f>
        <v>#DIV/0!</v>
      </c>
      <c r="E68" s="94" t="e">
        <f>E67/E66</f>
        <v>#DIV/0!</v>
      </c>
      <c r="F68" s="94" t="e">
        <f>F67/F66</f>
        <v>#DIV/0!</v>
      </c>
      <c r="G68" s="94" t="e">
        <f>G67/G66</f>
        <v>#DIV/0!</v>
      </c>
      <c r="H68" s="94" t="e">
        <f>H67/H66</f>
        <v>#DIV/0!</v>
      </c>
      <c r="I68" s="93"/>
      <c r="J68" s="94"/>
      <c r="K68" s="94"/>
      <c r="L68" s="94"/>
      <c r="M68" s="94"/>
      <c r="N68" s="93"/>
      <c r="O68" s="94" t="e">
        <f>O67/O66</f>
        <v>#DIV/0!</v>
      </c>
      <c r="P68" s="94" t="e">
        <f t="shared" ref="P68:X68" si="89">P67/P66</f>
        <v>#DIV/0!</v>
      </c>
      <c r="Q68" s="94" t="e">
        <f t="shared" si="89"/>
        <v>#DIV/0!</v>
      </c>
      <c r="R68" s="94" t="e">
        <f t="shared" si="89"/>
        <v>#DIV/0!</v>
      </c>
      <c r="S68" s="93" t="e">
        <f t="shared" si="89"/>
        <v>#DIV/0!</v>
      </c>
      <c r="T68" s="94" t="e">
        <f t="shared" si="89"/>
        <v>#DIV/0!</v>
      </c>
      <c r="U68" s="94" t="e">
        <f t="shared" si="89"/>
        <v>#DIV/0!</v>
      </c>
      <c r="V68" s="94" t="e">
        <f t="shared" si="89"/>
        <v>#DIV/0!</v>
      </c>
      <c r="W68" s="94" t="e">
        <f t="shared" si="89"/>
        <v>#DIV/0!</v>
      </c>
      <c r="X68" s="93">
        <f t="shared" si="89"/>
        <v>8.2207915197720777E-3</v>
      </c>
      <c r="Y68" s="153" t="e">
        <f t="shared" ref="Y68:AV68" si="90">Y67/Y66</f>
        <v>#DIV/0!</v>
      </c>
      <c r="Z68" s="153" t="e">
        <f t="shared" si="90"/>
        <v>#DIV/0!</v>
      </c>
      <c r="AA68" s="153" t="e">
        <f t="shared" si="90"/>
        <v>#DIV/0!</v>
      </c>
      <c r="AB68" s="153">
        <v>-0.3</v>
      </c>
      <c r="AC68" s="93">
        <f t="shared" si="90"/>
        <v>-3.0941454596022807E-3</v>
      </c>
      <c r="AD68" s="247">
        <f t="shared" si="90"/>
        <v>7.3239436619718309E-3</v>
      </c>
      <c r="AE68" s="94">
        <f t="shared" si="90"/>
        <v>-1.0154414232964083E-2</v>
      </c>
      <c r="AF68" s="153">
        <f t="shared" si="90"/>
        <v>-5.7061652820288584E-2</v>
      </c>
      <c r="AG68" s="153">
        <f t="shared" si="90"/>
        <v>-0.59638100025131946</v>
      </c>
      <c r="AH68" s="93">
        <f t="shared" si="90"/>
        <v>-6.3774368157584138E-2</v>
      </c>
      <c r="AI68" s="338">
        <f t="shared" si="90"/>
        <v>-2.622426188703566E-3</v>
      </c>
      <c r="AJ68" s="153">
        <f t="shared" si="90"/>
        <v>-5.5940636774137881E-2</v>
      </c>
      <c r="AK68" s="153">
        <f t="shared" si="90"/>
        <v>9.7599316531396835E-2</v>
      </c>
      <c r="AL68" s="153">
        <f t="shared" si="90"/>
        <v>-2.0158620158620157E-2</v>
      </c>
      <c r="AM68" s="93">
        <f>AM67/AM66</f>
        <v>4.1803024150204237E-3</v>
      </c>
      <c r="AN68" s="94">
        <f t="shared" si="90"/>
        <v>-3.0331710834685416E-2</v>
      </c>
      <c r="AO68" s="94">
        <f t="shared" si="90"/>
        <v>-1.7312937270247835E-2</v>
      </c>
      <c r="AP68" s="94">
        <f t="shared" si="90"/>
        <v>-2.2783143107989463E-2</v>
      </c>
      <c r="AQ68" s="153">
        <f t="shared" si="90"/>
        <v>-2.7103735159025911E-2</v>
      </c>
      <c r="AR68" s="93">
        <f>AR67/AR66</f>
        <v>-2.7110014844750997E-2</v>
      </c>
      <c r="AS68" s="153">
        <f t="shared" si="90"/>
        <v>-4.6703597468853324E-2</v>
      </c>
      <c r="AT68" s="153">
        <f t="shared" si="90"/>
        <v>-1.3214476286135786E-2</v>
      </c>
      <c r="AU68" s="153">
        <f t="shared" si="90"/>
        <v>-3.4323607427055702E-2</v>
      </c>
      <c r="AV68" s="153">
        <f t="shared" si="90"/>
        <v>-0.13939546520227211</v>
      </c>
      <c r="AW68" s="93">
        <f t="shared" ref="AW68:CA68" si="91">AW67/AW66</f>
        <v>-6.0023878828020148E-2</v>
      </c>
      <c r="AX68" s="802">
        <f t="shared" si="91"/>
        <v>-0.31104833647206531</v>
      </c>
      <c r="AY68" s="802">
        <f t="shared" si="91"/>
        <v>-6.2344631653711083E-3</v>
      </c>
      <c r="AZ68" s="802">
        <f t="shared" si="91"/>
        <v>1.850250734912675E-2</v>
      </c>
      <c r="BA68" s="802">
        <f t="shared" si="91"/>
        <v>-3.4980962741365244E-2</v>
      </c>
      <c r="BB68" s="93">
        <f t="shared" si="91"/>
        <v>-4.5760229548375525E-2</v>
      </c>
      <c r="BC68" s="802">
        <f t="shared" si="91"/>
        <v>-7.2399608227228213E-2</v>
      </c>
      <c r="BD68" s="802">
        <f t="shared" si="91"/>
        <v>-8.0514873319111196E-2</v>
      </c>
      <c r="BE68" s="802">
        <f t="shared" si="91"/>
        <v>-6.4096625930808421E-2</v>
      </c>
      <c r="BF68" s="802">
        <f t="shared" si="91"/>
        <v>0.10441988950276243</v>
      </c>
      <c r="BG68" s="93">
        <f t="shared" si="91"/>
        <v>-8.4255849400874494E-2</v>
      </c>
      <c r="BH68" s="802">
        <f t="shared" si="91"/>
        <v>0.904228855721393</v>
      </c>
      <c r="BI68" s="802">
        <f t="shared" si="91"/>
        <v>0.67096774193548392</v>
      </c>
      <c r="BJ68" s="802">
        <f t="shared" si="91"/>
        <v>-8.2910085393760116E-2</v>
      </c>
      <c r="BK68" s="802">
        <f t="shared" si="91"/>
        <v>8.4089839284513482E-2</v>
      </c>
      <c r="BL68" s="93">
        <f t="shared" si="91"/>
        <v>0.21028192017421193</v>
      </c>
      <c r="BM68" s="802">
        <f t="shared" si="91"/>
        <v>7.7419178531413113E-2</v>
      </c>
      <c r="BN68" s="802">
        <f t="shared" si="91"/>
        <v>-11.35565540361957</v>
      </c>
      <c r="BO68" s="802">
        <f t="shared" si="91"/>
        <v>0.12785368988738927</v>
      </c>
      <c r="BP68" s="802">
        <f t="shared" si="91"/>
        <v>-0.22985254908892719</v>
      </c>
      <c r="BQ68" s="93">
        <f t="shared" si="91"/>
        <v>-3.3070125554063265</v>
      </c>
      <c r="BR68" s="802">
        <f t="shared" si="91"/>
        <v>2.307900799566337E-2</v>
      </c>
      <c r="BS68" s="802">
        <f t="shared" si="91"/>
        <v>0.17643212137065131</v>
      </c>
      <c r="BT68" s="802">
        <f t="shared" si="91"/>
        <v>0.12356457201478085</v>
      </c>
      <c r="BU68" s="802">
        <f t="shared" si="91"/>
        <v>7.0606067327322122E-2</v>
      </c>
      <c r="BV68" s="93">
        <f t="shared" si="91"/>
        <v>9.9761900303006898E-2</v>
      </c>
      <c r="BW68" s="802">
        <f t="shared" si="91"/>
        <v>0.11612191650929778</v>
      </c>
      <c r="BX68" s="802">
        <f t="shared" si="91"/>
        <v>9.1945905031708131E-2</v>
      </c>
      <c r="BY68" s="802">
        <f t="shared" si="91"/>
        <v>8.1576510275543454E-2</v>
      </c>
      <c r="BZ68" s="802">
        <f t="shared" si="91"/>
        <v>0.1694930288394994</v>
      </c>
      <c r="CA68" s="93">
        <f t="shared" si="91"/>
        <v>0.10625305233117877</v>
      </c>
    </row>
    <row r="69" spans="1:79" s="82" customFormat="1" ht="14.25" hidden="1" customHeight="1" outlineLevel="1">
      <c r="A69" s="90"/>
      <c r="B69" s="247"/>
      <c r="C69" s="132" t="s">
        <v>295</v>
      </c>
      <c r="D69" s="93"/>
      <c r="E69" s="94"/>
      <c r="F69" s="94"/>
      <c r="G69" s="94"/>
      <c r="H69" s="94"/>
      <c r="I69" s="93"/>
      <c r="J69" s="94"/>
      <c r="K69" s="94"/>
      <c r="L69" s="94"/>
      <c r="M69" s="94"/>
      <c r="N69" s="93"/>
      <c r="O69" s="94"/>
      <c r="P69" s="94"/>
      <c r="Q69" s="94"/>
      <c r="R69" s="94"/>
      <c r="S69" s="93"/>
      <c r="T69" s="94"/>
      <c r="U69" s="94"/>
      <c r="V69" s="94"/>
      <c r="W69" s="94"/>
      <c r="X69" s="93"/>
      <c r="Y69" s="153"/>
      <c r="Z69" s="153"/>
      <c r="AA69" s="153"/>
      <c r="AB69" s="153"/>
      <c r="AC69" s="93"/>
      <c r="AD69" s="94"/>
      <c r="AE69" s="94"/>
      <c r="AF69" s="153"/>
      <c r="AG69" s="214">
        <v>-1462</v>
      </c>
      <c r="AH69" s="192">
        <f>SUM(AD69:AG69)</f>
        <v>-1462</v>
      </c>
      <c r="AI69" s="214">
        <v>-871</v>
      </c>
      <c r="AJ69" s="153"/>
      <c r="AK69" s="153"/>
      <c r="AL69" s="153"/>
      <c r="AM69" s="93"/>
      <c r="AN69" s="94"/>
      <c r="AO69" s="94"/>
      <c r="AP69" s="94"/>
      <c r="AQ69" s="153"/>
      <c r="AR69" s="93"/>
      <c r="AS69" s="153"/>
      <c r="AT69" s="225"/>
      <c r="AU69" s="225"/>
      <c r="AV69" s="225"/>
      <c r="AW69" s="93"/>
      <c r="AX69" s="225"/>
      <c r="AY69" s="225"/>
      <c r="AZ69" s="225"/>
      <c r="BA69" s="225"/>
      <c r="BB69" s="93"/>
      <c r="BC69" s="225"/>
      <c r="BD69" s="225"/>
      <c r="BE69" s="225"/>
      <c r="BF69" s="225"/>
      <c r="BG69" s="93"/>
      <c r="BH69" s="225"/>
      <c r="BI69" s="225"/>
      <c r="BJ69" s="225"/>
      <c r="BK69" s="225"/>
      <c r="BL69" s="93"/>
      <c r="BM69" s="225"/>
      <c r="BN69" s="225"/>
      <c r="BO69" s="225"/>
      <c r="BP69" s="225"/>
      <c r="BQ69" s="93"/>
      <c r="BR69" s="225"/>
      <c r="BS69" s="225"/>
      <c r="BT69" s="225"/>
      <c r="BU69" s="225"/>
      <c r="BV69" s="93"/>
      <c r="BW69" s="225"/>
      <c r="BX69" s="225"/>
      <c r="BY69" s="225"/>
      <c r="BZ69" s="225"/>
      <c r="CA69" s="93"/>
    </row>
    <row r="70" spans="1:79" s="82" customFormat="1" ht="14.25" hidden="1" customHeight="1" outlineLevel="1">
      <c r="A70" s="90"/>
      <c r="B70" s="247"/>
      <c r="C70" s="132" t="s">
        <v>159</v>
      </c>
      <c r="D70" s="93"/>
      <c r="E70" s="94"/>
      <c r="F70" s="94"/>
      <c r="G70" s="94"/>
      <c r="H70" s="94"/>
      <c r="I70" s="93"/>
      <c r="J70" s="94"/>
      <c r="K70" s="94"/>
      <c r="L70" s="94"/>
      <c r="M70" s="94"/>
      <c r="N70" s="93"/>
      <c r="O70" s="191"/>
      <c r="P70" s="191"/>
      <c r="Q70" s="191"/>
      <c r="R70" s="191"/>
      <c r="S70" s="192">
        <f>SUM(O70:R70)</f>
        <v>0</v>
      </c>
      <c r="T70" s="94"/>
      <c r="U70" s="94"/>
      <c r="V70" s="94"/>
      <c r="W70" s="94"/>
      <c r="X70" s="93"/>
      <c r="Y70" s="153"/>
      <c r="Z70" s="153"/>
      <c r="AA70" s="153"/>
      <c r="AB70" s="153"/>
      <c r="AC70" s="93"/>
      <c r="AD70" s="214">
        <v>-355</v>
      </c>
      <c r="AE70" s="214">
        <v>-366</v>
      </c>
      <c r="AF70" s="214">
        <v>-376</v>
      </c>
      <c r="AG70" s="214">
        <v>-364</v>
      </c>
      <c r="AH70" s="192">
        <f>SUM(AD70:AG70)</f>
        <v>-1461</v>
      </c>
      <c r="AI70" s="214">
        <v>-353</v>
      </c>
      <c r="AJ70" s="153"/>
      <c r="AK70" s="153"/>
      <c r="AL70" s="153"/>
      <c r="AM70" s="93"/>
      <c r="AN70" s="94"/>
      <c r="AO70" s="153"/>
      <c r="AP70" s="153"/>
      <c r="AQ70" s="153"/>
      <c r="AR70" s="93"/>
      <c r="AS70" s="153"/>
      <c r="AT70" s="153"/>
      <c r="AU70" s="153"/>
      <c r="AV70" s="153"/>
      <c r="AW70" s="93"/>
      <c r="AX70" s="153"/>
      <c r="AY70" s="153"/>
      <c r="AZ70" s="153"/>
      <c r="BA70" s="153"/>
      <c r="BB70" s="93"/>
      <c r="BC70" s="153"/>
      <c r="BD70" s="153"/>
      <c r="BE70" s="153"/>
      <c r="BF70" s="153"/>
      <c r="BG70" s="93"/>
      <c r="BH70" s="153"/>
      <c r="BI70" s="153"/>
      <c r="BJ70" s="153"/>
      <c r="BK70" s="153"/>
      <c r="BL70" s="93"/>
      <c r="BM70" s="153"/>
      <c r="BN70" s="153"/>
      <c r="BO70" s="153"/>
      <c r="BP70" s="153"/>
      <c r="BQ70" s="93"/>
      <c r="BR70" s="153"/>
      <c r="BS70" s="153"/>
      <c r="BT70" s="153"/>
      <c r="BU70" s="153"/>
      <c r="BV70" s="93"/>
      <c r="BW70" s="153"/>
      <c r="BX70" s="153"/>
      <c r="BY70" s="153"/>
      <c r="BZ70" s="153"/>
      <c r="CA70" s="93"/>
    </row>
    <row r="71" spans="1:79" ht="14.25" customHeight="1" collapsed="1">
      <c r="A71" s="81"/>
      <c r="B71" s="262" t="s">
        <v>3</v>
      </c>
      <c r="C71" s="267"/>
      <c r="D71" s="252">
        <f>D66-D67</f>
        <v>0</v>
      </c>
      <c r="E71" s="304">
        <f>E66-E67</f>
        <v>0</v>
      </c>
      <c r="F71" s="107">
        <f>F66-F67</f>
        <v>0</v>
      </c>
      <c r="G71" s="107">
        <f>G66-G67</f>
        <v>0</v>
      </c>
      <c r="H71" s="249">
        <f>H66-H67</f>
        <v>0</v>
      </c>
      <c r="I71" s="252"/>
      <c r="J71" s="249"/>
      <c r="K71" s="107"/>
      <c r="L71" s="107"/>
      <c r="M71" s="107"/>
      <c r="N71" s="252"/>
      <c r="O71" s="249">
        <f>O66-O67</f>
        <v>0</v>
      </c>
      <c r="P71" s="107">
        <f>P66-P67+P70</f>
        <v>0</v>
      </c>
      <c r="Q71" s="107">
        <f>Q66-Q67+Q70</f>
        <v>0</v>
      </c>
      <c r="R71" s="249">
        <f>R66-R67+R70</f>
        <v>0</v>
      </c>
      <c r="S71" s="286">
        <f>S66-S67+S70</f>
        <v>0</v>
      </c>
      <c r="T71" s="249">
        <f>T66-T67</f>
        <v>0</v>
      </c>
      <c r="U71" s="107">
        <f>U66-U67</f>
        <v>0</v>
      </c>
      <c r="V71" s="108">
        <f>V66-V67</f>
        <v>0</v>
      </c>
      <c r="W71" s="253">
        <f>W66-W67</f>
        <v>0</v>
      </c>
      <c r="X71" s="286">
        <f t="shared" ref="X71:AC71" si="92">X66-X67</f>
        <v>-124624</v>
      </c>
      <c r="Y71" s="255">
        <f t="shared" si="92"/>
        <v>0</v>
      </c>
      <c r="Z71" s="159">
        <f t="shared" si="92"/>
        <v>0</v>
      </c>
      <c r="AA71" s="159">
        <f>AA66-AA67</f>
        <v>0</v>
      </c>
      <c r="AB71" s="255">
        <f t="shared" si="92"/>
        <v>0</v>
      </c>
      <c r="AC71" s="286">
        <f t="shared" si="92"/>
        <v>-115412</v>
      </c>
      <c r="AD71" s="255">
        <f t="shared" ref="AD71:AM71" si="93">AD66-AD67</f>
        <v>-19382</v>
      </c>
      <c r="AE71" s="159">
        <f>AE66-AE67</f>
        <v>-12037</v>
      </c>
      <c r="AF71" s="159">
        <f t="shared" si="93"/>
        <v>-14505</v>
      </c>
      <c r="AG71" s="159">
        <f t="shared" si="93"/>
        <v>-6352</v>
      </c>
      <c r="AH71" s="286">
        <f>AH66-AH67</f>
        <v>-52276</v>
      </c>
      <c r="AI71" s="255">
        <f t="shared" si="93"/>
        <v>-270687</v>
      </c>
      <c r="AJ71" s="159">
        <f t="shared" si="93"/>
        <v>-36714</v>
      </c>
      <c r="AK71" s="159">
        <f t="shared" si="93"/>
        <v>-52813</v>
      </c>
      <c r="AL71" s="107">
        <f t="shared" si="93"/>
        <v>-66244</v>
      </c>
      <c r="AM71" s="286">
        <f t="shared" si="93"/>
        <v>-416880</v>
      </c>
      <c r="AN71" s="249">
        <f t="shared" ref="AN71:AW71" si="94">AN66-AN67</f>
        <v>-45722</v>
      </c>
      <c r="AO71" s="159">
        <f t="shared" si="94"/>
        <v>-68632</v>
      </c>
      <c r="AP71" s="159">
        <f t="shared" si="94"/>
        <v>-46598</v>
      </c>
      <c r="AQ71" s="107">
        <f t="shared" si="94"/>
        <v>-47407</v>
      </c>
      <c r="AR71" s="286">
        <f t="shared" si="94"/>
        <v>-181970</v>
      </c>
      <c r="AS71" s="255">
        <f t="shared" si="94"/>
        <v>-47804</v>
      </c>
      <c r="AT71" s="159">
        <f t="shared" si="94"/>
        <v>-64560</v>
      </c>
      <c r="AU71" s="159">
        <f t="shared" si="94"/>
        <v>-58491</v>
      </c>
      <c r="AV71" s="107">
        <f t="shared" si="94"/>
        <v>-72412</v>
      </c>
      <c r="AW71" s="286">
        <f t="shared" si="94"/>
        <v>-243267</v>
      </c>
      <c r="AX71" s="107">
        <f t="shared" ref="AX71:CA71" si="95">AX66-AX67</f>
        <v>-8354</v>
      </c>
      <c r="AY71" s="107">
        <f t="shared" si="95"/>
        <v>-25501</v>
      </c>
      <c r="AZ71" s="159">
        <f t="shared" si="95"/>
        <v>-5676</v>
      </c>
      <c r="BA71" s="1049">
        <f t="shared" si="95"/>
        <v>-30445</v>
      </c>
      <c r="BB71" s="1048">
        <f t="shared" si="95"/>
        <v>-69976</v>
      </c>
      <c r="BC71" s="255">
        <f t="shared" si="95"/>
        <v>-27373</v>
      </c>
      <c r="BD71" s="159">
        <f t="shared" si="95"/>
        <v>-45078</v>
      </c>
      <c r="BE71" s="159">
        <f t="shared" si="95"/>
        <v>-29866</v>
      </c>
      <c r="BF71" s="107">
        <f t="shared" si="95"/>
        <v>4863</v>
      </c>
      <c r="BG71" s="286">
        <f t="shared" si="95"/>
        <v>-97454</v>
      </c>
      <c r="BH71" s="255">
        <f t="shared" si="95"/>
        <v>539</v>
      </c>
      <c r="BI71" s="159">
        <f t="shared" si="95"/>
        <v>7395</v>
      </c>
      <c r="BJ71" s="159">
        <f t="shared" si="95"/>
        <v>38805</v>
      </c>
      <c r="BK71" s="107">
        <f t="shared" si="95"/>
        <v>27241</v>
      </c>
      <c r="BL71" s="286">
        <f t="shared" si="95"/>
        <v>73980</v>
      </c>
      <c r="BM71" s="255">
        <f t="shared" si="95"/>
        <v>33760</v>
      </c>
      <c r="BN71" s="159">
        <f t="shared" si="95"/>
        <v>888211</v>
      </c>
      <c r="BO71" s="159">
        <f t="shared" si="95"/>
        <v>62423</v>
      </c>
      <c r="BP71" s="107">
        <f t="shared" si="95"/>
        <v>83491</v>
      </c>
      <c r="BQ71" s="286">
        <f t="shared" si="95"/>
        <v>1067885</v>
      </c>
      <c r="BR71" s="255">
        <f t="shared" si="95"/>
        <v>72087</v>
      </c>
      <c r="BS71" s="159">
        <f t="shared" si="95"/>
        <v>62970</v>
      </c>
      <c r="BT71" s="159">
        <f t="shared" si="95"/>
        <v>83725</v>
      </c>
      <c r="BU71" s="107">
        <f t="shared" si="95"/>
        <v>78978.532683099969</v>
      </c>
      <c r="BV71" s="286">
        <f t="shared" si="95"/>
        <v>297760.53268310032</v>
      </c>
      <c r="BW71" s="255">
        <f t="shared" si="95"/>
        <v>60893.110279999964</v>
      </c>
      <c r="BX71" s="159">
        <f t="shared" si="95"/>
        <v>79007.681279999902</v>
      </c>
      <c r="BY71" s="159">
        <f t="shared" si="95"/>
        <v>90067.445799999987</v>
      </c>
      <c r="BZ71" s="107">
        <f t="shared" si="95"/>
        <v>39199.581332489848</v>
      </c>
      <c r="CA71" s="286">
        <f t="shared" si="95"/>
        <v>269167.81869248906</v>
      </c>
    </row>
    <row r="72" spans="1:79" s="973" customFormat="1" ht="15" customHeight="1">
      <c r="A72" s="941"/>
      <c r="B72" s="942"/>
      <c r="C72" s="943" t="s">
        <v>76</v>
      </c>
      <c r="D72" s="979" t="e">
        <f>D71/D13</f>
        <v>#DIV/0!</v>
      </c>
      <c r="E72" s="945" t="e">
        <f>E71/E13</f>
        <v>#DIV/0!</v>
      </c>
      <c r="F72" s="980" t="e">
        <f>F71/F13</f>
        <v>#DIV/0!</v>
      </c>
      <c r="G72" s="980" t="e">
        <f>G71/G13</f>
        <v>#DIV/0!</v>
      </c>
      <c r="H72" s="980" t="e">
        <f>H71/H13</f>
        <v>#DIV/0!</v>
      </c>
      <c r="I72" s="979"/>
      <c r="J72" s="980"/>
      <c r="K72" s="980"/>
      <c r="L72" s="980"/>
      <c r="M72" s="980"/>
      <c r="N72" s="979"/>
      <c r="O72" s="945" t="e">
        <f t="shared" ref="O72:AT72" si="96">O71/O13</f>
        <v>#DIV/0!</v>
      </c>
      <c r="P72" s="945" t="e">
        <f t="shared" si="96"/>
        <v>#DIV/0!</v>
      </c>
      <c r="Q72" s="945" t="e">
        <f t="shared" si="96"/>
        <v>#DIV/0!</v>
      </c>
      <c r="R72" s="945" t="e">
        <f t="shared" si="96"/>
        <v>#DIV/0!</v>
      </c>
      <c r="S72" s="944" t="e">
        <f t="shared" si="96"/>
        <v>#DIV/0!</v>
      </c>
      <c r="T72" s="981" t="e">
        <f t="shared" si="96"/>
        <v>#DIV/0!</v>
      </c>
      <c r="U72" s="981" t="e">
        <f t="shared" si="96"/>
        <v>#DIV/0!</v>
      </c>
      <c r="V72" s="945" t="e">
        <f t="shared" si="96"/>
        <v>#DIV/0!</v>
      </c>
      <c r="W72" s="945" t="e">
        <f t="shared" si="96"/>
        <v>#DIV/0!</v>
      </c>
      <c r="X72" s="944">
        <f t="shared" si="96"/>
        <v>-0.49753873547295002</v>
      </c>
      <c r="Y72" s="953" t="e">
        <f t="shared" si="96"/>
        <v>#DIV/0!</v>
      </c>
      <c r="Z72" s="953" t="e">
        <f t="shared" si="96"/>
        <v>#DIV/0!</v>
      </c>
      <c r="AA72" s="953" t="e">
        <f t="shared" si="96"/>
        <v>#DIV/0!</v>
      </c>
      <c r="AB72" s="953" t="e">
        <f t="shared" si="96"/>
        <v>#DIV/0!</v>
      </c>
      <c r="AC72" s="944">
        <f t="shared" si="96"/>
        <v>-0.30255414081198767</v>
      </c>
      <c r="AD72" s="953">
        <f t="shared" si="96"/>
        <v>-0.17076952897848421</v>
      </c>
      <c r="AE72" s="953">
        <f t="shared" si="96"/>
        <v>-9.5879499454370215E-2</v>
      </c>
      <c r="AF72" s="953">
        <f t="shared" si="96"/>
        <v>-0.11107367389290063</v>
      </c>
      <c r="AG72" s="953">
        <f t="shared" si="96"/>
        <v>-4.2666953262490426E-2</v>
      </c>
      <c r="AH72" s="944">
        <f t="shared" si="96"/>
        <v>-0.10082082298304353</v>
      </c>
      <c r="AI72" s="953">
        <f t="shared" si="96"/>
        <v>-1.7373113062230436</v>
      </c>
      <c r="AJ72" s="953">
        <f t="shared" si="96"/>
        <v>-0.21978640358228971</v>
      </c>
      <c r="AK72" s="953">
        <f t="shared" si="96"/>
        <v>-0.29606188861171062</v>
      </c>
      <c r="AL72" s="945">
        <f t="shared" si="96"/>
        <v>-0.33166443033665111</v>
      </c>
      <c r="AM72" s="944">
        <f t="shared" si="96"/>
        <v>-0.59471959530307328</v>
      </c>
      <c r="AN72" s="945">
        <f t="shared" si="96"/>
        <v>-0.21369215094269076</v>
      </c>
      <c r="AO72" s="953">
        <f t="shared" si="96"/>
        <v>-0.29129246388129637</v>
      </c>
      <c r="AP72" s="953">
        <f t="shared" si="96"/>
        <v>-0.18676403395563965</v>
      </c>
      <c r="AQ72" s="945">
        <f t="shared" si="96"/>
        <v>-0.17245493733971154</v>
      </c>
      <c r="AR72" s="944">
        <f t="shared" si="96"/>
        <v>-0.18683307819226649</v>
      </c>
      <c r="AS72" s="953">
        <f t="shared" si="96"/>
        <v>-0.160947016500739</v>
      </c>
      <c r="AT72" s="953">
        <f t="shared" si="96"/>
        <v>-0.18865663965588281</v>
      </c>
      <c r="AU72" s="953">
        <f t="shared" ref="AU72:BL72" si="97">AU71/AU13</f>
        <v>-0.15274872493947869</v>
      </c>
      <c r="AV72" s="945">
        <f t="shared" si="97"/>
        <v>-0.16804905105152496</v>
      </c>
      <c r="AW72" s="944">
        <f t="shared" si="97"/>
        <v>-0.16741853498200679</v>
      </c>
      <c r="AX72" s="945">
        <f t="shared" si="97"/>
        <v>-1.7809404832458568E-2</v>
      </c>
      <c r="AY72" s="945">
        <f t="shared" si="97"/>
        <v>-4.9821820710997881E-2</v>
      </c>
      <c r="AZ72" s="953">
        <f t="shared" si="97"/>
        <v>-1.0405838709500003E-2</v>
      </c>
      <c r="BA72" s="945">
        <f t="shared" si="97"/>
        <v>-5.2416550166314295E-2</v>
      </c>
      <c r="BB72" s="944">
        <f t="shared" si="97"/>
        <v>-3.3207843725337687E-2</v>
      </c>
      <c r="BC72" s="953">
        <f t="shared" si="97"/>
        <v>-4.6497998953612417E-2</v>
      </c>
      <c r="BD72" s="953">
        <f t="shared" si="97"/>
        <v>-7.2451236290229259E-2</v>
      </c>
      <c r="BE72" s="953">
        <f t="shared" si="97"/>
        <v>-4.6270661525137771E-2</v>
      </c>
      <c r="BF72" s="945">
        <f t="shared" si="97"/>
        <v>7.3729183596734872E-3</v>
      </c>
      <c r="BG72" s="944">
        <f t="shared" si="97"/>
        <v>-3.8735012907828763E-2</v>
      </c>
      <c r="BH72" s="953">
        <f t="shared" si="97"/>
        <v>8.149527962406333E-4</v>
      </c>
      <c r="BI72" s="953">
        <f t="shared" si="97"/>
        <v>1.0753438701036955E-2</v>
      </c>
      <c r="BJ72" s="953">
        <f t="shared" si="97"/>
        <v>5.540239370321564E-2</v>
      </c>
      <c r="BK72" s="945">
        <f t="shared" si="97"/>
        <v>3.8239100712254309E-2</v>
      </c>
      <c r="BL72" s="944">
        <f t="shared" si="97"/>
        <v>2.6786082823234303E-2</v>
      </c>
      <c r="BM72" s="953">
        <f t="shared" ref="BM72:CA72" si="98">BM71/BM13</f>
        <v>4.7573417507468574E-2</v>
      </c>
      <c r="BN72" s="953">
        <f t="shared" si="98"/>
        <v>1.2067641540323928</v>
      </c>
      <c r="BO72" s="953">
        <f t="shared" si="98"/>
        <v>8.2699186561034421E-2</v>
      </c>
      <c r="BP72" s="945">
        <f t="shared" si="98"/>
        <v>0.10755656668195381</v>
      </c>
      <c r="BQ72" s="944">
        <f t="shared" si="98"/>
        <v>0.35874324218549225</v>
      </c>
      <c r="BR72" s="953">
        <f t="shared" si="98"/>
        <v>9.4397462725265627E-2</v>
      </c>
      <c r="BS72" s="953">
        <f t="shared" si="98"/>
        <v>7.8649973271249354E-2</v>
      </c>
      <c r="BT72" s="953">
        <f t="shared" si="98"/>
        <v>0.10230952526425123</v>
      </c>
      <c r="BU72" s="945">
        <f t="shared" si="98"/>
        <v>9.5475505305312541E-2</v>
      </c>
      <c r="BV72" s="944">
        <f t="shared" si="98"/>
        <v>9.2764552722558027E-2</v>
      </c>
      <c r="BW72" s="953">
        <f t="shared" si="98"/>
        <v>7.5518668913351114E-2</v>
      </c>
      <c r="BX72" s="953">
        <f t="shared" si="98"/>
        <v>9.3417352787856026E-2</v>
      </c>
      <c r="BY72" s="953">
        <f t="shared" si="98"/>
        <v>0.10420608102245039</v>
      </c>
      <c r="BZ72" s="945">
        <f t="shared" si="98"/>
        <v>4.4861175796065272E-2</v>
      </c>
      <c r="CA72" s="944">
        <f t="shared" si="98"/>
        <v>7.9395868828080002E-2</v>
      </c>
    </row>
    <row r="73" spans="1:79" ht="7.9" customHeight="1" thickBot="1">
      <c r="A73" s="81"/>
      <c r="B73" s="92"/>
      <c r="C73" s="137"/>
      <c r="D73" s="99"/>
      <c r="E73" s="103"/>
      <c r="F73" s="103"/>
      <c r="G73" s="103"/>
      <c r="H73" s="72"/>
      <c r="I73" s="99"/>
      <c r="J73" s="103"/>
      <c r="K73" s="100"/>
      <c r="L73" s="103"/>
      <c r="M73" s="72"/>
      <c r="N73" s="99"/>
      <c r="O73" s="103"/>
      <c r="P73" s="103"/>
      <c r="Q73" s="103"/>
      <c r="R73" s="72"/>
      <c r="S73" s="99"/>
      <c r="T73" s="103"/>
      <c r="U73" s="103"/>
      <c r="V73" s="103"/>
      <c r="W73" s="115"/>
      <c r="X73" s="99"/>
      <c r="Y73" s="248"/>
      <c r="Z73" s="154"/>
      <c r="AA73" s="154"/>
      <c r="AB73" s="154"/>
      <c r="AC73" s="99"/>
      <c r="AD73" s="154"/>
      <c r="AE73" s="156"/>
      <c r="AF73" s="154"/>
      <c r="AG73" s="100"/>
      <c r="AH73" s="99"/>
      <c r="AI73" s="156"/>
      <c r="AJ73" s="156"/>
      <c r="AK73" s="154"/>
      <c r="AL73" s="100"/>
      <c r="AM73" s="99"/>
      <c r="AN73" s="100"/>
      <c r="AO73" s="156"/>
      <c r="AP73" s="154"/>
      <c r="AQ73" s="100"/>
      <c r="AR73" s="99"/>
      <c r="AS73" s="156"/>
      <c r="AT73" s="156"/>
      <c r="AU73" s="154"/>
      <c r="AV73" s="100"/>
      <c r="AW73" s="99"/>
      <c r="AX73" s="100"/>
      <c r="AY73" s="156"/>
      <c r="AZ73" s="154"/>
      <c r="BA73" s="100"/>
      <c r="BB73" s="99"/>
      <c r="BC73" s="156"/>
      <c r="BD73" s="156"/>
      <c r="BE73" s="154"/>
      <c r="BF73" s="100"/>
      <c r="BG73" s="99"/>
      <c r="BH73" s="156"/>
      <c r="BI73" s="156"/>
      <c r="BJ73" s="154"/>
      <c r="BK73" s="100"/>
      <c r="BL73" s="99"/>
      <c r="BM73" s="156"/>
      <c r="BN73" s="156"/>
      <c r="BO73" s="154"/>
      <c r="BP73" s="100"/>
      <c r="BQ73" s="99"/>
      <c r="BR73" s="156"/>
      <c r="BS73" s="156"/>
      <c r="BT73" s="156"/>
      <c r="BU73" s="100"/>
      <c r="BV73" s="99"/>
      <c r="BW73" s="156"/>
      <c r="BX73" s="156"/>
      <c r="BY73" s="154"/>
      <c r="BZ73" s="100"/>
      <c r="CA73" s="99"/>
    </row>
    <row r="74" spans="1:79" s="96" customFormat="1" ht="14.25" customHeight="1">
      <c r="A74" s="98"/>
      <c r="B74" s="226" t="s">
        <v>75</v>
      </c>
      <c r="C74" s="266"/>
      <c r="D74" s="224">
        <f t="shared" ref="D74:AL74" si="99">IF(D63&gt;0,D63/D80,D63/D79)</f>
        <v>0</v>
      </c>
      <c r="E74" s="223">
        <f t="shared" si="99"/>
        <v>0</v>
      </c>
      <c r="F74" s="97">
        <f t="shared" si="99"/>
        <v>0</v>
      </c>
      <c r="G74" s="97">
        <f t="shared" si="99"/>
        <v>0</v>
      </c>
      <c r="H74" s="97">
        <f t="shared" si="99"/>
        <v>0</v>
      </c>
      <c r="I74" s="224"/>
      <c r="J74" s="223"/>
      <c r="K74" s="97"/>
      <c r="L74" s="97"/>
      <c r="M74" s="97"/>
      <c r="N74" s="224"/>
      <c r="O74" s="223" t="e">
        <f t="shared" si="99"/>
        <v>#DIV/0!</v>
      </c>
      <c r="P74" s="97" t="e">
        <f t="shared" si="99"/>
        <v>#DIV/0!</v>
      </c>
      <c r="Q74" s="97" t="e">
        <f t="shared" si="99"/>
        <v>#DIV/0!</v>
      </c>
      <c r="R74" s="223" t="e">
        <f t="shared" si="99"/>
        <v>#DIV/0!</v>
      </c>
      <c r="S74" s="224"/>
      <c r="T74" s="223" t="e">
        <f t="shared" si="99"/>
        <v>#DIV/0!</v>
      </c>
      <c r="U74" s="97" t="e">
        <f t="shared" si="99"/>
        <v>#DIV/0!</v>
      </c>
      <c r="V74" s="97" t="e">
        <f t="shared" si="99"/>
        <v>#DIV/0!</v>
      </c>
      <c r="W74" s="223" t="e">
        <f t="shared" si="99"/>
        <v>#DIV/0!</v>
      </c>
      <c r="X74" s="224">
        <f t="shared" si="99"/>
        <v>-3.2997466605251038</v>
      </c>
      <c r="Y74" s="256" t="e">
        <f t="shared" si="99"/>
        <v>#DIV/0!</v>
      </c>
      <c r="Z74" s="160" t="e">
        <f t="shared" si="99"/>
        <v>#DIV/0!</v>
      </c>
      <c r="AA74" s="160" t="e">
        <f t="shared" si="99"/>
        <v>#DIV/0!</v>
      </c>
      <c r="AB74" s="256" t="e">
        <f t="shared" si="99"/>
        <v>#DIV/0!</v>
      </c>
      <c r="AC74" s="224">
        <f t="shared" si="99"/>
        <v>-2.4855264941406827</v>
      </c>
      <c r="AD74" s="160">
        <f>(AD63+AD70+AD69)/AD80</f>
        <v>-0.29547745447214568</v>
      </c>
      <c r="AE74" s="160">
        <f>(AE63+AE70)/AE80</f>
        <v>-4.893522060698801E-2</v>
      </c>
      <c r="AF74" s="160">
        <f>(AF63+AF70)/AF80</f>
        <v>-0.16730129223757984</v>
      </c>
      <c r="AG74" s="160">
        <f>(AG63+AG70+AG69)/AG80</f>
        <v>1.178522604063546E-2</v>
      </c>
      <c r="AH74" s="224">
        <f>IF(AH63&gt;0,AH63/AH80,AH63/AH79)</f>
        <v>-0.38688643981309973</v>
      </c>
      <c r="AI74" s="160">
        <f>(AI63+AI70+AI69)/AI80</f>
        <v>5.2520484651054564E-3</v>
      </c>
      <c r="AJ74" s="160">
        <f>IF(AJ63&gt;0,AJ63/AJ80,AJ63/AJ79)</f>
        <v>2.7264226346886217E-2</v>
      </c>
      <c r="AK74" s="160">
        <f>IF(AK63&gt;0,AK63/AK80,AK63/AK79)</f>
        <v>2.2941745653553632E-3</v>
      </c>
      <c r="AL74" s="97">
        <f t="shared" si="99"/>
        <v>5.5126585988415154E-2</v>
      </c>
      <c r="AM74" s="224">
        <f t="shared" ref="AM74:AS74" si="100">IF(AM63&gt;0,AM63/AM80,AM63/AM79)</f>
        <v>0.11113662456946038</v>
      </c>
      <c r="AN74" s="223">
        <f t="shared" si="100"/>
        <v>7.1312658247921309E-2</v>
      </c>
      <c r="AO74" s="160">
        <f t="shared" si="100"/>
        <v>1.0520700746272598E-2</v>
      </c>
      <c r="AP74" s="160">
        <f t="shared" si="100"/>
        <v>0.10971109899786155</v>
      </c>
      <c r="AQ74" s="97">
        <f t="shared" si="100"/>
        <v>0.11591509745622729</v>
      </c>
      <c r="AR74" s="224">
        <f t="shared" si="100"/>
        <v>0.30861210785251664</v>
      </c>
      <c r="AS74" s="256">
        <f t="shared" si="100"/>
        <v>0.1223308366129237</v>
      </c>
      <c r="AT74" s="160">
        <f t="shared" ref="AT74:BB74" si="101">IF(AT63&gt;0,AT63/AT80,AT63/AT79)</f>
        <v>0.17086756239891057</v>
      </c>
      <c r="AU74" s="160">
        <f t="shared" si="101"/>
        <v>0.2240731024833858</v>
      </c>
      <c r="AV74" s="97">
        <f t="shared" si="101"/>
        <v>0.37075687963398141</v>
      </c>
      <c r="AW74" s="224">
        <f t="shared" si="101"/>
        <v>0.89495468248279109</v>
      </c>
      <c r="AX74" s="97">
        <f t="shared" si="101"/>
        <v>0.44156993664644678</v>
      </c>
      <c r="AY74" s="160">
        <f t="shared" si="101"/>
        <v>0.47052606293538313</v>
      </c>
      <c r="AZ74" s="160">
        <f t="shared" si="101"/>
        <v>0.58188895028951726</v>
      </c>
      <c r="BA74" s="97">
        <f t="shared" si="101"/>
        <v>0.48197778539396896</v>
      </c>
      <c r="BB74" s="224">
        <f t="shared" si="101"/>
        <v>1.9760687215279256</v>
      </c>
      <c r="BC74" s="256">
        <f t="shared" ref="BC74:CA74" si="102">IF(BC63&gt;0,BC63/BC80,BC63/BC79)</f>
        <v>0.37615730064328196</v>
      </c>
      <c r="BD74" s="160">
        <f t="shared" si="102"/>
        <v>0.43822273660049987</v>
      </c>
      <c r="BE74" s="160">
        <f t="shared" si="102"/>
        <v>0.57441842371430796</v>
      </c>
      <c r="BF74" s="97">
        <f t="shared" si="102"/>
        <v>0.645951711432173</v>
      </c>
      <c r="BG74" s="224">
        <f t="shared" si="102"/>
        <v>2.0349497586594212</v>
      </c>
      <c r="BH74" s="256">
        <f t="shared" si="102"/>
        <v>0.72193626214128837</v>
      </c>
      <c r="BI74" s="160">
        <f t="shared" si="102"/>
        <v>0.71845700122963418</v>
      </c>
      <c r="BJ74" s="160">
        <f t="shared" si="102"/>
        <v>0.78742057350495542</v>
      </c>
      <c r="BK74" s="97">
        <f t="shared" si="102"/>
        <v>0.75983987098067096</v>
      </c>
      <c r="BL74" s="224">
        <f t="shared" si="102"/>
        <v>2.9877275158352701</v>
      </c>
      <c r="BM74" s="256">
        <f t="shared" si="102"/>
        <v>0.82346971833670013</v>
      </c>
      <c r="BN74" s="160">
        <f t="shared" si="102"/>
        <v>0.96504604511364833</v>
      </c>
      <c r="BO74" s="160">
        <f t="shared" si="102"/>
        <v>0.90316521805793792</v>
      </c>
      <c r="BP74" s="97">
        <f t="shared" si="102"/>
        <v>0.86186464777373228</v>
      </c>
      <c r="BQ74" s="224">
        <f t="shared" si="102"/>
        <v>3.5522895043042229</v>
      </c>
      <c r="BR74" s="256">
        <f t="shared" si="102"/>
        <v>0.89680563126139501</v>
      </c>
      <c r="BS74" s="160">
        <f t="shared" si="102"/>
        <v>0.92476630197766363</v>
      </c>
      <c r="BT74" s="160">
        <f t="shared" si="102"/>
        <v>1.0146105378504247</v>
      </c>
      <c r="BU74" s="97">
        <f t="shared" si="102"/>
        <v>0.9567650090552563</v>
      </c>
      <c r="BV74" s="224">
        <f t="shared" si="102"/>
        <v>3.7913567667128265</v>
      </c>
      <c r="BW74" s="256">
        <f t="shared" si="102"/>
        <v>0.93764396474539136</v>
      </c>
      <c r="BX74" s="160">
        <f t="shared" si="102"/>
        <v>1.0084839101916709</v>
      </c>
      <c r="BY74" s="160">
        <f t="shared" si="102"/>
        <v>1.0517348994226885</v>
      </c>
      <c r="BZ74" s="97">
        <f t="shared" si="102"/>
        <v>1.0639836195415331</v>
      </c>
      <c r="CA74" s="224">
        <f t="shared" si="102"/>
        <v>4.0618463939012805</v>
      </c>
    </row>
    <row r="75" spans="1:79" s="82" customFormat="1" ht="14.25" customHeight="1">
      <c r="A75" s="90"/>
      <c r="B75" s="247"/>
      <c r="C75" s="132" t="s">
        <v>74</v>
      </c>
      <c r="D75" s="93"/>
      <c r="E75" s="94"/>
      <c r="F75" s="94"/>
      <c r="G75" s="94"/>
      <c r="H75" s="94"/>
      <c r="I75" s="93"/>
      <c r="J75" s="94"/>
      <c r="K75" s="94"/>
      <c r="L75" s="94"/>
      <c r="M75" s="94"/>
      <c r="N75" s="93"/>
      <c r="O75" s="290" t="s">
        <v>173</v>
      </c>
      <c r="P75" s="290" t="s">
        <v>173</v>
      </c>
      <c r="Q75" s="290" t="s">
        <v>173</v>
      </c>
      <c r="R75" s="290" t="s">
        <v>173</v>
      </c>
      <c r="S75" s="93"/>
      <c r="T75" s="152"/>
      <c r="U75" s="152"/>
      <c r="V75" s="94"/>
      <c r="W75" s="94"/>
      <c r="X75" s="93"/>
      <c r="Y75" s="153" t="e">
        <f>Y74/T74-1</f>
        <v>#DIV/0!</v>
      </c>
      <c r="Z75" s="153" t="e">
        <f>Z74/U74-1</f>
        <v>#DIV/0!</v>
      </c>
      <c r="AA75" s="153" t="e">
        <f>AA74/V74-1</f>
        <v>#DIV/0!</v>
      </c>
      <c r="AB75" s="153" t="e">
        <f>AB74/W74-1</f>
        <v>#DIV/0!</v>
      </c>
      <c r="AC75" s="93">
        <f>AC74/X74-1</f>
        <v>-0.24675232681494719</v>
      </c>
      <c r="AD75" s="153" t="e">
        <f t="shared" ref="AD75:AM75" si="103">AD74/Y74-1</f>
        <v>#DIV/0!</v>
      </c>
      <c r="AE75" s="153" t="e">
        <f t="shared" si="103"/>
        <v>#DIV/0!</v>
      </c>
      <c r="AF75" s="153" t="e">
        <f t="shared" si="103"/>
        <v>#DIV/0!</v>
      </c>
      <c r="AG75" s="153" t="e">
        <f t="shared" si="103"/>
        <v>#DIV/0!</v>
      </c>
      <c r="AH75" s="93">
        <f t="shared" si="103"/>
        <v>-0.84434427042916815</v>
      </c>
      <c r="AI75" s="153">
        <f t="shared" si="103"/>
        <v>-1.0177747858106059</v>
      </c>
      <c r="AJ75" s="153">
        <f t="shared" si="103"/>
        <v>-1.557149349869138</v>
      </c>
      <c r="AK75" s="153">
        <f>AK74/AF74-1</f>
        <v>-1.0137128323079385</v>
      </c>
      <c r="AL75" s="94">
        <f t="shared" si="103"/>
        <v>3.6776010742890026</v>
      </c>
      <c r="AM75" s="93">
        <f t="shared" si="103"/>
        <v>-1.2872590329688194</v>
      </c>
      <c r="AN75" s="94">
        <f t="shared" ref="AN75:AW75" si="104">AN74/AI74-1</f>
        <v>12.578065534185701</v>
      </c>
      <c r="AO75" s="153">
        <f t="shared" si="104"/>
        <v>-0.61412069381993883</v>
      </c>
      <c r="AP75" s="153">
        <f t="shared" si="104"/>
        <v>46.821600262954497</v>
      </c>
      <c r="AQ75" s="94">
        <f t="shared" si="104"/>
        <v>1.1027077113135002</v>
      </c>
      <c r="AR75" s="93">
        <f t="shared" si="104"/>
        <v>1.7768713423506406</v>
      </c>
      <c r="AS75" s="153">
        <f t="shared" si="104"/>
        <v>0.71541546225405939</v>
      </c>
      <c r="AT75" s="153">
        <f t="shared" si="104"/>
        <v>15.241081893660706</v>
      </c>
      <c r="AU75" s="153">
        <f t="shared" si="104"/>
        <v>1.0423922878372895</v>
      </c>
      <c r="AV75" s="94">
        <f t="shared" si="104"/>
        <v>2.1985210535149604</v>
      </c>
      <c r="AW75" s="93">
        <f t="shared" si="104"/>
        <v>1.899933799455733</v>
      </c>
      <c r="AX75" s="94">
        <f t="shared" ref="AX75:CA75" si="105">AX74/AS74-1</f>
        <v>2.6096371844791006</v>
      </c>
      <c r="AY75" s="153">
        <f t="shared" si="105"/>
        <v>1.753747149718706</v>
      </c>
      <c r="AZ75" s="153">
        <f t="shared" si="105"/>
        <v>1.5968710382481635</v>
      </c>
      <c r="BA75" s="94">
        <f t="shared" si="105"/>
        <v>0.29998339038182387</v>
      </c>
      <c r="BB75" s="93">
        <f t="shared" si="105"/>
        <v>1.2080098134644075</v>
      </c>
      <c r="BC75" s="153">
        <f t="shared" si="105"/>
        <v>-0.14813652509939546</v>
      </c>
      <c r="BD75" s="153">
        <f t="shared" si="105"/>
        <v>-6.8653638723769173E-2</v>
      </c>
      <c r="BE75" s="153">
        <f t="shared" si="105"/>
        <v>-1.2838405973325973E-2</v>
      </c>
      <c r="BF75" s="94">
        <f t="shared" si="105"/>
        <v>0.34021054705700116</v>
      </c>
      <c r="BG75" s="93">
        <f t="shared" si="105"/>
        <v>2.9797059429172101E-2</v>
      </c>
      <c r="BH75" s="153">
        <f t="shared" si="105"/>
        <v>0.919240330858063</v>
      </c>
      <c r="BI75" s="153">
        <f t="shared" si="105"/>
        <v>0.63947906218432093</v>
      </c>
      <c r="BJ75" s="153">
        <f t="shared" si="105"/>
        <v>0.37081357595275533</v>
      </c>
      <c r="BK75" s="94">
        <f t="shared" si="105"/>
        <v>0.17631063984022988</v>
      </c>
      <c r="BL75" s="93">
        <f t="shared" si="105"/>
        <v>0.46820701745654758</v>
      </c>
      <c r="BM75" s="153">
        <f t="shared" si="105"/>
        <v>0.1406404713544378</v>
      </c>
      <c r="BN75" s="153">
        <f t="shared" si="105"/>
        <v>0.34322032280564985</v>
      </c>
      <c r="BO75" s="153">
        <f t="shared" si="105"/>
        <v>0.14699215190400916</v>
      </c>
      <c r="BP75" s="94">
        <f t="shared" si="105"/>
        <v>0.13427141782042207</v>
      </c>
      <c r="BQ75" s="93">
        <f t="shared" si="105"/>
        <v>0.18896033372411458</v>
      </c>
      <c r="BR75" s="153">
        <f t="shared" si="105"/>
        <v>8.9057206709220349E-2</v>
      </c>
      <c r="BS75" s="153">
        <f t="shared" si="105"/>
        <v>-4.1738674895290817E-2</v>
      </c>
      <c r="BT75" s="153">
        <f t="shared" si="105"/>
        <v>0.12339416705187767</v>
      </c>
      <c r="BU75" s="94">
        <f t="shared" si="105"/>
        <v>0.11011051622393309</v>
      </c>
      <c r="BV75" s="93">
        <f t="shared" si="105"/>
        <v>6.7299487307814099E-2</v>
      </c>
      <c r="BW75" s="153">
        <f t="shared" si="105"/>
        <v>4.5537552464468334E-2</v>
      </c>
      <c r="BX75" s="153">
        <f t="shared" si="105"/>
        <v>9.0528394076398122E-2</v>
      </c>
      <c r="BY75" s="153">
        <f t="shared" si="105"/>
        <v>3.6589765419661635E-2</v>
      </c>
      <c r="BZ75" s="94">
        <f t="shared" si="105"/>
        <v>0.11206368279725054</v>
      </c>
      <c r="CA75" s="93">
        <f t="shared" si="105"/>
        <v>7.1343754711581386E-2</v>
      </c>
    </row>
    <row r="76" spans="1:79" ht="14.25" customHeight="1">
      <c r="A76" s="63"/>
      <c r="B76" s="92" t="s">
        <v>4</v>
      </c>
      <c r="C76" s="264"/>
      <c r="D76" s="91">
        <f>D71/D80</f>
        <v>0</v>
      </c>
      <c r="E76" s="67">
        <f>E71/E80</f>
        <v>0</v>
      </c>
      <c r="F76" s="67">
        <f>F71/F80</f>
        <v>0</v>
      </c>
      <c r="G76" s="67">
        <f>G71/G80</f>
        <v>0</v>
      </c>
      <c r="H76" s="67">
        <f>H71/H80</f>
        <v>0</v>
      </c>
      <c r="I76" s="91"/>
      <c r="J76" s="67"/>
      <c r="K76" s="67"/>
      <c r="L76" s="67"/>
      <c r="M76" s="67"/>
      <c r="N76" s="91"/>
      <c r="O76" s="67" t="e">
        <f t="shared" ref="O76:AC76" si="106">O71/O80</f>
        <v>#DIV/0!</v>
      </c>
      <c r="P76" s="67" t="e">
        <f t="shared" si="106"/>
        <v>#DIV/0!</v>
      </c>
      <c r="Q76" s="67" t="e">
        <f t="shared" si="106"/>
        <v>#DIV/0!</v>
      </c>
      <c r="R76" s="67" t="e">
        <f t="shared" si="106"/>
        <v>#DIV/0!</v>
      </c>
      <c r="S76" s="91"/>
      <c r="T76" s="67" t="e">
        <f t="shared" si="106"/>
        <v>#DIV/0!</v>
      </c>
      <c r="U76" s="67" t="e">
        <f t="shared" si="106"/>
        <v>#DIV/0!</v>
      </c>
      <c r="V76" s="67" t="e">
        <f t="shared" si="106"/>
        <v>#DIV/0!</v>
      </c>
      <c r="W76" s="67" t="e">
        <f t="shared" si="106"/>
        <v>#DIV/0!</v>
      </c>
      <c r="X76" s="91">
        <f>X71/X80</f>
        <v>-4.7836634423460769</v>
      </c>
      <c r="Y76" s="122" t="e">
        <f t="shared" si="106"/>
        <v>#DIV/0!</v>
      </c>
      <c r="Z76" s="122" t="e">
        <f t="shared" si="106"/>
        <v>#DIV/0!</v>
      </c>
      <c r="AA76" s="122" t="e">
        <f t="shared" si="106"/>
        <v>#DIV/0!</v>
      </c>
      <c r="AB76" s="122" t="e">
        <f t="shared" si="106"/>
        <v>#DIV/0!</v>
      </c>
      <c r="AC76" s="91">
        <f t="shared" si="106"/>
        <v>-4.1189418146827368</v>
      </c>
      <c r="AD76" s="444">
        <f>(AD71+AD70)/AD79</f>
        <v>-0.6631654452129313</v>
      </c>
      <c r="AE76" s="444">
        <f>(AE71+AE70)/AE79</f>
        <v>-0.39202436031726062</v>
      </c>
      <c r="AF76" s="444">
        <f>(AF71+AF70)/AF79</f>
        <v>-0.44616676161064972</v>
      </c>
      <c r="AG76" s="444">
        <f>(AG71+AG70)/AG79</f>
        <v>-0.1955793703951775</v>
      </c>
      <c r="AH76" s="91">
        <f>AH71/AH79</f>
        <v>-1.6198042229432645</v>
      </c>
      <c r="AI76" s="444">
        <f>(AI71+AI70)/AI79</f>
        <v>-7.4596796389057083</v>
      </c>
      <c r="AJ76" s="122">
        <f t="shared" ref="AJ76:AQ76" si="107">AJ71/AJ79</f>
        <v>-0.22105681462392524</v>
      </c>
      <c r="AK76" s="122">
        <f t="shared" si="107"/>
        <v>-0.31485787189392855</v>
      </c>
      <c r="AL76" s="67">
        <f t="shared" si="107"/>
        <v>-0.39603273768600278</v>
      </c>
      <c r="AM76" s="91">
        <f>AM71/AM79</f>
        <v>-3.1028072858809539</v>
      </c>
      <c r="AN76" s="122">
        <f t="shared" si="107"/>
        <v>-0.26566957774795036</v>
      </c>
      <c r="AO76" s="122">
        <f t="shared" si="107"/>
        <v>-0.39131302419193909</v>
      </c>
      <c r="AP76" s="122">
        <f t="shared" si="107"/>
        <v>-0.26132552687954957</v>
      </c>
      <c r="AQ76" s="67">
        <f t="shared" si="107"/>
        <v>-0.26212132102908897</v>
      </c>
      <c r="AR76" s="91">
        <f t="shared" ref="AR76:BQ76" si="108">IF(AR71&gt;0,AR71/AR80,AR71/AR79)</f>
        <v>-1.0300242123897814</v>
      </c>
      <c r="AS76" s="122">
        <f t="shared" si="108"/>
        <v>-0.2612554514750407</v>
      </c>
      <c r="AT76" s="122">
        <f t="shared" si="108"/>
        <v>-0.34923348227326328</v>
      </c>
      <c r="AU76" s="122">
        <f t="shared" si="108"/>
        <v>-0.31375420414862976</v>
      </c>
      <c r="AV76" s="67">
        <f t="shared" si="108"/>
        <v>-0.38370682026526493</v>
      </c>
      <c r="AW76" s="91">
        <f t="shared" si="108"/>
        <v>-1.3096826294112898</v>
      </c>
      <c r="AX76" s="67">
        <f t="shared" si="108"/>
        <v>-4.2986076092661391E-2</v>
      </c>
      <c r="AY76" s="122">
        <f t="shared" si="108"/>
        <v>-0.13010979815914611</v>
      </c>
      <c r="AZ76" s="122">
        <f t="shared" si="108"/>
        <v>-2.8725132466586031E-2</v>
      </c>
      <c r="BA76" s="67">
        <f t="shared" si="108"/>
        <v>-0.15323096126067634</v>
      </c>
      <c r="BB76" s="91">
        <f t="shared" si="108"/>
        <v>-0.35583037341950774</v>
      </c>
      <c r="BC76" s="122">
        <f t="shared" si="108"/>
        <v>-0.13709394689130849</v>
      </c>
      <c r="BD76" s="122">
        <f t="shared" si="108"/>
        <v>-0.22469569031692072</v>
      </c>
      <c r="BE76" s="122">
        <f t="shared" si="108"/>
        <v>-0.14829711062450035</v>
      </c>
      <c r="BF76" s="67">
        <f t="shared" si="108"/>
        <v>2.3577038689033259E-2</v>
      </c>
      <c r="BG76" s="91">
        <f t="shared" si="108"/>
        <v>-0.48510461427801649</v>
      </c>
      <c r="BH76" s="122">
        <f t="shared" si="108"/>
        <v>2.5904619096366144E-3</v>
      </c>
      <c r="BI76" s="122">
        <f t="shared" si="108"/>
        <v>3.5520096833691978E-2</v>
      </c>
      <c r="BJ76" s="122">
        <f t="shared" si="108"/>
        <v>0.18651407807588413</v>
      </c>
      <c r="BK76" s="67">
        <f t="shared" si="108"/>
        <v>0.12997838544524551</v>
      </c>
      <c r="BL76" s="91">
        <f t="shared" si="108"/>
        <v>0.35486354446227236</v>
      </c>
      <c r="BM76" s="122">
        <f t="shared" si="108"/>
        <v>0.16084155962953081</v>
      </c>
      <c r="BN76" s="122">
        <f t="shared" si="108"/>
        <v>4.2646273658738005</v>
      </c>
      <c r="BO76" s="122">
        <f t="shared" si="108"/>
        <v>0.29909537818749821</v>
      </c>
      <c r="BP76" s="67">
        <f t="shared" si="108"/>
        <v>0.38922272932818042</v>
      </c>
      <c r="BQ76" s="91">
        <f t="shared" si="108"/>
        <v>5.0768080648170928</v>
      </c>
      <c r="BR76" s="122">
        <f>IF(BR71&gt;0,BR71/BR80,BR71/BR79)</f>
        <v>0.33873559761667577</v>
      </c>
      <c r="BS76" s="122">
        <f t="shared" ref="BS76:CA76" si="109">IF(BS71&gt;0,BS71/BS80,BS71/BS79)</f>
        <v>0.2984982650410512</v>
      </c>
      <c r="BT76" s="122">
        <f>IF(BT71&gt;0,BT71/BT80,BT71/BT79)</f>
        <v>0.40239055313381616</v>
      </c>
      <c r="BU76" s="122">
        <f t="shared" si="109"/>
        <v>0.38419476031454142</v>
      </c>
      <c r="BV76" s="91">
        <f t="shared" si="109"/>
        <v>1.4222994947879539</v>
      </c>
      <c r="BW76" s="122">
        <f t="shared" si="109"/>
        <v>0.29766538566449446</v>
      </c>
      <c r="BX76" s="122">
        <f t="shared" si="109"/>
        <v>0.38621531747234383</v>
      </c>
      <c r="BY76" s="122">
        <f t="shared" si="109"/>
        <v>0.440279054011116</v>
      </c>
      <c r="BZ76" s="67">
        <f t="shared" si="109"/>
        <v>0.19162033999525757</v>
      </c>
      <c r="CA76" s="91">
        <f t="shared" si="109"/>
        <v>1.3157800971432088</v>
      </c>
    </row>
    <row r="77" spans="1:79" s="82" customFormat="1" ht="14.25" customHeight="1" thickBot="1">
      <c r="A77" s="90"/>
      <c r="B77" s="89"/>
      <c r="C77" s="272" t="s">
        <v>74</v>
      </c>
      <c r="D77" s="86"/>
      <c r="E77" s="171"/>
      <c r="F77" s="171"/>
      <c r="G77" s="171"/>
      <c r="H77" s="171"/>
      <c r="I77" s="86"/>
      <c r="J77" s="171"/>
      <c r="K77" s="171"/>
      <c r="L77" s="171"/>
      <c r="M77" s="171"/>
      <c r="N77" s="86"/>
      <c r="O77" s="290" t="s">
        <v>173</v>
      </c>
      <c r="P77" s="290" t="s">
        <v>173</v>
      </c>
      <c r="Q77" s="290" t="s">
        <v>173</v>
      </c>
      <c r="R77" s="290" t="s">
        <v>173</v>
      </c>
      <c r="S77" s="86"/>
      <c r="T77" s="250"/>
      <c r="U77" s="88"/>
      <c r="V77" s="87"/>
      <c r="W77" s="171"/>
      <c r="X77" s="86"/>
      <c r="Y77" s="257" t="e">
        <f>Y76/T76-1</f>
        <v>#DIV/0!</v>
      </c>
      <c r="Z77" s="161" t="e">
        <f>Z76/U76-1</f>
        <v>#DIV/0!</v>
      </c>
      <c r="AA77" s="161" t="e">
        <f>AA76/V76-1</f>
        <v>#DIV/0!</v>
      </c>
      <c r="AB77" s="257" t="e">
        <f>AB76/W76-1</f>
        <v>#DIV/0!</v>
      </c>
      <c r="AC77" s="86">
        <f>AC76/X76-1</f>
        <v>-0.13895660421656608</v>
      </c>
      <c r="AD77" s="161" t="e">
        <f t="shared" ref="AD77:AM77" si="110">AD76/Y76-1</f>
        <v>#DIV/0!</v>
      </c>
      <c r="AE77" s="161" t="e">
        <f t="shared" si="110"/>
        <v>#DIV/0!</v>
      </c>
      <c r="AF77" s="161" t="e">
        <f t="shared" si="110"/>
        <v>#DIV/0!</v>
      </c>
      <c r="AG77" s="161" t="e">
        <f t="shared" si="110"/>
        <v>#DIV/0!</v>
      </c>
      <c r="AH77" s="86">
        <f t="shared" si="110"/>
        <v>-0.60674263055400046</v>
      </c>
      <c r="AI77" s="161">
        <f t="shared" si="110"/>
        <v>10.248595192577518</v>
      </c>
      <c r="AJ77" s="161">
        <f t="shared" si="110"/>
        <v>-0.43611459643725559</v>
      </c>
      <c r="AK77" s="161">
        <f t="shared" si="110"/>
        <v>-0.2943045090196762</v>
      </c>
      <c r="AL77" s="87">
        <f t="shared" si="110"/>
        <v>1.024920812894528</v>
      </c>
      <c r="AM77" s="86">
        <f t="shared" si="110"/>
        <v>0.91554463306867984</v>
      </c>
      <c r="AN77" s="171">
        <f t="shared" ref="AN77:AW77" si="111">AN76/AI76-1</f>
        <v>-0.96438592666066247</v>
      </c>
      <c r="AO77" s="161">
        <f t="shared" si="111"/>
        <v>0.7701920877565509</v>
      </c>
      <c r="AP77" s="161">
        <f t="shared" si="111"/>
        <v>-0.17002066580826447</v>
      </c>
      <c r="AQ77" s="87">
        <f t="shared" si="111"/>
        <v>-0.33813218937240075</v>
      </c>
      <c r="AR77" s="86">
        <f t="shared" si="111"/>
        <v>-0.66803474483355307</v>
      </c>
      <c r="AS77" s="257">
        <f t="shared" si="111"/>
        <v>-1.6615098764140357E-2</v>
      </c>
      <c r="AT77" s="161">
        <f t="shared" si="111"/>
        <v>-0.10753422277617775</v>
      </c>
      <c r="AU77" s="161">
        <f t="shared" si="111"/>
        <v>0.20062593155411745</v>
      </c>
      <c r="AV77" s="87">
        <f t="shared" si="111"/>
        <v>0.46385200089344503</v>
      </c>
      <c r="AW77" s="86">
        <f t="shared" si="111"/>
        <v>0.27150664388040635</v>
      </c>
      <c r="AX77" s="87">
        <f t="shared" ref="AX77:CA77" si="112">AX76/AS76-1</f>
        <v>-0.83546342918410599</v>
      </c>
      <c r="AY77" s="161">
        <f t="shared" si="112"/>
        <v>-0.62744179821412538</v>
      </c>
      <c r="AZ77" s="161">
        <f t="shared" si="112"/>
        <v>-0.90844701971553965</v>
      </c>
      <c r="BA77" s="87">
        <f t="shared" si="112"/>
        <v>-0.60065614378513144</v>
      </c>
      <c r="BB77" s="86">
        <f t="shared" si="112"/>
        <v>-0.72830793855801867</v>
      </c>
      <c r="BC77" s="257">
        <f t="shared" si="112"/>
        <v>2.1892640443800184</v>
      </c>
      <c r="BD77" s="161">
        <f t="shared" si="112"/>
        <v>0.72696978625760522</v>
      </c>
      <c r="BE77" s="161">
        <f t="shared" si="112"/>
        <v>4.162625822422374</v>
      </c>
      <c r="BF77" s="87">
        <f t="shared" si="112"/>
        <v>-1.1538660235180802</v>
      </c>
      <c r="BG77" s="86">
        <f t="shared" si="112"/>
        <v>0.36330299635804364</v>
      </c>
      <c r="BH77" s="257">
        <f t="shared" si="112"/>
        <v>-1.0188955236053594</v>
      </c>
      <c r="BI77" s="161">
        <f t="shared" si="112"/>
        <v>-1.1580808994760552</v>
      </c>
      <c r="BJ77" s="161">
        <f t="shared" si="112"/>
        <v>-2.2577054083552044</v>
      </c>
      <c r="BK77" s="87">
        <f t="shared" si="112"/>
        <v>4.5129224309965741</v>
      </c>
      <c r="BL77" s="86">
        <f t="shared" si="112"/>
        <v>-1.731519622814591</v>
      </c>
      <c r="BM77" s="257">
        <f t="shared" si="112"/>
        <v>61.089914941885169</v>
      </c>
      <c r="BN77" s="161">
        <f t="shared" si="112"/>
        <v>119.06238006166305</v>
      </c>
      <c r="BO77" s="161">
        <f t="shared" si="112"/>
        <v>0.60360751999540674</v>
      </c>
      <c r="BP77" s="87">
        <f t="shared" si="112"/>
        <v>1.994518880926889</v>
      </c>
      <c r="BQ77" s="86">
        <f t="shared" si="112"/>
        <v>13.306366895224533</v>
      </c>
      <c r="BR77" s="257">
        <f t="shared" si="112"/>
        <v>1.1060203494475647</v>
      </c>
      <c r="BS77" s="161">
        <f t="shared" si="112"/>
        <v>-0.93000601472717648</v>
      </c>
      <c r="BT77" s="161">
        <f t="shared" si="112"/>
        <v>0.34535864636986746</v>
      </c>
      <c r="BU77" s="87">
        <f t="shared" si="112"/>
        <v>-1.291797378410442E-2</v>
      </c>
      <c r="BV77" s="86">
        <f t="shared" si="112"/>
        <v>-0.71984375287995128</v>
      </c>
      <c r="BW77" s="257">
        <f t="shared" si="112"/>
        <v>-0.12124563299856572</v>
      </c>
      <c r="BX77" s="161">
        <f t="shared" si="112"/>
        <v>0.29386118012856555</v>
      </c>
      <c r="BY77" s="161">
        <f t="shared" si="112"/>
        <v>9.4158524801897903E-2</v>
      </c>
      <c r="BZ77" s="87">
        <f t="shared" si="112"/>
        <v>-0.50124166233194489</v>
      </c>
      <c r="CA77" s="86">
        <f t="shared" si="112"/>
        <v>-7.4892382395612023E-2</v>
      </c>
    </row>
    <row r="78" spans="1:79" ht="7.9" customHeight="1">
      <c r="A78" s="81"/>
      <c r="B78" s="187"/>
      <c r="C78" s="186"/>
      <c r="D78" s="182"/>
      <c r="E78" s="183"/>
      <c r="F78" s="79"/>
      <c r="G78" s="79"/>
      <c r="H78" s="79"/>
      <c r="I78" s="182"/>
      <c r="J78" s="183"/>
      <c r="K78" s="79"/>
      <c r="L78" s="79"/>
      <c r="M78" s="79"/>
      <c r="N78" s="182"/>
      <c r="O78" s="183"/>
      <c r="P78" s="79"/>
      <c r="Q78" s="79"/>
      <c r="R78" s="183"/>
      <c r="S78" s="182"/>
      <c r="T78" s="251"/>
      <c r="U78" s="85"/>
      <c r="V78" s="78"/>
      <c r="W78" s="184"/>
      <c r="X78" s="182"/>
      <c r="Y78" s="258"/>
      <c r="Z78" s="162"/>
      <c r="AA78" s="162"/>
      <c r="AB78" s="258"/>
      <c r="AC78" s="182"/>
      <c r="AD78" s="258"/>
      <c r="AE78" s="162"/>
      <c r="AF78" s="162"/>
      <c r="AG78" s="183"/>
      <c r="AH78" s="182"/>
      <c r="AI78" s="258"/>
      <c r="AJ78" s="162"/>
      <c r="AK78" s="162"/>
      <c r="AL78" s="183"/>
      <c r="AM78" s="182"/>
      <c r="AN78" s="183"/>
      <c r="AO78" s="162"/>
      <c r="AP78" s="162"/>
      <c r="AQ78" s="183"/>
      <c r="AR78" s="182"/>
      <c r="AS78" s="258"/>
      <c r="AT78" s="162"/>
      <c r="AU78" s="162"/>
      <c r="AV78" s="183"/>
      <c r="AW78" s="182"/>
      <c r="AX78" s="183"/>
      <c r="AY78" s="162"/>
      <c r="AZ78" s="162"/>
      <c r="BA78" s="183"/>
      <c r="BB78" s="182"/>
      <c r="BC78" s="258"/>
      <c r="BD78" s="162"/>
      <c r="BE78" s="162"/>
      <c r="BF78" s="183"/>
      <c r="BG78" s="182"/>
      <c r="BH78" s="258"/>
      <c r="BI78" s="162"/>
      <c r="BJ78" s="162"/>
      <c r="BK78" s="183"/>
      <c r="BL78" s="182"/>
      <c r="BM78" s="258"/>
      <c r="BN78" s="162"/>
      <c r="BO78" s="162"/>
      <c r="BP78" s="183"/>
      <c r="BQ78" s="182"/>
      <c r="BR78" s="258"/>
      <c r="BS78" s="162"/>
      <c r="BT78" s="162"/>
      <c r="BU78" s="183"/>
      <c r="BV78" s="182"/>
      <c r="BW78" s="258"/>
      <c r="BX78" s="162"/>
      <c r="BY78" s="162"/>
      <c r="BZ78" s="183"/>
      <c r="CA78" s="182"/>
    </row>
    <row r="79" spans="1:79" ht="14.25" customHeight="1">
      <c r="A79" s="75"/>
      <c r="B79" s="982" t="s">
        <v>73</v>
      </c>
      <c r="C79" s="77"/>
      <c r="D79" s="71">
        <v>52876.999000000003</v>
      </c>
      <c r="E79" s="275">
        <v>54419.498</v>
      </c>
      <c r="F79" s="275">
        <v>55146.900999999998</v>
      </c>
      <c r="G79" s="275">
        <v>55688.824000000001</v>
      </c>
      <c r="H79" s="275">
        <v>54209.684999999998</v>
      </c>
      <c r="I79" s="71"/>
      <c r="J79" s="275"/>
      <c r="K79" s="275"/>
      <c r="L79" s="275"/>
      <c r="M79" s="275"/>
      <c r="N79" s="71"/>
      <c r="O79" s="72"/>
      <c r="P79" s="72"/>
      <c r="Q79" s="72"/>
      <c r="R79" s="72"/>
      <c r="S79" s="71"/>
      <c r="T79" s="72"/>
      <c r="U79" s="72"/>
      <c r="V79" s="72"/>
      <c r="W79" s="72"/>
      <c r="X79" s="71">
        <v>26052</v>
      </c>
      <c r="Y79" s="113"/>
      <c r="Z79" s="113"/>
      <c r="AA79" s="113"/>
      <c r="AB79" s="113"/>
      <c r="AC79" s="71">
        <v>28019.817999999999</v>
      </c>
      <c r="AD79" s="113">
        <v>29761.804</v>
      </c>
      <c r="AE79" s="113">
        <v>31638.34</v>
      </c>
      <c r="AF79" s="113">
        <v>33353</v>
      </c>
      <c r="AG79" s="113">
        <v>34339</v>
      </c>
      <c r="AH79" s="71">
        <f>AVERAGE(AD79:AG79)</f>
        <v>32273.036</v>
      </c>
      <c r="AI79" s="113">
        <v>36334</v>
      </c>
      <c r="AJ79" s="113">
        <v>166084</v>
      </c>
      <c r="AK79" s="113">
        <v>167736</v>
      </c>
      <c r="AL79" s="113">
        <v>167269</v>
      </c>
      <c r="AM79" s="71">
        <f>AVERAGE(AI79:AL79)</f>
        <v>134355.75</v>
      </c>
      <c r="AN79" s="72">
        <v>172101</v>
      </c>
      <c r="AO79" s="113">
        <v>175389</v>
      </c>
      <c r="AP79" s="113">
        <v>178314</v>
      </c>
      <c r="AQ79" s="113">
        <v>180859</v>
      </c>
      <c r="AR79" s="71">
        <f>AVERAGE(AN79:AQ79)</f>
        <v>176665.75</v>
      </c>
      <c r="AS79" s="113">
        <v>182978</v>
      </c>
      <c r="AT79" s="113">
        <v>184862</v>
      </c>
      <c r="AU79" s="113">
        <v>186423</v>
      </c>
      <c r="AV79" s="113">
        <v>188717</v>
      </c>
      <c r="AW79" s="71">
        <f>AVERAGE(AS79:AV79)</f>
        <v>185745</v>
      </c>
      <c r="AX79" s="113">
        <v>194342</v>
      </c>
      <c r="AY79" s="835">
        <v>195996</v>
      </c>
      <c r="AZ79" s="113">
        <v>197597</v>
      </c>
      <c r="BA79" s="113">
        <v>198687</v>
      </c>
      <c r="BB79" s="71">
        <f>AVERAGE(AX79:BA79)</f>
        <v>196655.5</v>
      </c>
      <c r="BC79" s="113">
        <v>199666</v>
      </c>
      <c r="BD79" s="113">
        <v>200618</v>
      </c>
      <c r="BE79" s="113">
        <v>201393</v>
      </c>
      <c r="BF79" s="113">
        <v>201894</v>
      </c>
      <c r="BG79" s="71">
        <f>AVERAGE(BC79:BF79)</f>
        <v>200892.75</v>
      </c>
      <c r="BH79" s="113">
        <v>202631</v>
      </c>
      <c r="BI79" s="113">
        <v>203703</v>
      </c>
      <c r="BJ79" s="113">
        <v>204456</v>
      </c>
      <c r="BK79" s="113">
        <v>205514</v>
      </c>
      <c r="BL79" s="71">
        <f>AVERAGE(BH79:BK79)</f>
        <v>204076</v>
      </c>
      <c r="BM79" s="113">
        <v>205870</v>
      </c>
      <c r="BN79" s="113">
        <v>204604</v>
      </c>
      <c r="BO79" s="113">
        <v>203567</v>
      </c>
      <c r="BP79" s="113">
        <v>203299</v>
      </c>
      <c r="BQ79" s="71">
        <f>AVERAGE(BM79:BP79)</f>
        <v>204335</v>
      </c>
      <c r="BR79" s="113">
        <v>203280</v>
      </c>
      <c r="BS79" s="113">
        <v>202644</v>
      </c>
      <c r="BT79" s="113">
        <v>201954</v>
      </c>
      <c r="BU79" s="113">
        <f>+BT79-100</f>
        <v>201854</v>
      </c>
      <c r="BV79" s="71">
        <f>AVERAGE(BR79:BU79)</f>
        <v>202433</v>
      </c>
      <c r="BW79" s="113">
        <f>+BV79</f>
        <v>202433</v>
      </c>
      <c r="BX79" s="113">
        <f>+BW79</f>
        <v>202433</v>
      </c>
      <c r="BY79" s="113">
        <f>+BX79</f>
        <v>202433</v>
      </c>
      <c r="BZ79" s="113">
        <f>+BY79</f>
        <v>202433</v>
      </c>
      <c r="CA79" s="71">
        <f>AVERAGE(BW79:BZ79)</f>
        <v>202433</v>
      </c>
    </row>
    <row r="80" spans="1:79" ht="14.25" customHeight="1" thickBot="1">
      <c r="A80" s="81"/>
      <c r="B80" s="84" t="s">
        <v>72</v>
      </c>
      <c r="C80" s="136"/>
      <c r="D80" s="71">
        <v>55008.741999999998</v>
      </c>
      <c r="E80" s="275">
        <v>56389.728999999999</v>
      </c>
      <c r="F80" s="275">
        <v>57150.256000000001</v>
      </c>
      <c r="G80" s="275">
        <v>57760.868000000002</v>
      </c>
      <c r="H80" s="275">
        <v>54209.684999999998</v>
      </c>
      <c r="I80" s="71"/>
      <c r="J80" s="275"/>
      <c r="K80" s="275"/>
      <c r="L80" s="275"/>
      <c r="M80" s="275"/>
      <c r="N80" s="71"/>
      <c r="O80" s="72"/>
      <c r="P80" s="72"/>
      <c r="Q80" s="72"/>
      <c r="R80" s="72"/>
      <c r="S80" s="71"/>
      <c r="T80" s="72"/>
      <c r="U80" s="72"/>
      <c r="V80" s="72"/>
      <c r="W80" s="72"/>
      <c r="X80" s="71">
        <v>26052</v>
      </c>
      <c r="Y80" s="113"/>
      <c r="Z80" s="113"/>
      <c r="AA80" s="113"/>
      <c r="AB80" s="113"/>
      <c r="AC80" s="71">
        <v>28019.817999999999</v>
      </c>
      <c r="AD80" s="113">
        <v>29762</v>
      </c>
      <c r="AE80" s="113">
        <v>31368</v>
      </c>
      <c r="AF80" s="113">
        <v>33353</v>
      </c>
      <c r="AG80" s="113">
        <v>42426</v>
      </c>
      <c r="AH80" s="71">
        <f>AVERAGE(AD80:AG80)</f>
        <v>34227.25</v>
      </c>
      <c r="AI80" s="113">
        <v>60167</v>
      </c>
      <c r="AJ80" s="113">
        <v>191423</v>
      </c>
      <c r="AK80" s="113">
        <v>192226</v>
      </c>
      <c r="AL80" s="113">
        <v>187659</v>
      </c>
      <c r="AM80" s="71">
        <f>AVERAGE(AI80:AL80)</f>
        <v>157868.75</v>
      </c>
      <c r="AN80" s="72">
        <v>189181</v>
      </c>
      <c r="AO80" s="113">
        <v>189341</v>
      </c>
      <c r="AP80" s="113">
        <v>190792</v>
      </c>
      <c r="AQ80" s="113">
        <v>193728</v>
      </c>
      <c r="AR80" s="71">
        <f>AVERAGE(AN80:AQ80)</f>
        <v>190760.5</v>
      </c>
      <c r="AS80" s="113">
        <v>196925</v>
      </c>
      <c r="AT80" s="113">
        <v>203409</v>
      </c>
      <c r="AU80" s="113">
        <v>205848</v>
      </c>
      <c r="AV80" s="113">
        <v>208514</v>
      </c>
      <c r="AW80" s="71">
        <f>AVERAGE(AS80:AV80)</f>
        <v>203674</v>
      </c>
      <c r="AX80" s="113">
        <v>207881</v>
      </c>
      <c r="AY80" s="113">
        <v>208150</v>
      </c>
      <c r="AZ80" s="113">
        <v>208105</v>
      </c>
      <c r="BA80" s="113">
        <v>207161</v>
      </c>
      <c r="BB80" s="71">
        <f>AVERAGE(AX80:BA80)</f>
        <v>207824.25</v>
      </c>
      <c r="BC80" s="113">
        <v>205975</v>
      </c>
      <c r="BD80" s="113">
        <v>205642</v>
      </c>
      <c r="BE80" s="113">
        <v>205648</v>
      </c>
      <c r="BF80" s="113">
        <v>206260</v>
      </c>
      <c r="BG80" s="71">
        <f>AVERAGE(BC80:BF80)</f>
        <v>205881.25</v>
      </c>
      <c r="BH80" s="113">
        <v>208071</v>
      </c>
      <c r="BI80" s="113">
        <v>208192</v>
      </c>
      <c r="BJ80" s="113">
        <v>208054</v>
      </c>
      <c r="BK80" s="113">
        <v>209581</v>
      </c>
      <c r="BL80" s="71">
        <f>AVERAGE(BH80:BK80)</f>
        <v>208474.5</v>
      </c>
      <c r="BM80" s="113">
        <v>209896</v>
      </c>
      <c r="BN80" s="113">
        <v>208274</v>
      </c>
      <c r="BO80" s="113">
        <v>208706</v>
      </c>
      <c r="BP80" s="113">
        <v>214507</v>
      </c>
      <c r="BQ80" s="71">
        <f>AVERAGE(BM80:BP80)</f>
        <v>210345.75</v>
      </c>
      <c r="BR80" s="113">
        <v>212812</v>
      </c>
      <c r="BS80" s="113">
        <v>210956</v>
      </c>
      <c r="BT80" s="113">
        <v>208069</v>
      </c>
      <c r="BU80" s="113">
        <f>+BT80-2500</f>
        <v>205569</v>
      </c>
      <c r="BV80" s="71">
        <f>AVERAGE(BR80:BU80)</f>
        <v>209351.5</v>
      </c>
      <c r="BW80" s="113">
        <f>+BU80-1000</f>
        <v>204569</v>
      </c>
      <c r="BX80" s="113">
        <f>+BW80</f>
        <v>204569</v>
      </c>
      <c r="BY80" s="113">
        <f>+BX80</f>
        <v>204569</v>
      </c>
      <c r="BZ80" s="113">
        <f>+BY80</f>
        <v>204569</v>
      </c>
      <c r="CA80" s="71">
        <f>AVERAGE(BW80:BZ80)</f>
        <v>204569</v>
      </c>
    </row>
    <row r="81" spans="1:79" ht="7.9" customHeight="1">
      <c r="A81" s="81"/>
      <c r="B81" s="187"/>
      <c r="C81" s="186"/>
      <c r="D81" s="182"/>
      <c r="E81" s="183"/>
      <c r="F81" s="183"/>
      <c r="G81" s="183"/>
      <c r="H81" s="259"/>
      <c r="I81" s="182"/>
      <c r="J81" s="183"/>
      <c r="K81" s="183"/>
      <c r="L81" s="183"/>
      <c r="M81" s="183"/>
      <c r="N81" s="182"/>
      <c r="O81" s="183"/>
      <c r="P81" s="183"/>
      <c r="Q81" s="183"/>
      <c r="R81" s="183"/>
      <c r="S81" s="182"/>
      <c r="T81" s="183"/>
      <c r="U81" s="184"/>
      <c r="V81" s="184"/>
      <c r="W81" s="184"/>
      <c r="X81" s="185"/>
      <c r="Y81" s="184"/>
      <c r="Z81" s="184"/>
      <c r="AA81" s="184"/>
      <c r="AB81" s="287"/>
      <c r="AC81" s="185"/>
      <c r="AD81" s="287"/>
      <c r="AE81" s="184"/>
      <c r="AF81" s="184"/>
      <c r="AG81" s="184"/>
      <c r="AH81" s="185"/>
      <c r="AI81" s="184"/>
      <c r="AJ81" s="184"/>
      <c r="AK81" s="184"/>
      <c r="AL81" s="184"/>
      <c r="AM81" s="185"/>
      <c r="AN81" s="184"/>
      <c r="AO81" s="184"/>
      <c r="AP81" s="184"/>
      <c r="AQ81" s="184"/>
      <c r="AR81" s="185"/>
      <c r="AS81" s="184"/>
      <c r="AT81" s="184"/>
      <c r="AU81" s="184"/>
      <c r="AV81" s="184"/>
      <c r="AW81" s="185"/>
      <c r="AX81" s="184"/>
      <c r="AY81" s="184"/>
      <c r="AZ81" s="184"/>
      <c r="BA81" s="184"/>
      <c r="BB81" s="185"/>
      <c r="BC81" s="184"/>
      <c r="BD81" s="184"/>
      <c r="BE81" s="184"/>
      <c r="BF81" s="184"/>
      <c r="BG81" s="185"/>
      <c r="BH81" s="184"/>
      <c r="BI81" s="184"/>
      <c r="BJ81" s="184"/>
      <c r="BK81" s="184"/>
      <c r="BL81" s="185"/>
      <c r="BM81" s="184"/>
      <c r="BN81" s="184"/>
      <c r="BO81" s="184"/>
      <c r="BP81" s="184"/>
      <c r="BQ81" s="185"/>
      <c r="BR81" s="184"/>
      <c r="BS81" s="184"/>
      <c r="BT81" s="184"/>
      <c r="BU81" s="184"/>
      <c r="BV81" s="185"/>
      <c r="BW81" s="184"/>
      <c r="BX81" s="184"/>
      <c r="BY81" s="184"/>
      <c r="BZ81" s="184"/>
      <c r="CA81" s="185"/>
    </row>
    <row r="82" spans="1:79" ht="14.25" customHeight="1" thickBot="1">
      <c r="A82" s="75"/>
      <c r="B82" s="983" t="s">
        <v>71</v>
      </c>
      <c r="C82" s="212"/>
      <c r="D82" s="76">
        <f>BS!D49</f>
        <v>0</v>
      </c>
      <c r="E82" s="206">
        <f>BS!E49</f>
        <v>0</v>
      </c>
      <c r="F82" s="206">
        <f>BS!F49</f>
        <v>0</v>
      </c>
      <c r="G82" s="206">
        <f>BS!G49</f>
        <v>0</v>
      </c>
      <c r="H82" s="212">
        <f>BS!H49</f>
        <v>0</v>
      </c>
      <c r="I82" s="76">
        <f>BS!I49</f>
        <v>0</v>
      </c>
      <c r="J82" s="206">
        <f>BS!J49</f>
        <v>0</v>
      </c>
      <c r="K82" s="206">
        <f>BS!K49</f>
        <v>0</v>
      </c>
      <c r="L82" s="206">
        <f>BS!L49</f>
        <v>0</v>
      </c>
      <c r="M82" s="206">
        <f>BS!M49</f>
        <v>0</v>
      </c>
      <c r="N82" s="76">
        <f>BS!N49</f>
        <v>0</v>
      </c>
      <c r="O82" s="206">
        <f>BS!O49</f>
        <v>0</v>
      </c>
      <c r="P82" s="206">
        <f>BS!P49</f>
        <v>0</v>
      </c>
      <c r="Q82" s="206">
        <f>BS!Q49</f>
        <v>0</v>
      </c>
      <c r="R82" s="206">
        <f>BS!R49</f>
        <v>0</v>
      </c>
      <c r="S82" s="76">
        <f>BS!S49</f>
        <v>0</v>
      </c>
      <c r="T82" s="206">
        <f>BS!T49</f>
        <v>0</v>
      </c>
      <c r="U82" s="206">
        <f>BS!U49</f>
        <v>0</v>
      </c>
      <c r="V82" s="206">
        <f>BS!V49</f>
        <v>0</v>
      </c>
      <c r="W82" s="206">
        <f>BS!W49</f>
        <v>19572</v>
      </c>
      <c r="X82" s="76">
        <f>BS!X49</f>
        <v>19572</v>
      </c>
      <c r="Y82" s="206">
        <f>BS!Y49</f>
        <v>23296</v>
      </c>
      <c r="Z82" s="206">
        <v>70521</v>
      </c>
      <c r="AA82" s="206">
        <f>BS!AA49</f>
        <v>29796</v>
      </c>
      <c r="AB82" s="288">
        <f>BS!AB49</f>
        <v>32712</v>
      </c>
      <c r="AC82" s="297">
        <f>BS!AC49</f>
        <v>32712</v>
      </c>
      <c r="AD82" s="288">
        <f>BS!AD49</f>
        <v>40812</v>
      </c>
      <c r="AE82" s="288">
        <f>BS!AE49</f>
        <v>47762</v>
      </c>
      <c r="AF82" s="288">
        <f>BS!AF49</f>
        <v>50895</v>
      </c>
      <c r="AG82" s="288">
        <f>BS!AG49</f>
        <v>277924</v>
      </c>
      <c r="AH82" s="76">
        <f>AG82</f>
        <v>277924</v>
      </c>
      <c r="AI82" s="288">
        <f>BS!AI49</f>
        <v>290535</v>
      </c>
      <c r="AJ82" s="288">
        <f>BS!AJ49</f>
        <v>297427</v>
      </c>
      <c r="AK82" s="206">
        <f>BS!AK49</f>
        <v>323754</v>
      </c>
      <c r="AL82" s="206">
        <f>BS!AL49</f>
        <v>388772</v>
      </c>
      <c r="AM82" s="76">
        <f>AL82</f>
        <v>388772</v>
      </c>
      <c r="AN82" s="206">
        <f>BS!AN49</f>
        <v>393046</v>
      </c>
      <c r="AO82" s="206">
        <f>BS!AO49</f>
        <v>410518</v>
      </c>
      <c r="AP82" s="206">
        <f>BS!AP49</f>
        <v>433081</v>
      </c>
      <c r="AQ82" s="206">
        <f>BS!AQ49</f>
        <v>519038</v>
      </c>
      <c r="AR82" s="76">
        <f>AQ82</f>
        <v>519038</v>
      </c>
      <c r="AS82" s="206">
        <f>BS!AS49</f>
        <v>563632</v>
      </c>
      <c r="AT82" s="206">
        <f>BS!AT49</f>
        <v>635868</v>
      </c>
      <c r="AU82" s="206">
        <f>BS!AU49</f>
        <v>700902</v>
      </c>
      <c r="AV82" s="206">
        <f>BS!AV49</f>
        <v>796134</v>
      </c>
      <c r="AW82" s="76">
        <f>AV82</f>
        <v>796134</v>
      </c>
      <c r="AX82" s="206">
        <f>BS!AX49</f>
        <v>847782</v>
      </c>
      <c r="AY82" s="206">
        <f>BS!AY49</f>
        <v>932757</v>
      </c>
      <c r="AZ82" s="206">
        <f>BS!AZ49</f>
        <v>957181</v>
      </c>
      <c r="BA82" s="206">
        <f>BS!BA49</f>
        <v>1046616</v>
      </c>
      <c r="BB82" s="76"/>
      <c r="BC82" s="206">
        <f>BS!BC49</f>
        <v>1065328</v>
      </c>
      <c r="BD82" s="206">
        <f>BS!BD49</f>
        <v>1088430</v>
      </c>
      <c r="BE82" s="206">
        <f>BS!BE49</f>
        <v>1103439</v>
      </c>
      <c r="BF82" s="206">
        <f>BS!BF49</f>
        <v>1189792</v>
      </c>
      <c r="BG82" s="76"/>
      <c r="BH82" s="206">
        <f>BS!BH49</f>
        <v>1208079</v>
      </c>
      <c r="BI82" s="206">
        <f>BS!BI49</f>
        <v>1230250</v>
      </c>
      <c r="BJ82" s="206">
        <f>BS!BJ49</f>
        <v>1226668</v>
      </c>
      <c r="BK82" s="206">
        <f>BS!BK49</f>
        <v>1342039</v>
      </c>
      <c r="BL82" s="76"/>
      <c r="BM82" s="206">
        <f>BS!BM49</f>
        <v>1337067</v>
      </c>
      <c r="BN82" s="206">
        <f>BS!BN49</f>
        <v>1330585</v>
      </c>
      <c r="BO82" s="206">
        <f>BS!BO49</f>
        <v>1330680</v>
      </c>
      <c r="BP82" s="206">
        <f>BS!BP49</f>
        <v>1476965</v>
      </c>
      <c r="BQ82" s="76"/>
      <c r="BR82" s="206">
        <f>BS!BR49</f>
        <v>1447232</v>
      </c>
      <c r="BS82" s="206">
        <f>BS!BS49</f>
        <v>1463461</v>
      </c>
      <c r="BT82" s="206">
        <f>BS!BT49</f>
        <v>1472626</v>
      </c>
      <c r="BU82" s="206"/>
      <c r="BV82" s="76"/>
      <c r="BW82" s="206"/>
      <c r="BX82" s="206"/>
      <c r="BY82" s="206"/>
      <c r="BZ82" s="206"/>
      <c r="CA82" s="76"/>
    </row>
    <row r="83" spans="1:79" ht="14.25" customHeight="1">
      <c r="A83" s="75"/>
      <c r="B83" s="984" t="s">
        <v>70</v>
      </c>
      <c r="C83" s="177"/>
      <c r="D83" s="180">
        <f>CF!C33</f>
        <v>0</v>
      </c>
      <c r="E83" s="72">
        <f>CF!E33</f>
        <v>0</v>
      </c>
      <c r="F83" s="72">
        <f>CF!F33</f>
        <v>0</v>
      </c>
      <c r="G83" s="72">
        <f>CF!G33</f>
        <v>0</v>
      </c>
      <c r="H83" s="77">
        <f>CF!H33</f>
        <v>0</v>
      </c>
      <c r="I83" s="180">
        <f>CF!I33</f>
        <v>0</v>
      </c>
      <c r="J83" s="72">
        <f>CF!J33</f>
        <v>0</v>
      </c>
      <c r="K83" s="72">
        <f>CF!K33</f>
        <v>0</v>
      </c>
      <c r="L83" s="72">
        <f>CF!L33</f>
        <v>0</v>
      </c>
      <c r="M83" s="72">
        <f>CF!M33</f>
        <v>0</v>
      </c>
      <c r="N83" s="180">
        <f>CF!N33</f>
        <v>0</v>
      </c>
      <c r="O83" s="72">
        <f>CF!O33</f>
        <v>0</v>
      </c>
      <c r="P83" s="72">
        <f>CF!P33</f>
        <v>0</v>
      </c>
      <c r="Q83" s="72">
        <f>CF!Q33</f>
        <v>0</v>
      </c>
      <c r="R83" s="72">
        <f>CF!R33</f>
        <v>0</v>
      </c>
      <c r="S83" s="180">
        <f>CF!S33</f>
        <v>0</v>
      </c>
      <c r="T83" s="181">
        <f>CF!T33</f>
        <v>0</v>
      </c>
      <c r="U83" s="178">
        <f>CF!U33</f>
        <v>0</v>
      </c>
      <c r="V83" s="178">
        <f>CF!V33</f>
        <v>0</v>
      </c>
      <c r="W83" s="177">
        <f>CF!W33</f>
        <v>0</v>
      </c>
      <c r="X83" s="72">
        <f>CF!X33</f>
        <v>-67995</v>
      </c>
      <c r="Y83" s="181">
        <f>CF!Y33</f>
        <v>0</v>
      </c>
      <c r="Z83" s="178">
        <f>CF!Z33</f>
        <v>0</v>
      </c>
      <c r="AA83" s="178">
        <f>CF!AA33</f>
        <v>0</v>
      </c>
      <c r="AB83" s="300">
        <f>CF!AB33</f>
        <v>0</v>
      </c>
      <c r="AC83" s="298">
        <f>CF!AC33</f>
        <v>-4790</v>
      </c>
      <c r="AD83" s="113">
        <f>CF!AD33</f>
        <v>-697</v>
      </c>
      <c r="AE83" s="113">
        <f>CF!AE33</f>
        <v>12098</v>
      </c>
      <c r="AF83" s="113">
        <f>CF!AF33</f>
        <v>11618</v>
      </c>
      <c r="AG83" s="113">
        <f>CF!AG33</f>
        <v>31960</v>
      </c>
      <c r="AH83" s="298">
        <f>CF!AH33</f>
        <v>54979</v>
      </c>
      <c r="AI83" s="113">
        <f>CF!AI33</f>
        <v>14992</v>
      </c>
      <c r="AJ83" s="113">
        <f>CF!AJ33</f>
        <v>22695</v>
      </c>
      <c r="AK83" s="178">
        <f>CF!AK33</f>
        <v>4261</v>
      </c>
      <c r="AL83" s="178">
        <f>CF!AL33</f>
        <v>34137</v>
      </c>
      <c r="AM83" s="298">
        <f>CF!AM33</f>
        <v>76085</v>
      </c>
      <c r="AN83" s="178">
        <f>CF!AN33</f>
        <v>45655</v>
      </c>
      <c r="AO83" s="178">
        <f>CF!AO33</f>
        <v>26405</v>
      </c>
      <c r="AP83" s="178">
        <f>CF!AP33</f>
        <v>-1869</v>
      </c>
      <c r="AQ83" s="178">
        <f>CF!AQ33</f>
        <v>45505</v>
      </c>
      <c r="AR83" s="298">
        <f>CF!AR33</f>
        <v>115696</v>
      </c>
      <c r="AS83" s="178">
        <f>CF!AS33</f>
        <v>59144</v>
      </c>
      <c r="AT83" s="178">
        <f>CF!AT33</f>
        <v>118134</v>
      </c>
      <c r="AU83" s="178">
        <f>CF!AU33</f>
        <v>57443</v>
      </c>
      <c r="AV83" s="178">
        <f>CF!AV33</f>
        <v>62233</v>
      </c>
      <c r="AW83" s="180">
        <f>CF!AW33</f>
        <v>296954</v>
      </c>
      <c r="AX83" s="178">
        <f>CF!AX33</f>
        <v>135597</v>
      </c>
      <c r="AY83" s="178">
        <f>CF!AY33</f>
        <v>177669</v>
      </c>
      <c r="AZ83" s="178">
        <f>CF!AZ33</f>
        <v>105411</v>
      </c>
      <c r="BA83" s="178">
        <f>CF!BA33</f>
        <v>87793</v>
      </c>
      <c r="BB83" s="180">
        <f>CF!BB33</f>
        <v>506470</v>
      </c>
      <c r="BC83" s="178">
        <f>CF!BC33</f>
        <v>196286</v>
      </c>
      <c r="BD83" s="178">
        <f>CF!BD33</f>
        <v>120879</v>
      </c>
      <c r="BE83" s="178">
        <f>CF!BE33</f>
        <v>52537</v>
      </c>
      <c r="BF83" s="178">
        <f>CF!BF33</f>
        <v>137057</v>
      </c>
      <c r="BG83" s="180">
        <f>CF!BG33</f>
        <v>506759</v>
      </c>
      <c r="BH83" s="178">
        <f>CF!BH33</f>
        <v>233635</v>
      </c>
      <c r="BI83" s="178">
        <f>CF!BI33</f>
        <v>211016</v>
      </c>
      <c r="BJ83" s="178">
        <f>CF!BJ33</f>
        <v>264177</v>
      </c>
      <c r="BK83" s="178">
        <f>CF!BK33</f>
        <v>270698</v>
      </c>
      <c r="BL83" s="180"/>
      <c r="BM83" s="178">
        <f>CF!BM33</f>
        <v>254826</v>
      </c>
      <c r="BN83" s="178">
        <f>CF!BN33</f>
        <v>220208</v>
      </c>
      <c r="BO83" s="178">
        <f>CF!BO33</f>
        <v>234326</v>
      </c>
      <c r="BP83" s="178">
        <f>CF!BP33</f>
        <v>307912</v>
      </c>
      <c r="BQ83" s="180"/>
      <c r="BR83" s="178">
        <f>CF!BR33</f>
        <v>251439</v>
      </c>
      <c r="BS83" s="178">
        <f>CF!BS33</f>
        <v>246073</v>
      </c>
      <c r="BT83" s="178">
        <f>CF!BT33</f>
        <v>290274</v>
      </c>
      <c r="BU83" s="178"/>
      <c r="BV83" s="180"/>
      <c r="BW83" s="178"/>
      <c r="BX83" s="178"/>
      <c r="BY83" s="178"/>
      <c r="BZ83" s="178"/>
      <c r="CA83" s="180"/>
    </row>
    <row r="84" spans="1:79" ht="14.25" hidden="1" customHeight="1" outlineLevel="1">
      <c r="A84" s="75"/>
      <c r="B84" s="984" t="s">
        <v>550</v>
      </c>
      <c r="C84" s="177"/>
      <c r="D84" s="180">
        <f>BS!D6</f>
        <v>0</v>
      </c>
      <c r="E84" s="178">
        <f>BS!E6</f>
        <v>0</v>
      </c>
      <c r="F84" s="178">
        <f>BS!F6</f>
        <v>0</v>
      </c>
      <c r="G84" s="178">
        <f>BS!G6</f>
        <v>0</v>
      </c>
      <c r="H84" s="177">
        <f>BS!H6</f>
        <v>0</v>
      </c>
      <c r="I84" s="180"/>
      <c r="J84" s="178"/>
      <c r="K84" s="178"/>
      <c r="L84" s="178"/>
      <c r="M84" s="178"/>
      <c r="N84" s="180"/>
      <c r="O84" s="178"/>
      <c r="P84" s="178"/>
      <c r="Q84" s="178"/>
      <c r="R84" s="178"/>
      <c r="S84" s="180">
        <f>BS!S6</f>
        <v>0</v>
      </c>
      <c r="T84" s="181">
        <f>BS!T6</f>
        <v>0</v>
      </c>
      <c r="U84" s="178">
        <f>BS!U6</f>
        <v>0</v>
      </c>
      <c r="V84" s="178">
        <f>BS!V6</f>
        <v>0</v>
      </c>
      <c r="W84" s="177">
        <f>BS!W6</f>
        <v>0</v>
      </c>
      <c r="X84" s="178">
        <f>BS!X6</f>
        <v>228523</v>
      </c>
      <c r="Y84" s="181">
        <f>BS!Y6</f>
        <v>0</v>
      </c>
      <c r="Z84" s="178">
        <f>BS!Z6</f>
        <v>0</v>
      </c>
      <c r="AA84" s="178">
        <f>BS!AA6</f>
        <v>0</v>
      </c>
      <c r="AB84" s="300">
        <f>BS!AB6</f>
        <v>0</v>
      </c>
      <c r="AC84" s="298">
        <f>BS!AC6</f>
        <v>190556</v>
      </c>
      <c r="AD84" s="178">
        <f>(BS!AD6+BS!AD7)</f>
        <v>0</v>
      </c>
      <c r="AE84" s="178">
        <f>(BS!AE6+BS!AE7)</f>
        <v>0</v>
      </c>
      <c r="AF84" s="178">
        <f>(BS!AF6+BS!AF7)</f>
        <v>0</v>
      </c>
      <c r="AG84" s="178">
        <f>(BS!AG6+BS!AG7)</f>
        <v>256867</v>
      </c>
      <c r="AH84" s="180">
        <f>AG84</f>
        <v>256867</v>
      </c>
      <c r="AI84" s="178">
        <f>(BS!AI6+BS!AI7)</f>
        <v>269429</v>
      </c>
      <c r="AJ84" s="178">
        <f>(BS!AJ6+BS!AJ7)</f>
        <v>818795</v>
      </c>
      <c r="AK84" s="178">
        <f>(BS!AK6+BS!AK7)</f>
        <v>1094133</v>
      </c>
      <c r="AL84" s="178">
        <f>(BS!AL6+BS!AL7)</f>
        <v>769014</v>
      </c>
      <c r="AM84" s="180">
        <f>AL84</f>
        <v>769014</v>
      </c>
      <c r="AN84" s="178">
        <f>(BS!AN6+BS!AN7)</f>
        <v>752124</v>
      </c>
      <c r="AO84" s="178">
        <f>(BS!AO6+BS!AO7)</f>
        <v>750253</v>
      </c>
      <c r="AP84" s="178">
        <f>(BS!AP6+BS!AP7)</f>
        <v>653777</v>
      </c>
      <c r="AQ84" s="178">
        <f>(BS!AQ6+BS!AQ7)</f>
        <v>656142</v>
      </c>
      <c r="AR84" s="180">
        <f>AQ84</f>
        <v>656142</v>
      </c>
      <c r="AS84" s="178">
        <f>(BS!AS6+BS!AS7)</f>
        <v>757949</v>
      </c>
      <c r="AT84" s="178">
        <f>(BS!AT6+BS!AT7)</f>
        <v>674039</v>
      </c>
      <c r="AU84" s="178">
        <f>(BS!AU6+BS!AU7)</f>
        <v>598574</v>
      </c>
      <c r="AV84" s="178">
        <f>(BS!AV6+BS!AV7)</f>
        <v>773505</v>
      </c>
      <c r="AW84" s="180">
        <f>AV84</f>
        <v>773505</v>
      </c>
      <c r="AX84" s="178">
        <f>(BS!AX6+BS!AX7)</f>
        <v>780632</v>
      </c>
      <c r="AY84" s="178">
        <f>(BS!AY6+BS!AY7)</f>
        <v>822869</v>
      </c>
      <c r="AZ84" s="178">
        <f>(BS!AZ6+BS!AZ7)</f>
        <v>818458</v>
      </c>
      <c r="BA84" s="178">
        <f>(BS!BA6+BS!BA7)</f>
        <v>802822</v>
      </c>
      <c r="BB84" s="180"/>
      <c r="BC84" s="178">
        <f>(BS!BC6+BS!BC7)</f>
        <v>967615</v>
      </c>
      <c r="BD84" s="178">
        <f>(BS!BD6+BS!BD7)</f>
        <v>994725</v>
      </c>
      <c r="BE84" s="178">
        <f>(BS!BE6+BS!BE7)</f>
        <v>975350</v>
      </c>
      <c r="BF84" s="178">
        <f>(BS!BF6+BS!BF7)</f>
        <v>1031666</v>
      </c>
      <c r="BG84" s="180"/>
      <c r="BH84" s="178">
        <f>(BS!BH6+BS!BH7)</f>
        <v>1291257</v>
      </c>
      <c r="BI84" s="178">
        <f>(BS!BI6+BS!BI7)</f>
        <v>1444049</v>
      </c>
      <c r="BJ84" s="178">
        <f>(BS!BJ6+BS!BJ7)</f>
        <v>1590217</v>
      </c>
      <c r="BK84" s="178">
        <f>(BS!BK6+BS!BK7)</f>
        <v>1045462</v>
      </c>
      <c r="BL84" s="180"/>
      <c r="BM84" s="178">
        <f>(BS!BM6+BS!BM7)</f>
        <v>1086788</v>
      </c>
      <c r="BN84" s="178">
        <f>(BS!BN6+BS!BN7)</f>
        <v>938353</v>
      </c>
      <c r="BO84" s="178">
        <f>(BS!BO6+BS!BO7)</f>
        <v>942376</v>
      </c>
      <c r="BP84" s="178">
        <f>(BS!BP6+BS!BP7)</f>
        <v>963547</v>
      </c>
      <c r="BQ84" s="180"/>
      <c r="BR84" s="178">
        <f>(BS!BR6+BS!BR7)</f>
        <v>948692</v>
      </c>
      <c r="BS84" s="178">
        <f>(BS!BS6+BS!BS7)</f>
        <v>844455</v>
      </c>
      <c r="BT84" s="178">
        <f>(BS!BT6+BS!BT7)</f>
        <v>839871</v>
      </c>
      <c r="BU84" s="178"/>
      <c r="BV84" s="180"/>
      <c r="BW84" s="178"/>
      <c r="BX84" s="178"/>
      <c r="BY84" s="178"/>
      <c r="BZ84" s="178"/>
      <c r="CA84" s="180"/>
    </row>
    <row r="85" spans="1:79" ht="14.25" hidden="1" customHeight="1" outlineLevel="1">
      <c r="A85" s="75"/>
      <c r="B85" s="982" t="s">
        <v>211</v>
      </c>
      <c r="C85" s="77"/>
      <c r="D85" s="71"/>
      <c r="E85" s="72"/>
      <c r="F85" s="72"/>
      <c r="G85" s="72"/>
      <c r="H85" s="77"/>
      <c r="I85" s="71"/>
      <c r="J85" s="72"/>
      <c r="K85" s="72"/>
      <c r="L85" s="72"/>
      <c r="M85" s="72"/>
      <c r="N85" s="71"/>
      <c r="O85" s="72"/>
      <c r="P85" s="72"/>
      <c r="Q85" s="72"/>
      <c r="R85" s="72"/>
      <c r="S85" s="71"/>
      <c r="T85" s="74"/>
      <c r="U85" s="72"/>
      <c r="V85" s="72"/>
      <c r="W85" s="77"/>
      <c r="X85" s="72"/>
      <c r="Y85" s="72"/>
      <c r="Z85" s="72"/>
      <c r="AA85" s="72"/>
      <c r="AB85" s="113"/>
      <c r="AC85" s="155"/>
      <c r="AD85" s="72"/>
      <c r="AE85" s="72"/>
      <c r="AF85" s="72"/>
      <c r="AG85" s="72">
        <f>BS!AG27+BS!AG33</f>
        <v>0</v>
      </c>
      <c r="AH85" s="71">
        <f>AG85</f>
        <v>0</v>
      </c>
      <c r="AI85" s="72">
        <f>BS!AI27+BS!AI33</f>
        <v>0</v>
      </c>
      <c r="AJ85" s="72">
        <f>BS!AJ27+BS!AJ33</f>
        <v>0</v>
      </c>
      <c r="AK85" s="72">
        <f>BS!AK27+BS!AK33</f>
        <v>432572</v>
      </c>
      <c r="AL85" s="72">
        <f>BS!AL27+BS!AL33</f>
        <v>438932</v>
      </c>
      <c r="AM85" s="71">
        <f>AL85</f>
        <v>438932</v>
      </c>
      <c r="AN85" s="72">
        <f>BS!AN27+BS!AN33</f>
        <v>445385</v>
      </c>
      <c r="AO85" s="72">
        <f>BS!AO27+BS!AO33</f>
        <v>451934</v>
      </c>
      <c r="AP85" s="72">
        <f>BS!AP27+BS!AP33</f>
        <v>458578</v>
      </c>
      <c r="AQ85" s="72">
        <f>BS!AQ27+BS!AQ33</f>
        <v>465321</v>
      </c>
      <c r="AR85" s="71">
        <f>AQ85</f>
        <v>465321</v>
      </c>
      <c r="AS85" s="72">
        <f>BS!AS27+BS!AS33</f>
        <v>472162</v>
      </c>
      <c r="AT85" s="72">
        <f>BS!AT27+BS!AT33</f>
        <v>479105</v>
      </c>
      <c r="AU85" s="72">
        <f>BS!AU27+BS!AU33</f>
        <v>486149</v>
      </c>
      <c r="AV85" s="72">
        <f>BS!AV27+BS!AV33</f>
        <v>713688</v>
      </c>
      <c r="AW85" s="71">
        <f>AV85</f>
        <v>713688</v>
      </c>
      <c r="AX85" s="72">
        <f>BS!AX27+BS!AX33</f>
        <v>755920</v>
      </c>
      <c r="AY85" s="72">
        <f>BS!AY27+BS!AY33</f>
        <v>732304</v>
      </c>
      <c r="AZ85" s="72">
        <f>BS!AZ27+BS!AZ33</f>
        <v>730331</v>
      </c>
      <c r="BA85" s="72">
        <f>BS!BA27+BS!BA33</f>
        <v>718487</v>
      </c>
      <c r="BB85" s="71"/>
      <c r="BC85" s="72">
        <f>BS!BC27+BS!BC33</f>
        <v>719632</v>
      </c>
      <c r="BD85" s="72">
        <f>BS!BD27+BS!BD33</f>
        <v>720677</v>
      </c>
      <c r="BE85" s="72">
        <f>BS!BE27+BS!BE33</f>
        <v>721782</v>
      </c>
      <c r="BF85" s="72">
        <f>BS!BF27+BS!BF33</f>
        <v>722887</v>
      </c>
      <c r="BG85" s="71"/>
      <c r="BH85" s="72">
        <f>BS!BH27+BS!BH33</f>
        <v>723995</v>
      </c>
      <c r="BI85" s="72">
        <f>BS!BI27+BS!BI33</f>
        <v>725105</v>
      </c>
      <c r="BJ85" s="72">
        <f>BS!BJ27+BS!BJ33</f>
        <v>689111</v>
      </c>
      <c r="BK85" s="72">
        <f>BS!BK27+BS!BK33</f>
        <v>0</v>
      </c>
      <c r="BL85" s="71"/>
      <c r="BM85" s="72">
        <f>BS!BM27+BS!BM33</f>
        <v>0</v>
      </c>
      <c r="BN85" s="72">
        <f>BS!BN27+BS!BN33</f>
        <v>0</v>
      </c>
      <c r="BO85" s="72">
        <f>BS!BO27+BS!BO33</f>
        <v>0</v>
      </c>
      <c r="BP85" s="72">
        <f>BS!BP27+BS!BP33</f>
        <v>0</v>
      </c>
      <c r="BQ85" s="71"/>
      <c r="BR85" s="72">
        <f>BS!BR27+BS!BR33</f>
        <v>0</v>
      </c>
      <c r="BS85" s="72">
        <f>BS!BS27+BS!BS33</f>
        <v>0</v>
      </c>
      <c r="BT85" s="72">
        <f>BS!BT27+BS!BT33</f>
        <v>0</v>
      </c>
      <c r="BU85" s="72"/>
      <c r="BV85" s="71"/>
      <c r="BW85" s="72"/>
      <c r="BX85" s="72"/>
      <c r="BY85" s="72"/>
      <c r="BZ85" s="72"/>
      <c r="CA85" s="71"/>
    </row>
    <row r="86" spans="1:79" ht="14.25" customHeight="1" collapsed="1">
      <c r="A86" s="75"/>
      <c r="B86" s="982" t="s">
        <v>69</v>
      </c>
      <c r="C86" s="77"/>
      <c r="D86" s="71">
        <f>BS!D6</f>
        <v>0</v>
      </c>
      <c r="E86" s="72" t="e">
        <f>E84-BS!#REF!-BS!#REF!</f>
        <v>#REF!</v>
      </c>
      <c r="F86" s="72" t="e">
        <f>F84-BS!#REF!-BS!#REF!</f>
        <v>#REF!</v>
      </c>
      <c r="G86" s="72" t="e">
        <f>G84-BS!#REF!-BS!#REF!</f>
        <v>#REF!</v>
      </c>
      <c r="H86" s="77" t="e">
        <f>H84-BS!#REF!-BS!#REF!</f>
        <v>#REF!</v>
      </c>
      <c r="I86" s="71"/>
      <c r="J86" s="72"/>
      <c r="K86" s="72"/>
      <c r="L86" s="72"/>
      <c r="M86" s="72"/>
      <c r="N86" s="71"/>
      <c r="O86" s="72"/>
      <c r="P86" s="72"/>
      <c r="Q86" s="72"/>
      <c r="R86" s="72"/>
      <c r="S86" s="71">
        <f>BS!S6</f>
        <v>0</v>
      </c>
      <c r="T86" s="74">
        <f>BS!T6</f>
        <v>0</v>
      </c>
      <c r="U86" s="72">
        <f>BS!U6</f>
        <v>0</v>
      </c>
      <c r="V86" s="72">
        <f>BS!V6</f>
        <v>0</v>
      </c>
      <c r="W86" s="77">
        <f>BS!W6</f>
        <v>0</v>
      </c>
      <c r="X86" s="71">
        <f>BS!X6+BS!X9+BS!X7+BS!X13</f>
        <v>228523</v>
      </c>
      <c r="Y86" s="72">
        <f>BS!Y6+BS!Y9+BS!Y7+BS!Y13</f>
        <v>0</v>
      </c>
      <c r="Z86" s="72">
        <f>BS!Z6+BS!Z9+BS!Z7+BS!Z13</f>
        <v>0</v>
      </c>
      <c r="AA86" s="72">
        <f>BS!AA6+BS!AA9+BS!AA7+BS!AA13</f>
        <v>0</v>
      </c>
      <c r="AB86" s="72">
        <f>BS!AB6+BS!AB9+BS!AB7+BS!AB13</f>
        <v>0</v>
      </c>
      <c r="AC86" s="71">
        <f>BS!AC6+BS!AC9+BS!AC7+BS!AC13</f>
        <v>190556</v>
      </c>
      <c r="AD86" s="72">
        <f>AD84-(BS!AD27+BS!AD33)</f>
        <v>0</v>
      </c>
      <c r="AE86" s="72">
        <f>AE84-(BS!AE27+BS!AE33)</f>
        <v>0</v>
      </c>
      <c r="AF86" s="72">
        <f>AF84-(BS!AF27+BS!AF33)</f>
        <v>0</v>
      </c>
      <c r="AG86" s="72">
        <f>AG84-AG85</f>
        <v>256867</v>
      </c>
      <c r="AH86" s="71">
        <f>AG86</f>
        <v>256867</v>
      </c>
      <c r="AI86" s="72">
        <f>AI84-AI85</f>
        <v>269429</v>
      </c>
      <c r="AJ86" s="72">
        <f>AJ84-AJ85</f>
        <v>818795</v>
      </c>
      <c r="AK86" s="72">
        <f>AK84-AK85</f>
        <v>661561</v>
      </c>
      <c r="AL86" s="72">
        <f>AL84-AL85</f>
        <v>330082</v>
      </c>
      <c r="AM86" s="71">
        <f>AL86</f>
        <v>330082</v>
      </c>
      <c r="AN86" s="72">
        <f>AN84-AN85</f>
        <v>306739</v>
      </c>
      <c r="AO86" s="72">
        <f>AO84-AO85</f>
        <v>298319</v>
      </c>
      <c r="AP86" s="72">
        <f>AP84-AP85</f>
        <v>195199</v>
      </c>
      <c r="AQ86" s="72">
        <f>AQ84-AQ85</f>
        <v>190821</v>
      </c>
      <c r="AR86" s="71">
        <f>AQ86</f>
        <v>190821</v>
      </c>
      <c r="AS86" s="72">
        <f>AS84-AS85</f>
        <v>285787</v>
      </c>
      <c r="AT86" s="72">
        <f>AT84-AT85</f>
        <v>194934</v>
      </c>
      <c r="AU86" s="72">
        <f>AU84-AU85</f>
        <v>112425</v>
      </c>
      <c r="AV86" s="72">
        <f>AV84-AV85</f>
        <v>59817</v>
      </c>
      <c r="AW86" s="71">
        <f>AV86</f>
        <v>59817</v>
      </c>
      <c r="AX86" s="72">
        <f>AX84-AX85</f>
        <v>24712</v>
      </c>
      <c r="AY86" s="72">
        <f>AY84-AY85</f>
        <v>90565</v>
      </c>
      <c r="AZ86" s="72">
        <f>AZ84-AZ85</f>
        <v>88127</v>
      </c>
      <c r="BA86" s="72">
        <f>BA84-BA85</f>
        <v>84335</v>
      </c>
      <c r="BB86" s="71"/>
      <c r="BC86" s="72">
        <f>BC84-BC85</f>
        <v>247983</v>
      </c>
      <c r="BD86" s="72">
        <f>BD84-BD85</f>
        <v>274048</v>
      </c>
      <c r="BE86" s="72">
        <f>BE84-BE85</f>
        <v>253568</v>
      </c>
      <c r="BF86" s="72">
        <f>BF84-BF85</f>
        <v>308779</v>
      </c>
      <c r="BG86" s="71"/>
      <c r="BH86" s="72">
        <f>BH84-BH85</f>
        <v>567262</v>
      </c>
      <c r="BI86" s="72">
        <f>BI84-BI85</f>
        <v>718944</v>
      </c>
      <c r="BJ86" s="72">
        <f>BJ84-BJ85</f>
        <v>901106</v>
      </c>
      <c r="BK86" s="72">
        <f>BK84-BK85</f>
        <v>1045462</v>
      </c>
      <c r="BL86" s="71"/>
      <c r="BM86" s="72">
        <f>BM84-BM85</f>
        <v>1086788</v>
      </c>
      <c r="BN86" s="72">
        <f>BN84-BN85</f>
        <v>938353</v>
      </c>
      <c r="BO86" s="72">
        <f>BO84-BO85</f>
        <v>942376</v>
      </c>
      <c r="BP86" s="72">
        <f>BP84-BP85</f>
        <v>963547</v>
      </c>
      <c r="BQ86" s="71"/>
      <c r="BR86" s="72">
        <f>BR84-BR85</f>
        <v>948692</v>
      </c>
      <c r="BS86" s="72">
        <f>BS84-BS85</f>
        <v>844455</v>
      </c>
      <c r="BT86" s="72">
        <f>BT84-BT85</f>
        <v>839871</v>
      </c>
      <c r="BU86" s="72"/>
      <c r="BV86" s="71"/>
      <c r="BW86" s="72"/>
      <c r="BX86" s="72"/>
      <c r="BY86" s="72"/>
      <c r="BZ86" s="72"/>
      <c r="CA86" s="71"/>
    </row>
    <row r="87" spans="1:79" ht="14.25" customHeight="1" thickBot="1">
      <c r="A87" s="63"/>
      <c r="B87" s="983" t="s">
        <v>68</v>
      </c>
      <c r="C87" s="261"/>
      <c r="D87" s="179">
        <f>D86/D80</f>
        <v>0</v>
      </c>
      <c r="E87" s="169" t="e">
        <f>E86/E80</f>
        <v>#REF!</v>
      </c>
      <c r="F87" s="169" t="e">
        <f>F86/F80</f>
        <v>#REF!</v>
      </c>
      <c r="G87" s="169" t="e">
        <f>G86/G80</f>
        <v>#REF!</v>
      </c>
      <c r="H87" s="273" t="e">
        <f>H86/H80</f>
        <v>#REF!</v>
      </c>
      <c r="I87" s="179"/>
      <c r="J87" s="169"/>
      <c r="K87" s="169"/>
      <c r="L87" s="169"/>
      <c r="M87" s="169"/>
      <c r="N87" s="179"/>
      <c r="O87" s="169"/>
      <c r="P87" s="169"/>
      <c r="Q87" s="169"/>
      <c r="R87" s="169"/>
      <c r="S87" s="179"/>
      <c r="T87" s="269" t="e">
        <f t="shared" ref="T87:AB87" si="113">T86/T80</f>
        <v>#DIV/0!</v>
      </c>
      <c r="U87" s="169" t="e">
        <f t="shared" si="113"/>
        <v>#DIV/0!</v>
      </c>
      <c r="V87" s="169" t="e">
        <f t="shared" si="113"/>
        <v>#DIV/0!</v>
      </c>
      <c r="W87" s="273" t="e">
        <f t="shared" si="113"/>
        <v>#DIV/0!</v>
      </c>
      <c r="X87" s="169">
        <f t="shared" si="113"/>
        <v>8.7718025487486564</v>
      </c>
      <c r="Y87" s="269" t="e">
        <f t="shared" si="113"/>
        <v>#DIV/0!</v>
      </c>
      <c r="Z87" s="169" t="e">
        <f t="shared" si="113"/>
        <v>#DIV/0!</v>
      </c>
      <c r="AA87" s="169" t="e">
        <f t="shared" si="113"/>
        <v>#DIV/0!</v>
      </c>
      <c r="AB87" s="301" t="e">
        <f t="shared" si="113"/>
        <v>#DIV/0!</v>
      </c>
      <c r="AC87" s="299"/>
      <c r="AD87" s="803">
        <f>AD86/AD80</f>
        <v>0</v>
      </c>
      <c r="AE87" s="803">
        <f>AE86/AE80</f>
        <v>0</v>
      </c>
      <c r="AF87" s="803">
        <f>AF86/AF80</f>
        <v>0</v>
      </c>
      <c r="AG87" s="803">
        <f>AG86/AG80</f>
        <v>6.0544713147598168</v>
      </c>
      <c r="AH87" s="804">
        <f>AG87</f>
        <v>6.0544713147598168</v>
      </c>
      <c r="AI87" s="803">
        <f>AI86/AI80</f>
        <v>4.4780195123572719</v>
      </c>
      <c r="AJ87" s="803">
        <f>AJ86/AJ80</f>
        <v>4.2774118052689589</v>
      </c>
      <c r="AK87" s="803">
        <f>AK86/AK80</f>
        <v>3.4415791828368691</v>
      </c>
      <c r="AL87" s="803">
        <f>AL86/AL80</f>
        <v>1.7589457473395893</v>
      </c>
      <c r="AM87" s="804">
        <f>AL87</f>
        <v>1.7589457473395893</v>
      </c>
      <c r="AN87" s="803">
        <f>AN86/AN80</f>
        <v>1.6214048979548685</v>
      </c>
      <c r="AO87" s="803">
        <f>AO86/AO80</f>
        <v>1.5755647218510518</v>
      </c>
      <c r="AP87" s="803">
        <f>AP86/AP80</f>
        <v>1.0230984527653151</v>
      </c>
      <c r="AQ87" s="803">
        <f>AQ86/AQ80</f>
        <v>0.98499442517343905</v>
      </c>
      <c r="AR87" s="804">
        <f>AQ87</f>
        <v>0.98499442517343905</v>
      </c>
      <c r="AS87" s="803">
        <f>AS86/AS80</f>
        <v>1.4512479370318649</v>
      </c>
      <c r="AT87" s="803">
        <f>AT86/AT80</f>
        <v>0.95833517690957626</v>
      </c>
      <c r="AU87" s="803">
        <f>AU86/AU80</f>
        <v>0.54615541564649639</v>
      </c>
      <c r="AV87" s="803">
        <f>AV86/AV80</f>
        <v>0.28687282388712509</v>
      </c>
      <c r="AW87" s="804">
        <f>AV87</f>
        <v>0.28687282388712509</v>
      </c>
      <c r="AX87" s="803">
        <f>AX86/AX80</f>
        <v>0.11887570292619336</v>
      </c>
      <c r="AY87" s="803">
        <f>AY86/AY80</f>
        <v>0.43509488349747777</v>
      </c>
      <c r="AZ87" s="803">
        <f>AZ86/AZ80</f>
        <v>0.42347372720501669</v>
      </c>
      <c r="BA87" s="803">
        <f>BA86/BA80</f>
        <v>0.40709882651657409</v>
      </c>
      <c r="BB87" s="69"/>
      <c r="BC87" s="803">
        <f>BC86/BC80</f>
        <v>1.2039470809564268</v>
      </c>
      <c r="BD87" s="803">
        <f>BD86/BD80</f>
        <v>1.332646054794254</v>
      </c>
      <c r="BE87" s="803">
        <f>BE86/BE80</f>
        <v>1.2330195285147436</v>
      </c>
      <c r="BF87" s="803">
        <f>BF86/BF80</f>
        <v>1.4970377193833027</v>
      </c>
      <c r="BG87" s="69"/>
      <c r="BH87" s="803">
        <f>BH86/BH80</f>
        <v>2.7262905450543324</v>
      </c>
      <c r="BI87" s="803">
        <f>BI86/BI80</f>
        <v>3.4532739010144482</v>
      </c>
      <c r="BJ87" s="803">
        <f>BJ86/BJ80</f>
        <v>4.3311159602795426</v>
      </c>
      <c r="BK87" s="803">
        <f>BK86/BK80</f>
        <v>4.9883434089922272</v>
      </c>
      <c r="BL87" s="69"/>
      <c r="BM87" s="803">
        <f>BM86/BM80</f>
        <v>5.1777451690360943</v>
      </c>
      <c r="BN87" s="803">
        <f>BN86/BN80</f>
        <v>4.5053775315209768</v>
      </c>
      <c r="BO87" s="803">
        <f>BO86/BO80</f>
        <v>4.5153277816641593</v>
      </c>
      <c r="BP87" s="803">
        <f>BP86/BP80</f>
        <v>4.4919140167919931</v>
      </c>
      <c r="BQ87" s="69"/>
      <c r="BR87" s="803">
        <f>BR86/BR80</f>
        <v>4.4578877130988852</v>
      </c>
      <c r="BS87" s="803">
        <f>BS86/BS80</f>
        <v>4.0029911450729063</v>
      </c>
      <c r="BT87" s="803">
        <f>BT86/BT80</f>
        <v>4.0365023141361762</v>
      </c>
      <c r="BU87" s="169"/>
      <c r="BV87" s="69"/>
      <c r="BW87" s="169"/>
      <c r="BX87" s="169"/>
      <c r="BY87" s="169"/>
      <c r="BZ87" s="169"/>
      <c r="CA87" s="69"/>
    </row>
    <row r="88" spans="1:79" ht="5.25" customHeight="1">
      <c r="B88" s="284"/>
      <c r="C88" s="67"/>
      <c r="D88" s="67"/>
      <c r="E88" s="67"/>
      <c r="F88" s="67"/>
      <c r="G88" s="67"/>
      <c r="H88" s="67"/>
      <c r="I88" s="67"/>
      <c r="J88" s="67"/>
      <c r="K88" s="67"/>
      <c r="L88" s="67"/>
      <c r="M88" s="67"/>
      <c r="N88" s="68"/>
      <c r="Q88" s="67"/>
      <c r="R88" s="67"/>
      <c r="T88" s="67"/>
      <c r="U88" s="67"/>
      <c r="V88" s="67"/>
      <c r="W88" s="67"/>
      <c r="X88" s="462"/>
      <c r="Y88" s="67"/>
      <c r="Z88" s="67"/>
      <c r="AA88" s="67"/>
      <c r="AB88" s="67"/>
      <c r="AC88" s="461"/>
      <c r="AD88" s="67"/>
      <c r="AE88" s="67"/>
      <c r="AF88" s="67"/>
      <c r="AG88" s="67"/>
      <c r="AK88" s="130"/>
      <c r="AL88" s="130"/>
      <c r="AM88" s="68"/>
      <c r="AW88" s="68"/>
      <c r="BB88" s="68"/>
      <c r="BG88" s="68"/>
      <c r="BL88" s="68"/>
      <c r="BQ88" s="68"/>
      <c r="BV88" s="68"/>
      <c r="CA88" s="68"/>
    </row>
    <row r="89" spans="1:79">
      <c r="B89" s="284"/>
      <c r="C89" s="67"/>
      <c r="D89" s="67"/>
      <c r="E89" s="67"/>
      <c r="F89" s="67"/>
      <c r="G89" s="67"/>
      <c r="H89" s="67"/>
      <c r="I89" s="67"/>
      <c r="J89" s="67"/>
      <c r="K89" s="67"/>
      <c r="L89" s="67"/>
      <c r="M89" s="67"/>
      <c r="N89" s="66"/>
      <c r="Q89" s="67"/>
      <c r="R89" s="67"/>
      <c r="T89" s="67"/>
      <c r="U89" s="67"/>
      <c r="V89" s="67"/>
      <c r="W89" s="67"/>
      <c r="X89" s="66"/>
      <c r="Y89" s="67"/>
      <c r="Z89" s="67"/>
      <c r="AA89" s="67"/>
      <c r="AB89" s="67"/>
      <c r="AC89" s="67"/>
      <c r="AD89" s="67"/>
      <c r="AE89" s="67"/>
      <c r="AF89" s="67"/>
      <c r="AG89" s="67"/>
      <c r="AK89" s="130"/>
      <c r="AM89" s="66"/>
      <c r="AS89" s="130"/>
      <c r="AW89" s="66"/>
      <c r="BB89" s="66"/>
      <c r="BG89" s="66"/>
      <c r="BL89" s="66"/>
      <c r="BQ89" s="66"/>
      <c r="BV89" s="66"/>
      <c r="CA89" s="66"/>
    </row>
    <row r="90" spans="1:79" ht="13.15" hidden="1" thickBot="1">
      <c r="B90" s="284"/>
      <c r="C90" s="67"/>
      <c r="D90" s="67"/>
      <c r="E90" s="67"/>
      <c r="F90" s="67"/>
      <c r="G90" s="67"/>
      <c r="H90" s="67"/>
      <c r="I90" s="67"/>
      <c r="J90" s="67"/>
      <c r="K90" s="67"/>
      <c r="L90" s="67"/>
      <c r="M90" s="67"/>
      <c r="N90" s="66"/>
      <c r="Q90" s="67"/>
      <c r="R90" s="67"/>
      <c r="T90" s="67"/>
      <c r="U90" s="67"/>
      <c r="V90" s="67"/>
      <c r="W90" s="67"/>
      <c r="X90" s="66"/>
      <c r="Y90" s="67"/>
      <c r="Z90" s="67"/>
      <c r="AA90" s="67"/>
      <c r="AB90" s="67"/>
      <c r="AC90" s="67"/>
      <c r="AD90" s="67"/>
      <c r="AE90" s="67"/>
      <c r="AF90" s="67"/>
      <c r="AG90" s="67"/>
      <c r="AM90" s="66"/>
      <c r="AR90" s="66"/>
      <c r="AT90" s="467">
        <f>34756-AT63</f>
        <v>0</v>
      </c>
      <c r="AU90" s="130">
        <f>AU71--58491</f>
        <v>0</v>
      </c>
      <c r="BD90" s="130"/>
    </row>
    <row r="91" spans="1:79" hidden="1">
      <c r="B91" s="284"/>
      <c r="C91" s="355" t="s">
        <v>71</v>
      </c>
      <c r="D91" s="67"/>
      <c r="E91" s="67"/>
      <c r="F91" s="67"/>
      <c r="G91" s="67"/>
      <c r="H91" s="67"/>
      <c r="I91" s="67"/>
      <c r="J91" s="67"/>
      <c r="K91" s="67"/>
      <c r="L91" s="67"/>
      <c r="M91" s="67"/>
      <c r="N91" s="66"/>
      <c r="Q91" s="67"/>
      <c r="R91" s="67"/>
      <c r="S91" s="180">
        <f>BS!R49</f>
        <v>0</v>
      </c>
      <c r="T91" s="181"/>
      <c r="U91" s="348"/>
      <c r="V91" s="348"/>
      <c r="W91" s="177"/>
      <c r="X91" s="180">
        <f>BS!W49</f>
        <v>19572</v>
      </c>
      <c r="Y91" s="181"/>
      <c r="Z91" s="348"/>
      <c r="AA91" s="348"/>
      <c r="AB91" s="348"/>
      <c r="AC91" s="180">
        <f>BS!AB49</f>
        <v>32712</v>
      </c>
      <c r="AD91" s="361"/>
      <c r="AE91" s="361"/>
      <c r="AF91" s="361"/>
      <c r="AG91" s="361"/>
      <c r="AH91" s="180">
        <f>BS!AG49</f>
        <v>277924</v>
      </c>
      <c r="AI91" s="362"/>
      <c r="AJ91" s="362"/>
      <c r="AK91" s="362"/>
      <c r="AL91" s="362"/>
      <c r="AM91" s="368"/>
      <c r="AN91" s="362"/>
      <c r="AO91" s="362"/>
      <c r="AP91" s="362"/>
      <c r="AQ91" s="362"/>
      <c r="AR91" s="368"/>
    </row>
    <row r="92" spans="1:79" hidden="1">
      <c r="B92" s="284"/>
      <c r="C92" s="356" t="s">
        <v>198</v>
      </c>
      <c r="D92" s="67"/>
      <c r="E92" s="67"/>
      <c r="F92" s="67"/>
      <c r="G92" s="67"/>
      <c r="H92" s="67"/>
      <c r="I92" s="67"/>
      <c r="J92" s="67"/>
      <c r="K92" s="67"/>
      <c r="L92" s="67"/>
      <c r="M92" s="67"/>
      <c r="N92" s="66"/>
      <c r="Q92" s="67"/>
      <c r="R92" s="67"/>
      <c r="S92" s="71">
        <f>S94-S91</f>
        <v>82400</v>
      </c>
      <c r="T92" s="67"/>
      <c r="U92" s="67"/>
      <c r="V92" s="67"/>
      <c r="W92" s="264"/>
      <c r="X92" s="71">
        <f>X94-X91</f>
        <v>112228</v>
      </c>
      <c r="Y92" s="363"/>
      <c r="Z92" s="67"/>
      <c r="AA92" s="67"/>
      <c r="AB92" s="67"/>
      <c r="AC92" s="71">
        <f>AC94-AC91</f>
        <v>135488</v>
      </c>
      <c r="AD92" s="67"/>
      <c r="AE92" s="67"/>
      <c r="AF92" s="67"/>
      <c r="AG92" s="67"/>
      <c r="AH92" s="71">
        <f>AH94-AH91</f>
        <v>-46954</v>
      </c>
      <c r="AM92" s="369"/>
      <c r="AR92" s="369"/>
    </row>
    <row r="93" spans="1:79" hidden="1">
      <c r="B93" s="284"/>
      <c r="C93" s="357" t="s">
        <v>199</v>
      </c>
      <c r="D93" s="67"/>
      <c r="E93" s="67"/>
      <c r="F93" s="67"/>
      <c r="G93" s="67"/>
      <c r="H93" s="67"/>
      <c r="I93" s="67"/>
      <c r="J93" s="67"/>
      <c r="K93" s="67"/>
      <c r="L93" s="67"/>
      <c r="M93" s="67"/>
      <c r="N93" s="66"/>
      <c r="Q93" s="67"/>
      <c r="R93" s="67"/>
      <c r="S93" s="366"/>
      <c r="T93" s="67"/>
      <c r="U93" s="67"/>
      <c r="V93" s="67"/>
      <c r="W93" s="264"/>
      <c r="X93" s="372">
        <f>X92/S92-1</f>
        <v>0.361990291262136</v>
      </c>
      <c r="Y93" s="363"/>
      <c r="Z93" s="67"/>
      <c r="AA93" s="67"/>
      <c r="AB93" s="67"/>
      <c r="AC93" s="372">
        <f>AC92/X92-1</f>
        <v>0.20725665609295363</v>
      </c>
      <c r="AD93" s="67"/>
      <c r="AE93" s="67"/>
      <c r="AF93" s="67"/>
      <c r="AG93" s="67"/>
      <c r="AH93" s="372">
        <f>AH92/AC92-1</f>
        <v>-1.3465546764289089</v>
      </c>
      <c r="AM93" s="369"/>
      <c r="AR93" s="369"/>
    </row>
    <row r="94" spans="1:79" hidden="1">
      <c r="B94" s="284"/>
      <c r="C94" s="356" t="s">
        <v>200</v>
      </c>
      <c r="D94" s="67"/>
      <c r="E94" s="67"/>
      <c r="F94" s="67"/>
      <c r="G94" s="67"/>
      <c r="H94" s="67"/>
      <c r="I94" s="67"/>
      <c r="J94" s="67"/>
      <c r="K94" s="67"/>
      <c r="L94" s="67"/>
      <c r="M94" s="67"/>
      <c r="N94" s="66"/>
      <c r="Q94" s="67"/>
      <c r="R94" s="67"/>
      <c r="S94" s="71">
        <v>82400</v>
      </c>
      <c r="T94" s="67"/>
      <c r="U94" s="67"/>
      <c r="V94" s="67"/>
      <c r="W94" s="264"/>
      <c r="X94" s="71">
        <v>131800</v>
      </c>
      <c r="Y94" s="363"/>
      <c r="Z94" s="67"/>
      <c r="AA94" s="67"/>
      <c r="AB94" s="67"/>
      <c r="AC94" s="71">
        <v>168200</v>
      </c>
      <c r="AD94" s="67"/>
      <c r="AE94" s="67"/>
      <c r="AF94" s="67"/>
      <c r="AG94" s="67"/>
      <c r="AH94" s="414">
        <v>230970</v>
      </c>
      <c r="AM94" s="369"/>
      <c r="AR94" s="369"/>
    </row>
    <row r="95" spans="1:79" ht="13.15" hidden="1" thickBot="1">
      <c r="B95" s="284"/>
      <c r="C95" s="357" t="s">
        <v>199</v>
      </c>
      <c r="D95" s="67"/>
      <c r="E95" s="67"/>
      <c r="F95" s="67"/>
      <c r="G95" s="67"/>
      <c r="H95" s="67"/>
      <c r="I95" s="67"/>
      <c r="J95" s="67"/>
      <c r="K95" s="67"/>
      <c r="L95" s="67"/>
      <c r="M95" s="67"/>
      <c r="N95" s="66"/>
      <c r="Q95" s="67"/>
      <c r="R95" s="67"/>
      <c r="S95" s="366"/>
      <c r="T95" s="67"/>
      <c r="U95" s="67"/>
      <c r="V95" s="67"/>
      <c r="W95" s="264"/>
      <c r="X95" s="371">
        <f>X94/S94-1</f>
        <v>0.59951456310679618</v>
      </c>
      <c r="Y95" s="363"/>
      <c r="Z95" s="67"/>
      <c r="AA95" s="67"/>
      <c r="AB95" s="67"/>
      <c r="AC95" s="371">
        <f>AC94/X94-1</f>
        <v>0.27617602427921084</v>
      </c>
      <c r="AD95" s="67"/>
      <c r="AE95" s="67"/>
      <c r="AF95" s="67"/>
      <c r="AG95" s="67"/>
      <c r="AH95" s="413">
        <f>AH94/AC94-1</f>
        <v>0.37318668252080855</v>
      </c>
      <c r="AM95" s="369"/>
      <c r="AR95" s="369"/>
    </row>
    <row r="96" spans="1:79" s="96" customFormat="1" ht="13.5" hidden="1" thickBot="1">
      <c r="B96" s="373"/>
      <c r="C96" s="358" t="s">
        <v>201</v>
      </c>
      <c r="D96" s="374"/>
      <c r="E96" s="374"/>
      <c r="F96" s="374"/>
      <c r="G96" s="374"/>
      <c r="H96" s="374"/>
      <c r="I96" s="374"/>
      <c r="J96" s="374"/>
      <c r="K96" s="374"/>
      <c r="L96" s="374"/>
      <c r="M96" s="374"/>
      <c r="N96" s="375"/>
      <c r="Q96" s="374"/>
      <c r="R96" s="374"/>
      <c r="S96" s="376"/>
      <c r="T96" s="377"/>
      <c r="U96" s="377"/>
      <c r="V96" s="377"/>
      <c r="W96" s="378"/>
      <c r="X96" s="381">
        <f>(X94-S94)+X13</f>
        <v>299881</v>
      </c>
      <c r="Y96" s="380"/>
      <c r="Z96" s="377"/>
      <c r="AA96" s="377"/>
      <c r="AB96" s="377"/>
      <c r="AC96" s="381">
        <f>(AC94-X94)+AC13</f>
        <v>417859</v>
      </c>
      <c r="AD96" s="377"/>
      <c r="AE96" s="377"/>
      <c r="AF96" s="377"/>
      <c r="AG96" s="377"/>
      <c r="AH96" s="381">
        <f>(AH94-AC94)+AH13</f>
        <v>581274</v>
      </c>
      <c r="AI96" s="382"/>
      <c r="AJ96" s="382"/>
      <c r="AK96" s="382"/>
      <c r="AL96" s="382"/>
      <c r="AM96" s="379"/>
      <c r="AN96" s="382"/>
      <c r="AO96" s="382"/>
      <c r="AP96" s="382"/>
      <c r="AQ96" s="382"/>
      <c r="AR96" s="379"/>
    </row>
    <row r="97" spans="1:79" hidden="1">
      <c r="B97" s="284"/>
      <c r="C97" s="357" t="s">
        <v>202</v>
      </c>
      <c r="D97" s="67"/>
      <c r="E97" s="67"/>
      <c r="F97" s="67"/>
      <c r="G97" s="67"/>
      <c r="H97" s="67"/>
      <c r="I97" s="67"/>
      <c r="J97" s="67"/>
      <c r="K97" s="67"/>
      <c r="L97" s="67"/>
      <c r="M97" s="67"/>
      <c r="N97" s="66"/>
      <c r="Q97" s="67"/>
      <c r="R97" s="67"/>
      <c r="S97" s="366"/>
      <c r="T97" s="67"/>
      <c r="U97" s="67"/>
      <c r="V97" s="67"/>
      <c r="W97" s="264"/>
      <c r="X97" s="369"/>
      <c r="Y97" s="363"/>
      <c r="Z97" s="67"/>
      <c r="AA97" s="67"/>
      <c r="AB97" s="67"/>
      <c r="AC97" s="91"/>
      <c r="AD97" s="67"/>
      <c r="AE97" s="67"/>
      <c r="AF97" s="67"/>
      <c r="AG97" s="67"/>
      <c r="AH97" s="366"/>
      <c r="AM97" s="369"/>
      <c r="AR97" s="369"/>
    </row>
    <row r="98" spans="1:79" ht="13.15" hidden="1" thickBot="1">
      <c r="B98" s="62"/>
      <c r="C98" s="360" t="s">
        <v>199</v>
      </c>
      <c r="D98" s="67"/>
      <c r="E98" s="67"/>
      <c r="F98" s="67"/>
      <c r="G98" s="67"/>
      <c r="H98" s="67"/>
      <c r="I98" s="67"/>
      <c r="J98" s="67"/>
      <c r="K98" s="67"/>
      <c r="L98" s="67"/>
      <c r="M98" s="67"/>
      <c r="N98" s="66"/>
      <c r="Q98" s="67"/>
      <c r="R98" s="67"/>
      <c r="S98" s="370"/>
      <c r="T98" s="364"/>
      <c r="U98" s="364"/>
      <c r="V98" s="364"/>
      <c r="W98" s="261"/>
      <c r="X98" s="367"/>
      <c r="Y98" s="70"/>
      <c r="Z98" s="364"/>
      <c r="AA98" s="364"/>
      <c r="AB98" s="364"/>
      <c r="AC98" s="69"/>
      <c r="AD98" s="364"/>
      <c r="AE98" s="364"/>
      <c r="AF98" s="364"/>
      <c r="AG98" s="364"/>
      <c r="AH98" s="367"/>
      <c r="AI98" s="365"/>
      <c r="AJ98" s="365"/>
      <c r="AK98" s="365"/>
      <c r="AL98" s="365"/>
      <c r="AM98" s="370"/>
      <c r="AN98" s="365"/>
      <c r="AO98" s="365"/>
      <c r="AP98" s="365"/>
      <c r="AQ98" s="365"/>
      <c r="AR98" s="370"/>
      <c r="BM98" s="1218"/>
      <c r="BR98" s="1218"/>
    </row>
    <row r="99" spans="1:79" ht="13.15" thickBot="1">
      <c r="B99" s="62"/>
      <c r="C99" s="359"/>
      <c r="D99" s="67"/>
      <c r="E99" s="67"/>
      <c r="F99" s="67"/>
      <c r="G99" s="67"/>
      <c r="H99" s="67"/>
      <c r="I99" s="67"/>
      <c r="J99" s="67"/>
      <c r="K99" s="67"/>
      <c r="L99" s="67"/>
      <c r="M99" s="67"/>
      <c r="N99" s="66"/>
      <c r="Q99" s="67"/>
      <c r="R99" s="67"/>
      <c r="T99" s="67"/>
      <c r="U99" s="67"/>
      <c r="V99" s="67"/>
      <c r="W99" s="67"/>
      <c r="X99" s="66"/>
      <c r="Y99" s="67"/>
      <c r="Z99" s="67"/>
      <c r="AA99" s="67"/>
      <c r="AB99" s="67"/>
      <c r="AC99" s="67"/>
      <c r="AD99" s="67"/>
      <c r="AE99" s="67"/>
      <c r="AF99" s="67"/>
      <c r="AG99" s="67"/>
      <c r="AH99" s="66"/>
      <c r="AJ99" s="423"/>
      <c r="AK99" s="422"/>
      <c r="AL99" s="423"/>
      <c r="AN99" s="422"/>
      <c r="AO99" s="422"/>
      <c r="AP99" s="422"/>
      <c r="AQ99" s="422"/>
      <c r="AS99" s="422"/>
      <c r="AT99" s="422"/>
      <c r="AU99" s="422"/>
      <c r="AV99" s="422"/>
      <c r="AX99" s="422"/>
      <c r="AY99" s="422"/>
      <c r="AZ99" s="422"/>
      <c r="BA99" s="422"/>
      <c r="BC99" s="422"/>
      <c r="BD99" s="422"/>
      <c r="BE99" s="422"/>
      <c r="BF99" s="422"/>
      <c r="BH99" s="422"/>
      <c r="BI99" s="422"/>
      <c r="BJ99" s="422"/>
      <c r="BK99" s="422"/>
      <c r="BM99" s="422"/>
      <c r="BN99" s="422"/>
      <c r="BO99" s="422"/>
      <c r="BP99" s="422"/>
      <c r="BR99" s="422"/>
      <c r="BS99" s="422"/>
      <c r="BT99" s="422"/>
      <c r="BU99" s="422"/>
      <c r="BW99" s="422"/>
      <c r="BX99" s="422"/>
      <c r="BY99" s="422"/>
      <c r="BZ99" s="422"/>
    </row>
    <row r="100" spans="1:79" ht="13.15" thickBot="1">
      <c r="B100" s="62"/>
      <c r="C100" s="61"/>
      <c r="D100" s="61"/>
      <c r="E100" s="1255" t="s">
        <v>191</v>
      </c>
      <c r="F100" s="1256"/>
      <c r="G100" s="1256"/>
      <c r="H100" s="1257"/>
      <c r="I100" s="65"/>
      <c r="J100" s="1255" t="s">
        <v>141</v>
      </c>
      <c r="K100" s="1256"/>
      <c r="L100" s="1256"/>
      <c r="M100" s="1257"/>
      <c r="N100" s="65"/>
      <c r="O100" s="1255" t="s">
        <v>142</v>
      </c>
      <c r="P100" s="1256"/>
      <c r="Q100" s="1256"/>
      <c r="R100" s="1257"/>
      <c r="S100" s="65"/>
      <c r="T100" s="1258" t="s">
        <v>143</v>
      </c>
      <c r="U100" s="1259"/>
      <c r="V100" s="1259"/>
      <c r="W100" s="1260"/>
      <c r="X100" s="64"/>
      <c r="Y100" s="1252" t="s">
        <v>160</v>
      </c>
      <c r="Z100" s="1253"/>
      <c r="AA100" s="1253"/>
      <c r="AB100" s="1254"/>
      <c r="AC100" s="64"/>
      <c r="AD100" s="1252" t="s">
        <v>177</v>
      </c>
      <c r="AE100" s="1253"/>
      <c r="AF100" s="1253"/>
      <c r="AG100" s="1254"/>
      <c r="AH100" s="64"/>
      <c r="AI100" s="1252" t="s">
        <v>190</v>
      </c>
      <c r="AJ100" s="1253"/>
      <c r="AK100" s="1253"/>
      <c r="AL100" s="1254"/>
      <c r="AM100" s="64"/>
      <c r="AN100" s="1252" t="s">
        <v>197</v>
      </c>
      <c r="AO100" s="1253"/>
      <c r="AP100" s="1253"/>
      <c r="AQ100" s="1254"/>
      <c r="AR100" s="64"/>
      <c r="AS100" s="1252" t="s">
        <v>222</v>
      </c>
      <c r="AT100" s="1253"/>
      <c r="AU100" s="1253"/>
      <c r="AV100" s="1254"/>
      <c r="AW100" s="64"/>
      <c r="AX100" s="1252" t="s">
        <v>568</v>
      </c>
      <c r="AY100" s="1253"/>
      <c r="AZ100" s="1253"/>
      <c r="BA100" s="1254"/>
      <c r="BB100" s="64"/>
      <c r="BC100" s="1252" t="s">
        <v>574</v>
      </c>
      <c r="BD100" s="1253"/>
      <c r="BE100" s="1253"/>
      <c r="BF100" s="1254"/>
      <c r="BG100" s="64"/>
      <c r="BH100" s="1252" t="str">
        <f>"20"&amp;MID(BL4,3,2)&amp;" Billings"</f>
        <v>2024 Billings</v>
      </c>
      <c r="BI100" s="1253"/>
      <c r="BJ100" s="1253"/>
      <c r="BK100" s="1254"/>
      <c r="BL100" s="64"/>
      <c r="BM100" s="1252" t="str">
        <f>"20"&amp;MID(BQ4,3,2)&amp;" Billings"</f>
        <v>2025 Billings</v>
      </c>
      <c r="BN100" s="1253"/>
      <c r="BO100" s="1253"/>
      <c r="BP100" s="1254"/>
      <c r="BQ100" s="64"/>
      <c r="BR100" s="1252" t="str">
        <f>"20"&amp;MID(BV4,3,2)&amp;" Billings"</f>
        <v>2026 Billings</v>
      </c>
      <c r="BS100" s="1253"/>
      <c r="BT100" s="1253"/>
      <c r="BU100" s="1254"/>
      <c r="BV100" s="64"/>
      <c r="BW100" s="1252" t="str">
        <f>"20"&amp;MID(CA4,3,2)&amp;" Billings"</f>
        <v>2027 Billings</v>
      </c>
      <c r="BX100" s="1253"/>
      <c r="BY100" s="1253"/>
      <c r="BZ100" s="1254"/>
      <c r="CA100" s="64"/>
    </row>
    <row r="101" spans="1:79" ht="13.15" thickBot="1">
      <c r="A101" s="63"/>
      <c r="B101" s="62"/>
      <c r="C101" s="61"/>
      <c r="D101" s="61"/>
      <c r="E101" s="333"/>
      <c r="F101" s="242"/>
      <c r="G101" s="242"/>
      <c r="H101" s="332"/>
      <c r="I101" s="241"/>
      <c r="J101" s="242"/>
      <c r="K101" s="242"/>
      <c r="L101" s="242"/>
      <c r="M101" s="242"/>
      <c r="N101" s="241"/>
      <c r="O101" s="242"/>
      <c r="P101" s="242" t="s">
        <v>66</v>
      </c>
      <c r="Q101" s="242" t="s">
        <v>65</v>
      </c>
      <c r="R101" s="242" t="s">
        <v>64</v>
      </c>
      <c r="S101" s="241">
        <v>2015</v>
      </c>
      <c r="T101" s="242" t="s">
        <v>155</v>
      </c>
      <c r="U101" s="242" t="s">
        <v>156</v>
      </c>
      <c r="V101" s="242" t="str">
        <f t="shared" ref="V101:BL101" si="114">V4</f>
        <v>3Q16</v>
      </c>
      <c r="W101" s="242" t="str">
        <f t="shared" si="114"/>
        <v>4Q16</v>
      </c>
      <c r="X101" s="241" t="str">
        <f t="shared" si="114"/>
        <v>FY16</v>
      </c>
      <c r="Y101" s="242" t="str">
        <f t="shared" si="114"/>
        <v>1Q17</v>
      </c>
      <c r="Z101" s="242" t="str">
        <f t="shared" si="114"/>
        <v>2Q17</v>
      </c>
      <c r="AA101" s="242" t="str">
        <f t="shared" si="114"/>
        <v>3Q17</v>
      </c>
      <c r="AB101" s="242" t="str">
        <f t="shared" si="114"/>
        <v>4Q17</v>
      </c>
      <c r="AC101" s="241" t="str">
        <f t="shared" si="114"/>
        <v>FY17</v>
      </c>
      <c r="AD101" s="242" t="str">
        <f t="shared" si="114"/>
        <v>1Q18</v>
      </c>
      <c r="AE101" s="242" t="str">
        <f t="shared" si="114"/>
        <v>2Q18</v>
      </c>
      <c r="AF101" s="242" t="str">
        <f t="shared" si="114"/>
        <v>3Q18</v>
      </c>
      <c r="AG101" s="242" t="str">
        <f t="shared" si="114"/>
        <v>4Q18</v>
      </c>
      <c r="AH101" s="241" t="str">
        <f t="shared" si="114"/>
        <v>FY18</v>
      </c>
      <c r="AI101" s="242" t="str">
        <f t="shared" si="114"/>
        <v>1Q19</v>
      </c>
      <c r="AJ101" s="242" t="str">
        <f t="shared" si="114"/>
        <v>2Q19</v>
      </c>
      <c r="AK101" s="242" t="str">
        <f t="shared" si="114"/>
        <v>3Q19</v>
      </c>
      <c r="AL101" s="242" t="str">
        <f t="shared" si="114"/>
        <v>4Q19</v>
      </c>
      <c r="AM101" s="241" t="str">
        <f t="shared" si="114"/>
        <v>FY19</v>
      </c>
      <c r="AN101" s="242" t="str">
        <f t="shared" si="114"/>
        <v>1Q20</v>
      </c>
      <c r="AO101" s="242" t="str">
        <f t="shared" si="114"/>
        <v>2Q20</v>
      </c>
      <c r="AP101" s="242" t="str">
        <f t="shared" si="114"/>
        <v>3Q20</v>
      </c>
      <c r="AQ101" s="242" t="str">
        <f t="shared" si="114"/>
        <v>4Q20</v>
      </c>
      <c r="AR101" s="241" t="str">
        <f t="shared" si="114"/>
        <v>FY20</v>
      </c>
      <c r="AS101" s="242" t="str">
        <f t="shared" si="114"/>
        <v>1Q21</v>
      </c>
      <c r="AT101" s="242" t="str">
        <f t="shared" si="114"/>
        <v>2Q21</v>
      </c>
      <c r="AU101" s="242" t="str">
        <f t="shared" si="114"/>
        <v>3Q21</v>
      </c>
      <c r="AV101" s="242" t="str">
        <f t="shared" si="114"/>
        <v>4Q21</v>
      </c>
      <c r="AW101" s="241" t="str">
        <f t="shared" si="114"/>
        <v>FY21</v>
      </c>
      <c r="AX101" s="242" t="str">
        <f t="shared" si="114"/>
        <v>1Q22</v>
      </c>
      <c r="AY101" s="242" t="str">
        <f t="shared" si="114"/>
        <v>2Q22</v>
      </c>
      <c r="AZ101" s="242" t="str">
        <f t="shared" si="114"/>
        <v>3Q22</v>
      </c>
      <c r="BA101" s="242" t="str">
        <f t="shared" si="114"/>
        <v>4Q22</v>
      </c>
      <c r="BB101" s="241" t="str">
        <f t="shared" si="114"/>
        <v>FY22</v>
      </c>
      <c r="BC101" s="242" t="str">
        <f t="shared" si="114"/>
        <v>1Q23</v>
      </c>
      <c r="BD101" s="242" t="str">
        <f t="shared" si="114"/>
        <v>2Q23</v>
      </c>
      <c r="BE101" s="242" t="str">
        <f t="shared" si="114"/>
        <v>3Q23</v>
      </c>
      <c r="BF101" s="242" t="str">
        <f t="shared" si="114"/>
        <v>4Q23</v>
      </c>
      <c r="BG101" s="241" t="str">
        <f t="shared" si="114"/>
        <v>FY23</v>
      </c>
      <c r="BH101" s="242" t="str">
        <f t="shared" si="114"/>
        <v>1Q24</v>
      </c>
      <c r="BI101" s="242" t="str">
        <f t="shared" si="114"/>
        <v>2Q24</v>
      </c>
      <c r="BJ101" s="242" t="str">
        <f t="shared" si="114"/>
        <v>3Q24</v>
      </c>
      <c r="BK101" s="242" t="str">
        <f t="shared" si="114"/>
        <v>4Q24</v>
      </c>
      <c r="BL101" s="241" t="str">
        <f t="shared" si="114"/>
        <v>FY24</v>
      </c>
      <c r="BM101" s="242" t="str">
        <f t="shared" ref="BM101:CA101" si="115">BM4</f>
        <v>1Q25</v>
      </c>
      <c r="BN101" s="242" t="str">
        <f t="shared" si="115"/>
        <v>2Q25</v>
      </c>
      <c r="BO101" s="242" t="str">
        <f t="shared" si="115"/>
        <v>3Q25</v>
      </c>
      <c r="BP101" s="242" t="str">
        <f t="shared" si="115"/>
        <v>4Q25</v>
      </c>
      <c r="BQ101" s="241" t="str">
        <f t="shared" si="115"/>
        <v>FY25</v>
      </c>
      <c r="BR101" s="242" t="str">
        <f t="shared" si="115"/>
        <v>1Q26</v>
      </c>
      <c r="BS101" s="242" t="str">
        <f t="shared" si="115"/>
        <v>2Q26</v>
      </c>
      <c r="BT101" s="242" t="str">
        <f t="shared" si="115"/>
        <v>3Q26</v>
      </c>
      <c r="BU101" s="242" t="str">
        <f t="shared" si="115"/>
        <v>4Q26E</v>
      </c>
      <c r="BV101" s="241" t="str">
        <f t="shared" si="115"/>
        <v>FY26E</v>
      </c>
      <c r="BW101" s="242" t="str">
        <f t="shared" si="115"/>
        <v>1Q27E</v>
      </c>
      <c r="BX101" s="242" t="str">
        <f t="shared" si="115"/>
        <v>2Q27E</v>
      </c>
      <c r="BY101" s="242" t="str">
        <f t="shared" si="115"/>
        <v>3Q27E</v>
      </c>
      <c r="BZ101" s="242" t="str">
        <f t="shared" si="115"/>
        <v>4Q27E</v>
      </c>
      <c r="CA101" s="241" t="str">
        <f t="shared" si="115"/>
        <v>FY27E</v>
      </c>
    </row>
    <row r="102" spans="1:79" ht="13.5">
      <c r="A102"/>
      <c r="C102" s="331" t="s">
        <v>56</v>
      </c>
      <c r="D102" s="303"/>
      <c r="E102" s="330"/>
      <c r="F102" s="329"/>
      <c r="G102" s="329"/>
      <c r="H102" s="328"/>
      <c r="I102" s="237"/>
      <c r="J102" s="60"/>
      <c r="K102" s="60"/>
      <c r="L102" s="60"/>
      <c r="M102" s="60"/>
      <c r="N102" s="237"/>
      <c r="O102" s="60"/>
      <c r="P102" s="60"/>
      <c r="Q102" s="60"/>
      <c r="R102" s="60"/>
      <c r="S102" s="237"/>
      <c r="T102" s="60">
        <f t="shared" ref="T102:BL102" si="116">T13</f>
        <v>0</v>
      </c>
      <c r="U102" s="60">
        <f t="shared" si="116"/>
        <v>0</v>
      </c>
      <c r="V102" s="60">
        <f t="shared" si="116"/>
        <v>0</v>
      </c>
      <c r="W102" s="60">
        <f t="shared" si="116"/>
        <v>0</v>
      </c>
      <c r="X102" s="237">
        <f t="shared" si="116"/>
        <v>250481</v>
      </c>
      <c r="Y102" s="60">
        <f t="shared" si="116"/>
        <v>0</v>
      </c>
      <c r="Z102" s="60">
        <f t="shared" si="116"/>
        <v>0</v>
      </c>
      <c r="AA102" s="60">
        <f t="shared" si="116"/>
        <v>0</v>
      </c>
      <c r="AB102" s="60">
        <f t="shared" si="116"/>
        <v>0</v>
      </c>
      <c r="AC102" s="237">
        <f t="shared" si="116"/>
        <v>381459</v>
      </c>
      <c r="AD102" s="60">
        <f t="shared" si="116"/>
        <v>113498</v>
      </c>
      <c r="AE102" s="60">
        <f t="shared" si="116"/>
        <v>125543</v>
      </c>
      <c r="AF102" s="60">
        <f t="shared" si="116"/>
        <v>130589</v>
      </c>
      <c r="AG102" s="60">
        <f t="shared" si="116"/>
        <v>148874</v>
      </c>
      <c r="AH102" s="237">
        <f t="shared" si="116"/>
        <v>518504</v>
      </c>
      <c r="AI102" s="60">
        <f t="shared" si="116"/>
        <v>155808</v>
      </c>
      <c r="AJ102" s="60">
        <f t="shared" si="116"/>
        <v>167044</v>
      </c>
      <c r="AK102" s="60">
        <f t="shared" si="116"/>
        <v>178385</v>
      </c>
      <c r="AL102" s="60">
        <f t="shared" si="116"/>
        <v>199732</v>
      </c>
      <c r="AM102" s="237">
        <f t="shared" si="116"/>
        <v>700969</v>
      </c>
      <c r="AN102" s="60">
        <f t="shared" si="116"/>
        <v>213962</v>
      </c>
      <c r="AO102" s="60">
        <f t="shared" si="116"/>
        <v>235612</v>
      </c>
      <c r="AP102" s="60">
        <f t="shared" si="116"/>
        <v>249502</v>
      </c>
      <c r="AQ102" s="60">
        <f t="shared" si="116"/>
        <v>274895</v>
      </c>
      <c r="AR102" s="237">
        <f t="shared" si="116"/>
        <v>973971</v>
      </c>
      <c r="AS102" s="60">
        <f t="shared" si="116"/>
        <v>297017</v>
      </c>
      <c r="AT102" s="60">
        <f t="shared" si="116"/>
        <v>342209</v>
      </c>
      <c r="AU102" s="60">
        <f t="shared" si="116"/>
        <v>382923</v>
      </c>
      <c r="AV102" s="60">
        <f t="shared" si="116"/>
        <v>430898</v>
      </c>
      <c r="AW102" s="237">
        <f t="shared" si="116"/>
        <v>1453047</v>
      </c>
      <c r="AX102" s="60">
        <f t="shared" si="116"/>
        <v>469078</v>
      </c>
      <c r="AY102" s="60">
        <f t="shared" si="116"/>
        <v>511844</v>
      </c>
      <c r="AZ102" s="60">
        <f t="shared" si="116"/>
        <v>545463</v>
      </c>
      <c r="BA102" s="60">
        <f t="shared" si="116"/>
        <v>580828</v>
      </c>
      <c r="BB102" s="237">
        <f t="shared" si="116"/>
        <v>2107213</v>
      </c>
      <c r="BC102" s="60">
        <f t="shared" si="116"/>
        <v>588692</v>
      </c>
      <c r="BD102" s="60">
        <f t="shared" si="116"/>
        <v>622184</v>
      </c>
      <c r="BE102" s="60">
        <f t="shared" si="116"/>
        <v>645463</v>
      </c>
      <c r="BF102" s="60">
        <f t="shared" si="116"/>
        <v>659576</v>
      </c>
      <c r="BG102" s="237">
        <f t="shared" si="116"/>
        <v>2515915</v>
      </c>
      <c r="BH102" s="60">
        <f t="shared" si="116"/>
        <v>661388</v>
      </c>
      <c r="BI102" s="60">
        <f t="shared" si="116"/>
        <v>687687</v>
      </c>
      <c r="BJ102" s="60">
        <f t="shared" si="116"/>
        <v>700421</v>
      </c>
      <c r="BK102" s="60">
        <f t="shared" si="116"/>
        <v>712386</v>
      </c>
      <c r="BL102" s="237">
        <f t="shared" si="116"/>
        <v>2761882</v>
      </c>
      <c r="BM102" s="60">
        <f t="shared" ref="BM102:CA102" si="117">BM13</f>
        <v>709640</v>
      </c>
      <c r="BN102" s="60">
        <f t="shared" si="117"/>
        <v>736027</v>
      </c>
      <c r="BO102" s="60">
        <f t="shared" si="117"/>
        <v>754820</v>
      </c>
      <c r="BP102" s="60">
        <f t="shared" si="117"/>
        <v>776252</v>
      </c>
      <c r="BQ102" s="237">
        <f t="shared" si="117"/>
        <v>2976739</v>
      </c>
      <c r="BR102" s="60">
        <f t="shared" si="117"/>
        <v>763654</v>
      </c>
      <c r="BS102" s="60">
        <f t="shared" si="117"/>
        <v>800636</v>
      </c>
      <c r="BT102" s="60">
        <f t="shared" si="117"/>
        <v>818350</v>
      </c>
      <c r="BU102" s="60">
        <f t="shared" si="117"/>
        <v>827212.51309999998</v>
      </c>
      <c r="BV102" s="237">
        <f t="shared" si="117"/>
        <v>3209852.5131000001</v>
      </c>
      <c r="BW102" s="60">
        <f t="shared" si="117"/>
        <v>806331.88</v>
      </c>
      <c r="BX102" s="60">
        <f t="shared" si="117"/>
        <v>845749.52</v>
      </c>
      <c r="BY102" s="60">
        <f t="shared" si="117"/>
        <v>864320.44000000006</v>
      </c>
      <c r="BZ102" s="60">
        <f t="shared" si="117"/>
        <v>873797.45708600001</v>
      </c>
      <c r="CA102" s="237">
        <f t="shared" si="117"/>
        <v>3390199.2970859995</v>
      </c>
    </row>
    <row r="103" spans="1:79" ht="13.5">
      <c r="A103"/>
      <c r="C103" s="327" t="s">
        <v>60</v>
      </c>
      <c r="D103" s="303"/>
      <c r="E103" s="326"/>
      <c r="F103" s="60"/>
      <c r="G103" s="60"/>
      <c r="H103" s="325"/>
      <c r="I103" s="238"/>
      <c r="J103" s="60"/>
      <c r="K103" s="60"/>
      <c r="L103" s="60"/>
      <c r="M103" s="60"/>
      <c r="N103" s="238"/>
      <c r="O103" s="60"/>
      <c r="P103" s="60"/>
      <c r="Q103" s="60"/>
      <c r="R103" s="60"/>
      <c r="S103" s="238"/>
      <c r="T103" s="60"/>
      <c r="U103" s="60">
        <f>U82-T82</f>
        <v>0</v>
      </c>
      <c r="V103" s="60">
        <f>V82-U82</f>
        <v>0</v>
      </c>
      <c r="W103" s="60">
        <f>W82-V82</f>
        <v>19572</v>
      </c>
      <c r="X103" s="149"/>
      <c r="Y103" s="60">
        <f>BS!Y49-BS!X49</f>
        <v>3724</v>
      </c>
      <c r="Z103" s="60">
        <f>BS!Z49-BS!Y49</f>
        <v>3677</v>
      </c>
      <c r="AA103" s="60">
        <f>BS!AA49-BS!Z49</f>
        <v>2823</v>
      </c>
      <c r="AB103" s="60">
        <f>BS!AB49-BS!AA49</f>
        <v>2916</v>
      </c>
      <c r="AC103" s="149"/>
      <c r="AD103" s="60">
        <f>208882-195501</f>
        <v>13381</v>
      </c>
      <c r="AE103" s="60">
        <f>214405-208882</f>
        <v>5523</v>
      </c>
      <c r="AF103" s="60">
        <f>226836-214405</f>
        <v>12431</v>
      </c>
      <c r="AG103" s="60">
        <f>282943-226836</f>
        <v>56107</v>
      </c>
      <c r="AH103" s="149"/>
      <c r="AI103" s="60">
        <f>293667-282943</f>
        <v>10724</v>
      </c>
      <c r="AJ103" s="60">
        <v>6759</v>
      </c>
      <c r="AK103" s="60">
        <f>330060-300426</f>
        <v>29634</v>
      </c>
      <c r="AL103" s="60">
        <f>390887-330060</f>
        <v>60827</v>
      </c>
      <c r="AM103" s="149"/>
      <c r="AN103" s="60">
        <f>AN82-AM82</f>
        <v>4274</v>
      </c>
      <c r="AO103" s="60">
        <f>AO82-AN82</f>
        <v>17472</v>
      </c>
      <c r="AP103" s="60">
        <f>AP82-AO82</f>
        <v>22563</v>
      </c>
      <c r="AQ103" s="60">
        <f>AQ82-AP82</f>
        <v>85957</v>
      </c>
      <c r="AR103" s="149"/>
      <c r="AS103" s="60">
        <f>AS82-AR82</f>
        <v>44594</v>
      </c>
      <c r="AT103" s="60">
        <f>AT82-AS82</f>
        <v>72236</v>
      </c>
      <c r="AU103" s="60">
        <f>AU82-AT82</f>
        <v>65034</v>
      </c>
      <c r="AV103" s="60">
        <f>AV82-AU82</f>
        <v>95232</v>
      </c>
      <c r="AW103" s="149"/>
      <c r="AX103" s="60">
        <f>857969-800940</f>
        <v>57029</v>
      </c>
      <c r="AY103" s="60">
        <f>939826-857969</f>
        <v>81857</v>
      </c>
      <c r="AZ103" s="60">
        <f>961243-939826</f>
        <v>21417</v>
      </c>
      <c r="BA103" s="60">
        <f>1049106+-961243</f>
        <v>87863</v>
      </c>
      <c r="BB103" s="149"/>
      <c r="BC103" s="60">
        <f>(1074460+-1049106)</f>
        <v>25354</v>
      </c>
      <c r="BD103" s="60">
        <f>1094939-1074460</f>
        <v>20479</v>
      </c>
      <c r="BE103" s="60">
        <f>1113131-1094939</f>
        <v>18192</v>
      </c>
      <c r="BF103" s="60">
        <f>1191269-1113131</f>
        <v>78138</v>
      </c>
      <c r="BG103" s="149"/>
      <c r="BH103" s="60">
        <f>1210965-1191269</f>
        <v>19696</v>
      </c>
      <c r="BI103" s="60">
        <f>1233894-1210965</f>
        <v>22929</v>
      </c>
      <c r="BJ103" s="60">
        <f>1228174-1233894</f>
        <v>-5720</v>
      </c>
      <c r="BK103" s="60">
        <f>1343792-1228174</f>
        <v>115618</v>
      </c>
      <c r="BL103" s="149"/>
      <c r="BM103" s="60">
        <f>1340680-1343792</f>
        <v>-3112</v>
      </c>
      <c r="BN103" s="60">
        <f>1334461-1340680</f>
        <v>-6219</v>
      </c>
      <c r="BO103" s="60">
        <f>1332828-1334461</f>
        <v>-1633</v>
      </c>
      <c r="BP103" s="60">
        <f>1479266-1332828</f>
        <v>146438</v>
      </c>
      <c r="BQ103" s="149"/>
      <c r="BR103" s="60">
        <f>1450718-1479266</f>
        <v>-28548</v>
      </c>
      <c r="BS103" s="60">
        <f>1468618-1450718</f>
        <v>17900</v>
      </c>
      <c r="BT103" s="60">
        <f>1479491-1468618</f>
        <v>10873</v>
      </c>
      <c r="BU103" s="60">
        <f>BS!BU49-BS!BT49</f>
        <v>170218.0510166001</v>
      </c>
      <c r="BV103" s="149"/>
      <c r="BW103" s="60">
        <f>BS!BW49-BS!BU49</f>
        <v>-43081.601096600061</v>
      </c>
      <c r="BX103" s="60">
        <f>BS!BX49-BS!BW49</f>
        <v>19002.131359999999</v>
      </c>
      <c r="BY103" s="60">
        <f>BS!BY49-BS!BX49</f>
        <v>-2485.3584799999371</v>
      </c>
      <c r="BZ103" s="60">
        <f>BS!BZ49-BS!BY49</f>
        <v>161898.60237000999</v>
      </c>
      <c r="CA103" s="149"/>
    </row>
    <row r="104" spans="1:79" ht="13.5">
      <c r="A104"/>
      <c r="C104" s="327" t="s">
        <v>394</v>
      </c>
      <c r="D104" s="303"/>
      <c r="E104" s="326"/>
      <c r="F104" s="60"/>
      <c r="G104" s="60"/>
      <c r="H104" s="325"/>
      <c r="I104" s="238"/>
      <c r="J104" s="60"/>
      <c r="K104" s="60"/>
      <c r="L104" s="60"/>
      <c r="M104" s="60"/>
      <c r="N104" s="238"/>
      <c r="O104" s="60"/>
      <c r="P104" s="60"/>
      <c r="Q104" s="60"/>
      <c r="R104" s="60"/>
      <c r="S104" s="238"/>
      <c r="T104" s="60"/>
      <c r="U104" s="60"/>
      <c r="V104" s="60"/>
      <c r="W104" s="60"/>
      <c r="X104" s="149"/>
      <c r="Y104" s="60"/>
      <c r="Z104" s="60"/>
      <c r="AA104" s="60"/>
      <c r="AB104" s="60"/>
      <c r="AC104" s="149"/>
      <c r="AD104" s="60">
        <v>10095</v>
      </c>
      <c r="AE104" s="60">
        <v>10400</v>
      </c>
      <c r="AF104" s="60">
        <v>11381</v>
      </c>
      <c r="AG104" s="60">
        <v>12678</v>
      </c>
      <c r="AH104" s="149"/>
      <c r="AI104" s="60">
        <v>16899</v>
      </c>
      <c r="AJ104" s="60">
        <v>14555</v>
      </c>
      <c r="AK104" s="60">
        <v>16196</v>
      </c>
      <c r="AL104" s="60">
        <v>15229</v>
      </c>
      <c r="AM104" s="149"/>
      <c r="AN104" s="60">
        <v>13436</v>
      </c>
      <c r="AO104" s="60">
        <v>16810</v>
      </c>
      <c r="AP104" s="60">
        <v>17757</v>
      </c>
      <c r="AQ104" s="60">
        <v>20805</v>
      </c>
      <c r="AR104" s="149"/>
      <c r="AS104" s="60">
        <v>15082</v>
      </c>
      <c r="AT104" s="60">
        <v>16390</v>
      </c>
      <c r="AU104" s="60">
        <v>20395</v>
      </c>
      <c r="AV104" s="60">
        <f>26808-21021</f>
        <v>5787</v>
      </c>
      <c r="AW104" s="149"/>
      <c r="AX104" s="60">
        <v>21021</v>
      </c>
      <c r="AY104" s="60">
        <v>19737</v>
      </c>
      <c r="AZ104" s="60">
        <v>18067</v>
      </c>
      <c r="BA104" s="60">
        <v>19708</v>
      </c>
      <c r="BB104" s="149"/>
      <c r="BC104" s="60">
        <v>18273</v>
      </c>
      <c r="BD104" s="60">
        <v>18756</v>
      </c>
      <c r="BE104" s="60">
        <v>13695</v>
      </c>
      <c r="BF104" s="60">
        <v>17945</v>
      </c>
      <c r="BG104" s="149"/>
      <c r="BH104" s="60">
        <v>16615</v>
      </c>
      <c r="BI104" s="60">
        <v>22936</v>
      </c>
      <c r="BJ104" s="60">
        <v>22358</v>
      </c>
      <c r="BK104" s="60">
        <v>25253</v>
      </c>
      <c r="BL104" s="149"/>
      <c r="BM104" s="60">
        <v>20189</v>
      </c>
      <c r="BN104" s="60">
        <v>17179</v>
      </c>
      <c r="BO104" s="60">
        <f>17461</f>
        <v>17461</v>
      </c>
      <c r="BP104" s="60">
        <v>18341</v>
      </c>
      <c r="BQ104" s="149"/>
      <c r="BR104" s="60">
        <v>17825</v>
      </c>
      <c r="BS104" s="60">
        <v>13319</v>
      </c>
      <c r="BT104" s="60">
        <v>13824</v>
      </c>
      <c r="BU104" s="60"/>
      <c r="BV104" s="149"/>
      <c r="BW104" s="60"/>
      <c r="BX104" s="60"/>
      <c r="BY104" s="60"/>
      <c r="BZ104" s="60"/>
      <c r="CA104" s="149"/>
    </row>
    <row r="105" spans="1:79" ht="13.5">
      <c r="A105"/>
      <c r="C105" s="327" t="s">
        <v>395</v>
      </c>
      <c r="D105" s="303"/>
      <c r="E105" s="326"/>
      <c r="F105" s="60"/>
      <c r="G105" s="60"/>
      <c r="H105" s="325"/>
      <c r="I105" s="238"/>
      <c r="J105" s="60"/>
      <c r="K105" s="60"/>
      <c r="L105" s="60"/>
      <c r="M105" s="60"/>
      <c r="N105" s="238"/>
      <c r="O105" s="60"/>
      <c r="P105" s="60"/>
      <c r="Q105" s="60"/>
      <c r="R105" s="60"/>
      <c r="S105" s="238"/>
      <c r="T105" s="60"/>
      <c r="U105" s="60"/>
      <c r="V105" s="60"/>
      <c r="W105" s="60"/>
      <c r="X105" s="149"/>
      <c r="Y105" s="60"/>
      <c r="Z105" s="60"/>
      <c r="AA105" s="60"/>
      <c r="AB105" s="60"/>
      <c r="AC105" s="149"/>
      <c r="AD105" s="60">
        <v>-10400</v>
      </c>
      <c r="AE105" s="60">
        <v>-11381</v>
      </c>
      <c r="AF105" s="60">
        <v>-12678</v>
      </c>
      <c r="AG105" s="60">
        <v>-16899</v>
      </c>
      <c r="AH105" s="149"/>
      <c r="AI105" s="60">
        <v>-14555</v>
      </c>
      <c r="AJ105" s="60">
        <v>-16196</v>
      </c>
      <c r="AK105" s="60">
        <v>-15229</v>
      </c>
      <c r="AL105" s="60">
        <v>-13436</v>
      </c>
      <c r="AM105" s="149"/>
      <c r="AN105" s="60">
        <v>-16810</v>
      </c>
      <c r="AO105" s="60">
        <v>-17757</v>
      </c>
      <c r="AP105" s="60">
        <v>-20805</v>
      </c>
      <c r="AQ105" s="60">
        <v>-15082</v>
      </c>
      <c r="AR105" s="149"/>
      <c r="AS105" s="60">
        <v>-16390</v>
      </c>
      <c r="AT105" s="60">
        <v>-20395</v>
      </c>
      <c r="AU105" s="60">
        <v>-26808</v>
      </c>
      <c r="AV105" s="60"/>
      <c r="AW105" s="149"/>
      <c r="AX105" s="60">
        <v>-19737</v>
      </c>
      <c r="AY105" s="60">
        <v>-18067</v>
      </c>
      <c r="AZ105" s="60">
        <v>-19708</v>
      </c>
      <c r="BA105" s="60">
        <v>-18273</v>
      </c>
      <c r="BB105" s="149"/>
      <c r="BC105" s="60">
        <v>-18756</v>
      </c>
      <c r="BD105" s="60">
        <v>-13695</v>
      </c>
      <c r="BE105" s="60">
        <v>-17945</v>
      </c>
      <c r="BF105" s="60">
        <v>-16615</v>
      </c>
      <c r="BG105" s="149"/>
      <c r="BH105" s="60">
        <v>-22936</v>
      </c>
      <c r="BI105" s="60">
        <v>-22358</v>
      </c>
      <c r="BJ105" s="60">
        <v>-25253</v>
      </c>
      <c r="BK105" s="60">
        <v>-20189</v>
      </c>
      <c r="BL105" s="149"/>
      <c r="BM105" s="60">
        <v>-17179</v>
      </c>
      <c r="BN105" s="60">
        <v>-17461</v>
      </c>
      <c r="BO105" s="60">
        <v>-18341</v>
      </c>
      <c r="BP105" s="60">
        <v>-17825</v>
      </c>
      <c r="BQ105" s="149"/>
      <c r="BR105" s="60">
        <v>-13319</v>
      </c>
      <c r="BS105" s="60">
        <v>-13824</v>
      </c>
      <c r="BT105" s="60">
        <v>-13588</v>
      </c>
      <c r="BU105" s="60"/>
      <c r="BV105" s="149"/>
      <c r="BW105" s="60"/>
      <c r="BX105" s="60"/>
      <c r="BY105" s="60"/>
      <c r="BZ105" s="60"/>
      <c r="CA105" s="149"/>
    </row>
    <row r="106" spans="1:79" ht="13.5">
      <c r="A106"/>
      <c r="C106" s="327" t="s">
        <v>396</v>
      </c>
      <c r="D106" s="303"/>
      <c r="E106" s="326"/>
      <c r="F106" s="60"/>
      <c r="G106" s="60"/>
      <c r="H106" s="325"/>
      <c r="I106" s="238"/>
      <c r="J106" s="60"/>
      <c r="K106" s="60"/>
      <c r="L106" s="60"/>
      <c r="M106" s="60"/>
      <c r="N106" s="238"/>
      <c r="O106" s="60"/>
      <c r="P106" s="60"/>
      <c r="Q106" s="60"/>
      <c r="R106" s="60"/>
      <c r="S106" s="238"/>
      <c r="T106" s="60"/>
      <c r="U106" s="60"/>
      <c r="V106" s="60"/>
      <c r="W106" s="60"/>
      <c r="X106" s="149"/>
      <c r="Y106" s="60"/>
      <c r="Z106" s="60"/>
      <c r="AA106" s="60"/>
      <c r="AB106" s="60"/>
      <c r="AC106" s="149"/>
      <c r="AD106" s="60"/>
      <c r="AE106" s="60"/>
      <c r="AF106" s="60"/>
      <c r="AG106" s="60"/>
      <c r="AH106" s="149"/>
      <c r="AI106" s="60"/>
      <c r="AJ106" s="60">
        <v>0</v>
      </c>
      <c r="AK106" s="60">
        <v>-11002</v>
      </c>
      <c r="AL106" s="60"/>
      <c r="AM106" s="149"/>
      <c r="AN106" s="60"/>
      <c r="AO106" s="60"/>
      <c r="AP106" s="60"/>
      <c r="AQ106" s="60"/>
      <c r="AR106" s="149"/>
      <c r="AS106" s="60"/>
      <c r="AT106" s="60">
        <v>6589</v>
      </c>
      <c r="AU106" s="60"/>
      <c r="AV106" s="60"/>
      <c r="AW106" s="149"/>
      <c r="AX106" s="60"/>
      <c r="AY106" s="60"/>
      <c r="AZ106" s="60"/>
      <c r="BA106" s="60"/>
      <c r="BB106" s="149"/>
      <c r="BC106" s="60"/>
      <c r="BD106" s="60"/>
      <c r="BE106" s="60"/>
      <c r="BF106" s="60"/>
      <c r="BG106" s="1185"/>
      <c r="BH106" s="60"/>
      <c r="BI106" s="60"/>
      <c r="BJ106" s="60"/>
      <c r="BK106" s="60"/>
      <c r="BL106" s="149"/>
      <c r="BM106" s="60"/>
      <c r="BN106" s="60">
        <v>53</v>
      </c>
      <c r="BO106" s="60"/>
      <c r="BP106" s="60"/>
      <c r="BQ106" s="149"/>
      <c r="BR106" s="60"/>
      <c r="BS106" s="60"/>
      <c r="BT106" s="60"/>
      <c r="BU106" s="60"/>
      <c r="BV106" s="149"/>
      <c r="BW106" s="60"/>
      <c r="BX106" s="60"/>
      <c r="BY106" s="60"/>
      <c r="BZ106" s="60"/>
      <c r="CA106" s="149"/>
    </row>
    <row r="107" spans="1:79" ht="13.9" thickBot="1">
      <c r="A107"/>
      <c r="C107" s="327" t="s">
        <v>397</v>
      </c>
      <c r="D107" s="303"/>
      <c r="E107" s="326"/>
      <c r="F107" s="60"/>
      <c r="G107" s="60"/>
      <c r="H107" s="325"/>
      <c r="I107" s="238"/>
      <c r="J107" s="60"/>
      <c r="K107" s="60"/>
      <c r="L107" s="60"/>
      <c r="M107" s="60"/>
      <c r="N107" s="238"/>
      <c r="O107" s="60"/>
      <c r="P107" s="60"/>
      <c r="Q107" s="60"/>
      <c r="R107" s="60"/>
      <c r="S107" s="238"/>
      <c r="T107" s="60"/>
      <c r="U107" s="60"/>
      <c r="V107" s="60"/>
      <c r="W107" s="60"/>
      <c r="X107" s="149"/>
      <c r="Y107" s="60"/>
      <c r="Z107" s="60"/>
      <c r="AA107" s="60"/>
      <c r="AB107" s="60"/>
      <c r="AC107" s="149"/>
      <c r="AD107" s="60"/>
      <c r="AE107" s="60"/>
      <c r="AF107" s="60"/>
      <c r="AG107" s="60"/>
      <c r="AH107" s="149"/>
      <c r="AI107" s="60"/>
      <c r="AJ107" s="60"/>
      <c r="AK107" s="60"/>
      <c r="AL107" s="60"/>
      <c r="AM107" s="149"/>
      <c r="AN107" s="60"/>
      <c r="AO107" s="60"/>
      <c r="AP107" s="60"/>
      <c r="AQ107" s="60"/>
      <c r="AR107" s="149"/>
      <c r="AS107" s="60"/>
      <c r="AT107" s="60">
        <v>-9344</v>
      </c>
      <c r="AU107" s="60"/>
      <c r="AV107" s="60"/>
      <c r="AW107" s="149"/>
      <c r="AX107" s="60"/>
      <c r="AY107" s="60"/>
      <c r="AZ107" s="60"/>
      <c r="BA107" s="60"/>
      <c r="BB107" s="149"/>
      <c r="BC107" s="60"/>
      <c r="BD107" s="60"/>
      <c r="BE107" s="60"/>
      <c r="BF107" s="60"/>
      <c r="BG107" s="149"/>
      <c r="BH107" s="60"/>
      <c r="BI107" s="60"/>
      <c r="BJ107" s="60"/>
      <c r="BK107" s="60"/>
      <c r="BL107" s="149"/>
      <c r="BM107" s="60"/>
      <c r="BN107" s="60">
        <v>-5071</v>
      </c>
      <c r="BO107" s="60"/>
      <c r="BP107" s="60"/>
      <c r="BQ107" s="149"/>
      <c r="BR107" s="60"/>
      <c r="BS107" s="60"/>
      <c r="BT107" s="60"/>
      <c r="BU107" s="60"/>
      <c r="BV107" s="149"/>
      <c r="BW107" s="60"/>
      <c r="BX107" s="60"/>
      <c r="BY107" s="60"/>
      <c r="BZ107" s="60"/>
      <c r="CA107" s="149"/>
    </row>
    <row r="108" spans="1:79" s="96" customFormat="1" ht="13.9" thickBot="1">
      <c r="A108" s="389"/>
      <c r="C108" s="324" t="s">
        <v>59</v>
      </c>
      <c r="D108" s="315"/>
      <c r="E108" s="390"/>
      <c r="F108" s="391"/>
      <c r="G108" s="391"/>
      <c r="H108" s="392"/>
      <c r="I108" s="393"/>
      <c r="J108" s="391"/>
      <c r="K108" s="391"/>
      <c r="L108" s="391"/>
      <c r="M108" s="391"/>
      <c r="N108" s="393"/>
      <c r="O108" s="391"/>
      <c r="P108" s="391"/>
      <c r="Q108" s="391"/>
      <c r="R108" s="391"/>
      <c r="S108" s="393">
        <f>SUM(O108:R108)</f>
        <v>0</v>
      </c>
      <c r="T108" s="394"/>
      <c r="U108" s="394"/>
      <c r="V108" s="394">
        <v>28400</v>
      </c>
      <c r="W108" s="394">
        <f>W103+W102</f>
        <v>19572</v>
      </c>
      <c r="X108" s="395">
        <f>SUM(T108:W108)</f>
        <v>47972</v>
      </c>
      <c r="Y108" s="394">
        <f>Y102+Y103+Y104+Y105+Y106+Y107</f>
        <v>3724</v>
      </c>
      <c r="Z108" s="394">
        <f>Z102+Z103+Z104+Z105+Z106+Z107</f>
        <v>3677</v>
      </c>
      <c r="AA108" s="394">
        <f>AA102+AA103+AA104+AA105+AA106+AA107</f>
        <v>2823</v>
      </c>
      <c r="AB108" s="394">
        <f>AB102+AB103+AB104+AB105+AB106+AB107</f>
        <v>2916</v>
      </c>
      <c r="AC108" s="395">
        <f>SUM(Y108:AB108)</f>
        <v>13140</v>
      </c>
      <c r="AD108" s="394">
        <f>AD102+AD103+AD104+AD105+AD106+AD107</f>
        <v>126574</v>
      </c>
      <c r="AE108" s="394">
        <f>AE102+AE103+AE104+AE105+AE106+AE107</f>
        <v>130085</v>
      </c>
      <c r="AF108" s="394">
        <f>AF102+AF103+AF104+AF105+AF106+AF107</f>
        <v>141723</v>
      </c>
      <c r="AG108" s="394">
        <f>AG102+AG103+AG104+AG105+AG106+AG107</f>
        <v>200760</v>
      </c>
      <c r="AH108" s="395">
        <f>SUM(AD108:AG108)</f>
        <v>599142</v>
      </c>
      <c r="AI108" s="394">
        <f>AI102+AI103+AI104+AI105+AI106+AI107</f>
        <v>168876</v>
      </c>
      <c r="AJ108" s="394">
        <f>AJ102+AJ103+AJ104+AJ105+AJ106+AJ107</f>
        <v>172162</v>
      </c>
      <c r="AK108" s="394">
        <f>AK102+AK103+AK104+AK105+AK106+AK107</f>
        <v>197984</v>
      </c>
      <c r="AL108" s="394">
        <f>AL102+AL103+AL104+AL105+AL106+AL107</f>
        <v>262352</v>
      </c>
      <c r="AM108" s="395">
        <f>SUM(AI108:AL108)</f>
        <v>801374</v>
      </c>
      <c r="AN108" s="394">
        <f>AN102+AN103+AN104+AN105+AN106+AN107</f>
        <v>214862</v>
      </c>
      <c r="AO108" s="394">
        <f>AO102+AO103+AO104+AO105+AO106+AO107</f>
        <v>252137</v>
      </c>
      <c r="AP108" s="394">
        <f>AP102+AP103+AP104+AP105+AP106+AP107</f>
        <v>269017</v>
      </c>
      <c r="AQ108" s="394">
        <f>AQ102+AQ103+AQ104+AQ105+AQ106+AQ107</f>
        <v>366575</v>
      </c>
      <c r="AR108" s="395">
        <f>SUM(AN108:AQ108)</f>
        <v>1102591</v>
      </c>
      <c r="AS108" s="394">
        <f>AS102+AS103+AS104+AS105+AS106+AS107</f>
        <v>340303</v>
      </c>
      <c r="AT108" s="394">
        <f>AT102+AT103+AT104+AT105+AT106+AT107</f>
        <v>407685</v>
      </c>
      <c r="AU108" s="394">
        <f>AU102+AU103+AU104+AU105+AU106+AU107</f>
        <v>441544</v>
      </c>
      <c r="AV108" s="394">
        <f>AV102+AV103+AV104+AV105+AV106+AV107</f>
        <v>531917</v>
      </c>
      <c r="AW108" s="395">
        <f>SUM(AS108:AV108)</f>
        <v>1721449</v>
      </c>
      <c r="AX108" s="394">
        <f>AX102+AX103+AX104+AX105+AX106+AX107</f>
        <v>527391</v>
      </c>
      <c r="AY108" s="394">
        <f>AY102+AY103+AY104+AY105+AY106+AY107</f>
        <v>595371</v>
      </c>
      <c r="AZ108" s="394">
        <f>AZ102+AZ103+AZ104+AZ105+AZ106+AZ107</f>
        <v>565239</v>
      </c>
      <c r="BA108" s="394">
        <f>BA102+BA103+BA104+BA105+BA106+BA107</f>
        <v>670126</v>
      </c>
      <c r="BB108" s="395">
        <f>SUM(AX108:BA108)</f>
        <v>2358127</v>
      </c>
      <c r="BC108" s="394">
        <f>BC102+BC103+BC104+BC105+BC106+BC107</f>
        <v>613563</v>
      </c>
      <c r="BD108" s="394">
        <f>BD102+BD103+BD104+BD105+BD106+BD107</f>
        <v>647724</v>
      </c>
      <c r="BE108" s="394">
        <f>BE102+BE103+BE104+BE105+BE106+BE107</f>
        <v>659405</v>
      </c>
      <c r="BF108" s="394">
        <f>BF102+BF103+BF104+BF105+BF106+BF107</f>
        <v>739044</v>
      </c>
      <c r="BG108" s="395">
        <f>SUM(BC108:BF108)</f>
        <v>2659736</v>
      </c>
      <c r="BH108" s="394">
        <f>BH102+BH103+BH104+BH105+BH106+BH107</f>
        <v>674763</v>
      </c>
      <c r="BI108" s="394">
        <f>BI102+BI103+BI104+BI105+BI106+BI107</f>
        <v>711194</v>
      </c>
      <c r="BJ108" s="394">
        <f>BJ102+BJ103+BJ104+BJ105+BJ106+BJ107</f>
        <v>691806</v>
      </c>
      <c r="BK108" s="394">
        <f>BK102+BK103+BK104+BK105+BK106+BK107</f>
        <v>833068</v>
      </c>
      <c r="BL108" s="395">
        <f>SUM(BH108:BK108)</f>
        <v>2910831</v>
      </c>
      <c r="BM108" s="394">
        <f>BM102+BM103+BM104+BM105+BM106+BM107</f>
        <v>709538</v>
      </c>
      <c r="BN108" s="394">
        <f>BN102+BN103+BN104+BN105+BN106+BN107</f>
        <v>724508</v>
      </c>
      <c r="BO108" s="394">
        <f>BO102+BO103+BO104+BO105+BO106+BO107</f>
        <v>752307</v>
      </c>
      <c r="BP108" s="394">
        <f>BP102+BP103+BP104+BP105+BP106+BP107</f>
        <v>923206</v>
      </c>
      <c r="BQ108" s="395">
        <f>SUM(BM108:BP108)</f>
        <v>3109559</v>
      </c>
      <c r="BR108" s="394">
        <f>BR102+BR103+BR104+BR105+BR106+BR107</f>
        <v>739612</v>
      </c>
      <c r="BS108" s="394">
        <f>BS102+BS103+BS104+BS105+BS106+BS107</f>
        <v>818031</v>
      </c>
      <c r="BT108" s="394">
        <f>BT102+BT103+BT104+BT105+BT106+BT107</f>
        <v>829459</v>
      </c>
      <c r="BU108" s="394">
        <f>BU102+BU103+BU104+BU105+BU106+BU107</f>
        <v>997430.56411660009</v>
      </c>
      <c r="BV108" s="395">
        <f>SUM(BR108:BU108)</f>
        <v>3384532.5641166</v>
      </c>
      <c r="BW108" s="394">
        <f>BW102+BW103+BW104+BW105+BW106+BW107</f>
        <v>763250.27890339994</v>
      </c>
      <c r="BX108" s="394">
        <f>BX102+BX103+BX104+BX105+BX106+BX107</f>
        <v>864751.65136000002</v>
      </c>
      <c r="BY108" s="394">
        <f>BY102+BY103+BY104+BY105+BY106+BY107</f>
        <v>861835.08152000012</v>
      </c>
      <c r="BZ108" s="394">
        <f>BZ102+BZ103+BZ104+BZ105+BZ106+BZ107</f>
        <v>1035696.05945601</v>
      </c>
      <c r="CA108" s="395">
        <f>SUM(BW108:BZ108)</f>
        <v>3525533.07123941</v>
      </c>
    </row>
    <row r="109" spans="1:79" s="808" customFormat="1" ht="11.65">
      <c r="C109" s="323" t="s">
        <v>58</v>
      </c>
      <c r="D109" s="168"/>
      <c r="E109" s="322"/>
      <c r="F109" s="59"/>
      <c r="G109" s="59"/>
      <c r="H109" s="321"/>
      <c r="I109" s="240"/>
      <c r="J109" s="59"/>
      <c r="K109" s="59"/>
      <c r="L109" s="59"/>
      <c r="M109" s="321"/>
      <c r="N109" s="321"/>
      <c r="O109" s="322"/>
      <c r="P109" s="59"/>
      <c r="Q109" s="59"/>
      <c r="R109" s="59"/>
      <c r="S109" s="240"/>
      <c r="T109" s="809"/>
      <c r="U109" s="809"/>
      <c r="V109" s="809"/>
      <c r="W109" s="809" t="e">
        <f t="shared" ref="W109:AB109" si="118">W108/R108-1</f>
        <v>#DIV/0!</v>
      </c>
      <c r="X109" s="810"/>
      <c r="Y109" s="811"/>
      <c r="Z109" s="811"/>
      <c r="AA109" s="811">
        <f t="shared" si="118"/>
        <v>-0.90059859154929578</v>
      </c>
      <c r="AB109" s="811">
        <f t="shared" si="118"/>
        <v>-0.85101164929491113</v>
      </c>
      <c r="AC109" s="810">
        <f t="shared" ref="AC109:AH109" si="119">AC108/X108-1</f>
        <v>-0.7260902192945885</v>
      </c>
      <c r="AD109" s="811">
        <f>AD108/Y108-1</f>
        <v>32.988721804511279</v>
      </c>
      <c r="AE109" s="811">
        <f t="shared" si="119"/>
        <v>34.37802556431874</v>
      </c>
      <c r="AF109" s="811">
        <f t="shared" si="119"/>
        <v>49.202975557917107</v>
      </c>
      <c r="AG109" s="811">
        <f t="shared" si="119"/>
        <v>67.847736625514401</v>
      </c>
      <c r="AH109" s="810">
        <f t="shared" si="119"/>
        <v>44.596803652968035</v>
      </c>
      <c r="AI109" s="811">
        <f t="shared" ref="AI109:AR109" si="120">AI108/AD108-1</f>
        <v>0.33420765718077972</v>
      </c>
      <c r="AJ109" s="811">
        <f t="shared" si="120"/>
        <v>0.32345773917054244</v>
      </c>
      <c r="AK109" s="811">
        <f t="shared" si="120"/>
        <v>0.39697861321027639</v>
      </c>
      <c r="AL109" s="811">
        <f t="shared" si="120"/>
        <v>0.30679418210798959</v>
      </c>
      <c r="AM109" s="810">
        <f t="shared" si="120"/>
        <v>0.33753600982738652</v>
      </c>
      <c r="AN109" s="811">
        <f t="shared" si="120"/>
        <v>0.27230630758663166</v>
      </c>
      <c r="AO109" s="811">
        <f t="shared" si="120"/>
        <v>0.46453340458405457</v>
      </c>
      <c r="AP109" s="811">
        <f t="shared" si="120"/>
        <v>0.35878151769839994</v>
      </c>
      <c r="AQ109" s="811">
        <f t="shared" si="120"/>
        <v>0.39726398121607609</v>
      </c>
      <c r="AR109" s="810">
        <f t="shared" si="120"/>
        <v>0.37587568351356548</v>
      </c>
      <c r="AS109" s="811">
        <f t="shared" ref="AS109:BB109" si="121">AS108/AN108-1</f>
        <v>0.58382124340274233</v>
      </c>
      <c r="AT109" s="811">
        <f t="shared" si="121"/>
        <v>0.61691857997834521</v>
      </c>
      <c r="AU109" s="811">
        <f t="shared" si="121"/>
        <v>0.64132378251188582</v>
      </c>
      <c r="AV109" s="811">
        <f t="shared" si="121"/>
        <v>0.45104548864488847</v>
      </c>
      <c r="AW109" s="810">
        <f t="shared" si="121"/>
        <v>0.56127612142671213</v>
      </c>
      <c r="AX109" s="811">
        <f t="shared" si="121"/>
        <v>0.5497688824371223</v>
      </c>
      <c r="AY109" s="811">
        <f t="shared" si="121"/>
        <v>0.46037013871003341</v>
      </c>
      <c r="AZ109" s="811">
        <f t="shared" si="121"/>
        <v>0.28014195640751538</v>
      </c>
      <c r="BA109" s="811">
        <f t="shared" si="121"/>
        <v>0.25983189106571136</v>
      </c>
      <c r="BB109" s="810">
        <f t="shared" si="121"/>
        <v>0.3698500507421365</v>
      </c>
      <c r="BC109" s="811">
        <f t="shared" ref="BC109:CA109" si="122">BC108/AX108-1</f>
        <v>0.16339300443124749</v>
      </c>
      <c r="BD109" s="811">
        <f t="shared" si="122"/>
        <v>8.7933406229057098E-2</v>
      </c>
      <c r="BE109" s="811">
        <f t="shared" si="122"/>
        <v>0.16659501555978973</v>
      </c>
      <c r="BF109" s="811">
        <f t="shared" si="122"/>
        <v>0.10284334587823785</v>
      </c>
      <c r="BG109" s="810">
        <f t="shared" si="122"/>
        <v>0.12790193233867386</v>
      </c>
      <c r="BH109" s="811">
        <f t="shared" si="122"/>
        <v>9.9745258433119321E-2</v>
      </c>
      <c r="BI109" s="811">
        <f t="shared" si="122"/>
        <v>9.7989267033489647E-2</v>
      </c>
      <c r="BJ109" s="811">
        <f t="shared" si="122"/>
        <v>4.9136721741570133E-2</v>
      </c>
      <c r="BK109" s="811">
        <f t="shared" si="122"/>
        <v>0.12722381887952539</v>
      </c>
      <c r="BL109" s="810">
        <f t="shared" si="122"/>
        <v>9.4405986158024646E-2</v>
      </c>
      <c r="BM109" s="811">
        <f t="shared" si="122"/>
        <v>5.1536613596181224E-2</v>
      </c>
      <c r="BN109" s="811">
        <f t="shared" si="122"/>
        <v>1.8720630376521719E-2</v>
      </c>
      <c r="BO109" s="811">
        <f t="shared" si="122"/>
        <v>8.7453708120484697E-2</v>
      </c>
      <c r="BP109" s="811">
        <f t="shared" si="122"/>
        <v>0.10820005089620532</v>
      </c>
      <c r="BQ109" s="810">
        <f t="shared" si="122"/>
        <v>6.8271912728701922E-2</v>
      </c>
      <c r="BR109" s="811">
        <f t="shared" si="122"/>
        <v>4.2385326790108424E-2</v>
      </c>
      <c r="BS109" s="811">
        <f t="shared" si="122"/>
        <v>0.12908484102314954</v>
      </c>
      <c r="BT109" s="811">
        <f t="shared" si="122"/>
        <v>0.10255387760581791</v>
      </c>
      <c r="BU109" s="811">
        <f t="shared" si="122"/>
        <v>8.0398702041148074E-2</v>
      </c>
      <c r="BV109" s="810">
        <f t="shared" si="122"/>
        <v>8.8428476229780451E-2</v>
      </c>
      <c r="BW109" s="811">
        <f t="shared" si="122"/>
        <v>3.1960377743194934E-2</v>
      </c>
      <c r="BX109" s="811">
        <f t="shared" si="122"/>
        <v>5.7113546259249359E-2</v>
      </c>
      <c r="BY109" s="811">
        <f t="shared" si="122"/>
        <v>3.9032768973511711E-2</v>
      </c>
      <c r="BZ109" s="811">
        <f t="shared" si="122"/>
        <v>3.836406935584602E-2</v>
      </c>
      <c r="CA109" s="810">
        <f t="shared" si="122"/>
        <v>4.1660260154599227E-2</v>
      </c>
    </row>
    <row r="110" spans="1:79" s="808" customFormat="1" ht="12" thickBot="1">
      <c r="C110" s="320" t="s">
        <v>57</v>
      </c>
      <c r="D110" s="168"/>
      <c r="E110" s="319"/>
      <c r="F110" s="236"/>
      <c r="G110" s="236"/>
      <c r="H110" s="318"/>
      <c r="I110" s="239"/>
      <c r="J110" s="56"/>
      <c r="K110" s="56"/>
      <c r="L110" s="56"/>
      <c r="M110" s="318"/>
      <c r="N110" s="55"/>
      <c r="O110" s="319"/>
      <c r="P110" s="56"/>
      <c r="Q110" s="56"/>
      <c r="R110" s="236"/>
      <c r="S110" s="238"/>
      <c r="T110" s="812"/>
      <c r="U110" s="812"/>
      <c r="V110" s="812"/>
      <c r="W110" s="812">
        <f>W108/V108-1</f>
        <v>-0.31084507042253517</v>
      </c>
      <c r="X110" s="54"/>
      <c r="Y110" s="813"/>
      <c r="Z110" s="814"/>
      <c r="AA110" s="814"/>
      <c r="AB110" s="814">
        <f>AB108/AA108-1</f>
        <v>3.2943676939426236E-2</v>
      </c>
      <c r="AC110" s="54"/>
      <c r="AD110" s="813">
        <f>AD108/AB108-1</f>
        <v>42.406721536351164</v>
      </c>
      <c r="AE110" s="814">
        <f>AE108/AD108-1</f>
        <v>2.7738714111902985E-2</v>
      </c>
      <c r="AF110" s="814">
        <f>AF108/AE108-1</f>
        <v>8.9464580850981967E-2</v>
      </c>
      <c r="AG110" s="814">
        <f>AG108/AF108-1</f>
        <v>0.41656611841408941</v>
      </c>
      <c r="AH110" s="54"/>
      <c r="AI110" s="813">
        <f>AI108/AG108-1</f>
        <v>-0.15881649731022118</v>
      </c>
      <c r="AJ110" s="814">
        <f>AJ108/AI108-1</f>
        <v>1.9458063904876921E-2</v>
      </c>
      <c r="AK110" s="814">
        <f>AK108/AJ108-1</f>
        <v>0.14998664048977117</v>
      </c>
      <c r="AL110" s="814">
        <f>AL108/AK108-1</f>
        <v>0.32511718118635846</v>
      </c>
      <c r="AM110" s="54"/>
      <c r="AN110" s="813">
        <f>AN108/AL108-1</f>
        <v>-0.18101634445325365</v>
      </c>
      <c r="AO110" s="814">
        <f>AO108/AN108-1</f>
        <v>0.17348344518807424</v>
      </c>
      <c r="AP110" s="814">
        <f>AP108/AO108-1</f>
        <v>6.6947730797145999E-2</v>
      </c>
      <c r="AQ110" s="814">
        <f>AQ108/AP108-1</f>
        <v>0.36264622681837944</v>
      </c>
      <c r="AR110" s="54"/>
      <c r="AS110" s="813">
        <f>AS108/AQ108-1</f>
        <v>-7.1668826297483501E-2</v>
      </c>
      <c r="AT110" s="814">
        <f>AT108/AS108-1</f>
        <v>0.19800589474674046</v>
      </c>
      <c r="AU110" s="814">
        <f>AU108/AT108-1</f>
        <v>8.3051866024013599E-2</v>
      </c>
      <c r="AV110" s="814">
        <f>AV108/AU108-1</f>
        <v>0.20467495878100483</v>
      </c>
      <c r="AW110" s="54"/>
      <c r="AX110" s="813">
        <f>AX108/AV108-1</f>
        <v>-8.5088463049686203E-3</v>
      </c>
      <c r="AY110" s="814">
        <f>AY108/AX108-1</f>
        <v>0.12889867290113033</v>
      </c>
      <c r="AZ110" s="814">
        <f>AZ108/AY108-1</f>
        <v>-5.0610459696558974E-2</v>
      </c>
      <c r="BA110" s="814">
        <f>BA108/AZ108-1</f>
        <v>0.18556221350614521</v>
      </c>
      <c r="BB110" s="54"/>
      <c r="BC110" s="813">
        <f>BC108/BA108-1</f>
        <v>-8.4406514595762538E-2</v>
      </c>
      <c r="BD110" s="814">
        <f>BD108/BC108-1</f>
        <v>5.5676434204800396E-2</v>
      </c>
      <c r="BE110" s="814">
        <f>BE108/BD108-1</f>
        <v>1.8033915680135459E-2</v>
      </c>
      <c r="BF110" s="814">
        <f>BF108/BE108-1</f>
        <v>0.12077403113412855</v>
      </c>
      <c r="BG110" s="54"/>
      <c r="BH110" s="813">
        <f>BH108/BF108-1</f>
        <v>-8.6978583142546362E-2</v>
      </c>
      <c r="BI110" s="814">
        <f>BI108/BH108-1</f>
        <v>5.3990808624657882E-2</v>
      </c>
      <c r="BJ110" s="814">
        <f>BJ108/BI108-1</f>
        <v>-2.7261197366681977E-2</v>
      </c>
      <c r="BK110" s="814">
        <f>BK108/BJ108-1</f>
        <v>0.20419308303194827</v>
      </c>
      <c r="BL110" s="54"/>
      <c r="BM110" s="813">
        <f>BM108/BK108-1</f>
        <v>-0.14828321337513861</v>
      </c>
      <c r="BN110" s="814">
        <f>BN108/BM108-1</f>
        <v>2.1098235753405747E-2</v>
      </c>
      <c r="BO110" s="814">
        <f>BO108/BN108-1</f>
        <v>3.8369486603322622E-2</v>
      </c>
      <c r="BP110" s="814">
        <f>BP108/BO108-1</f>
        <v>0.22716656896719023</v>
      </c>
      <c r="BQ110" s="54"/>
      <c r="BR110" s="813">
        <f>BR108/BP108-1</f>
        <v>-0.19886569194740933</v>
      </c>
      <c r="BS110" s="814">
        <f>BS108/BR108-1</f>
        <v>0.10602721426910322</v>
      </c>
      <c r="BT110" s="814">
        <f>BT108/BS108-1</f>
        <v>1.3970130716317586E-2</v>
      </c>
      <c r="BU110" s="814">
        <f>BU108/BT108-1</f>
        <v>0.20250737422416298</v>
      </c>
      <c r="BV110" s="54"/>
      <c r="BW110" s="813">
        <f>BW108/BU108-1</f>
        <v>-0.23478354648236377</v>
      </c>
      <c r="BX110" s="814">
        <f>BX108/BW108-1</f>
        <v>0.13298569979225183</v>
      </c>
      <c r="BY110" s="814">
        <f>BY108/BX108-1</f>
        <v>-3.3727253777579014E-3</v>
      </c>
      <c r="BZ110" s="814">
        <f>BZ108/BY108-1</f>
        <v>0.20173346579182527</v>
      </c>
      <c r="CA110" s="54"/>
    </row>
    <row r="111" spans="1:79" s="396" customFormat="1" ht="12" thickBot="1">
      <c r="C111" s="383" t="s">
        <v>203</v>
      </c>
      <c r="S111" s="390"/>
      <c r="T111" s="390"/>
      <c r="U111" s="391"/>
      <c r="V111" s="391"/>
      <c r="W111" s="392"/>
      <c r="X111" s="391"/>
      <c r="Y111" s="390"/>
      <c r="Z111" s="391"/>
      <c r="AA111" s="391">
        <v>142800</v>
      </c>
      <c r="AB111" s="392">
        <f>AB108+AA108+Z108+Y108</f>
        <v>13140</v>
      </c>
      <c r="AC111" s="391"/>
      <c r="AD111" s="390">
        <f>AD108+AB108+AA108+Z108</f>
        <v>135990</v>
      </c>
      <c r="AE111" s="391">
        <f>AE108+AD108+AB108+AA108</f>
        <v>262398</v>
      </c>
      <c r="AF111" s="391">
        <f>AF108+AE108+AD108+AB108</f>
        <v>401298</v>
      </c>
      <c r="AG111" s="392">
        <f>AG108+AF108+AE108+AD108-3500</f>
        <v>595642</v>
      </c>
      <c r="AH111" s="391"/>
      <c r="AI111" s="390">
        <f>AI108+AG108+AF108+AE108</f>
        <v>641444</v>
      </c>
      <c r="AJ111" s="391">
        <f>AJ108+AI108+AG108+AF108</f>
        <v>683521</v>
      </c>
      <c r="AK111" s="391">
        <f>AK108+AJ108+AI108+AG108</f>
        <v>739782</v>
      </c>
      <c r="AL111" s="392">
        <f>AL108+AK108+AJ108+AI108</f>
        <v>801374</v>
      </c>
      <c r="AM111" s="391"/>
      <c r="AN111" s="390">
        <f>AN108+AL108+AK108+AJ108</f>
        <v>847360</v>
      </c>
      <c r="AO111" s="391">
        <f>AO108+AN108+AL108+AK108</f>
        <v>927335</v>
      </c>
      <c r="AP111" s="391">
        <f>AP108+AO108+AN108+AL108</f>
        <v>998368</v>
      </c>
      <c r="AQ111" s="392">
        <f>AQ108+AP108+AO108+AN108</f>
        <v>1102591</v>
      </c>
      <c r="AR111" s="392"/>
      <c r="AS111" s="390">
        <f>AS108+AQ108+AP108+AO108</f>
        <v>1228032</v>
      </c>
      <c r="AT111" s="391">
        <f>AT108+AS108+AQ108+AP108</f>
        <v>1383580</v>
      </c>
      <c r="AU111" s="391">
        <f>AU108+AT108+AS108+AQ108</f>
        <v>1556107</v>
      </c>
      <c r="AV111" s="392">
        <f>AV108+AU108+AT108+AS108</f>
        <v>1721449</v>
      </c>
      <c r="AW111" s="392"/>
      <c r="AX111" s="390">
        <f>AX108+AV108+AU108+AT108</f>
        <v>1908537</v>
      </c>
      <c r="AY111" s="391">
        <f>AY108+AX108+AV108+AU108</f>
        <v>2096223</v>
      </c>
      <c r="AZ111" s="391">
        <f>AZ108+AY108+AX108+AV108</f>
        <v>2219918</v>
      </c>
      <c r="BA111" s="392">
        <f>BA108+AZ108+AY108+AX108</f>
        <v>2358127</v>
      </c>
      <c r="BB111" s="392"/>
      <c r="BC111" s="390">
        <f>BC108+BA108+AZ108+AY108</f>
        <v>2444299</v>
      </c>
      <c r="BD111" s="391">
        <f>BD108+BC108+BA108+AZ108</f>
        <v>2496652</v>
      </c>
      <c r="BE111" s="391">
        <f>BE108+BD108+BC108+BA108</f>
        <v>2590818</v>
      </c>
      <c r="BF111" s="392">
        <f>BF108+BE108+BD108+BC108</f>
        <v>2659736</v>
      </c>
      <c r="BG111" s="392"/>
      <c r="BH111" s="390">
        <f>BH108+BF108+BE108+BD108</f>
        <v>2720936</v>
      </c>
      <c r="BI111" s="391">
        <f>BI108+BH108+BF108+BE108</f>
        <v>2784406</v>
      </c>
      <c r="BJ111" s="391">
        <f>BJ108+BI108+BH108+BF108</f>
        <v>2816807</v>
      </c>
      <c r="BK111" s="392">
        <f>BK108+BJ108+BI108+BH108</f>
        <v>2910831</v>
      </c>
      <c r="BL111" s="392"/>
      <c r="BM111" s="390">
        <f>BM108+BK108+BJ108+BI108</f>
        <v>2945606</v>
      </c>
      <c r="BN111" s="391">
        <f>BN108+BM108+BK108+BJ108</f>
        <v>2958920</v>
      </c>
      <c r="BO111" s="391">
        <f>BO108+BN108+BM108+BK108</f>
        <v>3019421</v>
      </c>
      <c r="BP111" s="392">
        <f>BP108+BO108+BN108+BM108</f>
        <v>3109559</v>
      </c>
      <c r="BQ111" s="392"/>
      <c r="BR111" s="390">
        <f>BR108+BP108+BO108+BN108</f>
        <v>3139633</v>
      </c>
      <c r="BS111" s="391">
        <f>BS108+BR108+BP108+BO108</f>
        <v>3233156</v>
      </c>
      <c r="BT111" s="391">
        <f>BT108+BS108+BR108+BP108</f>
        <v>3310308</v>
      </c>
      <c r="BU111" s="392">
        <f>BU108+BT108+BS108+BR108</f>
        <v>3384532.5641166</v>
      </c>
      <c r="BV111" s="392"/>
      <c r="BW111" s="390">
        <f>BW108+BU108+BT108+BS108</f>
        <v>3408170.84302</v>
      </c>
      <c r="BX111" s="391">
        <f>BX108+BW108+BU108+BT108</f>
        <v>3454891.49438</v>
      </c>
      <c r="BY111" s="391">
        <f>BY108+BX108+BW108+BU108</f>
        <v>3487267.5759000001</v>
      </c>
      <c r="BZ111" s="392">
        <f>BZ108+BY108+BX108+BW108</f>
        <v>3525533.0712394104</v>
      </c>
      <c r="CA111" s="392"/>
    </row>
    <row r="112" spans="1:79" s="808" customFormat="1" ht="11.65">
      <c r="C112" s="323" t="s">
        <v>58</v>
      </c>
      <c r="D112" s="168"/>
      <c r="E112" s="59"/>
      <c r="F112" s="59"/>
      <c r="G112" s="59"/>
      <c r="H112" s="59"/>
      <c r="I112" s="57"/>
      <c r="J112" s="59"/>
      <c r="K112" s="59"/>
      <c r="L112" s="59"/>
      <c r="M112" s="59"/>
      <c r="N112" s="57"/>
      <c r="O112" s="59"/>
      <c r="P112" s="59"/>
      <c r="Q112" s="59"/>
      <c r="R112" s="59"/>
      <c r="S112" s="387"/>
      <c r="T112" s="815"/>
      <c r="U112" s="812"/>
      <c r="V112" s="812"/>
      <c r="W112" s="816"/>
      <c r="X112" s="165"/>
      <c r="Y112" s="815"/>
      <c r="Z112" s="811"/>
      <c r="AA112" s="811"/>
      <c r="AB112" s="817"/>
      <c r="AC112" s="165"/>
      <c r="AD112" s="818"/>
      <c r="AE112" s="811"/>
      <c r="AF112" s="811">
        <f>AF111/AA111-1</f>
        <v>1.8102100840336135</v>
      </c>
      <c r="AG112" s="817">
        <f>AG111/AB111-1</f>
        <v>44.330441400304416</v>
      </c>
      <c r="AH112" s="165"/>
      <c r="AI112" s="819">
        <f>AI111/AD111-1</f>
        <v>3.7168468269725716</v>
      </c>
      <c r="AJ112" s="820">
        <f>AJ111/AE111-1</f>
        <v>1.6049017141898947</v>
      </c>
      <c r="AK112" s="820">
        <f>AK111/AF111-1</f>
        <v>0.84347293034104331</v>
      </c>
      <c r="AL112" s="821">
        <f>AL111/AG111-1</f>
        <v>0.34539538850517593</v>
      </c>
      <c r="AM112" s="165"/>
      <c r="AN112" s="819">
        <f>AN111/AI111-1</f>
        <v>0.32101944986623931</v>
      </c>
      <c r="AO112" s="820">
        <f>AO111/AJ111-1</f>
        <v>0.35670301278234318</v>
      </c>
      <c r="AP112" s="820">
        <f>AP111/AK111-1</f>
        <v>0.34954351417039065</v>
      </c>
      <c r="AQ112" s="821">
        <f>AQ111/AL111-1</f>
        <v>0.37587568351356548</v>
      </c>
      <c r="AR112" s="384"/>
      <c r="AS112" s="819">
        <f>AS111/AN111-1</f>
        <v>0.44924471299093649</v>
      </c>
      <c r="AT112" s="820">
        <f>AT111/AO111-1</f>
        <v>0.49199588066879829</v>
      </c>
      <c r="AU112" s="820">
        <f>AU111/AP111-1</f>
        <v>0.55865071797172994</v>
      </c>
      <c r="AV112" s="821">
        <f>AV111/AQ111-1</f>
        <v>0.56127612142671213</v>
      </c>
      <c r="AW112" s="384"/>
      <c r="AX112" s="819">
        <f>AX111/AS111-1</f>
        <v>0.55414272592245162</v>
      </c>
      <c r="AY112" s="820">
        <f>AY111/AT111-1</f>
        <v>0.51507177033492813</v>
      </c>
      <c r="AZ112" s="820">
        <f>AZ111/AU111-1</f>
        <v>0.42658441868072061</v>
      </c>
      <c r="BA112" s="821">
        <f>BA111/AV111-1</f>
        <v>0.3698500507421365</v>
      </c>
      <c r="BB112" s="384"/>
      <c r="BC112" s="819">
        <f>BC111/AX111-1</f>
        <v>0.28071868661702659</v>
      </c>
      <c r="BD112" s="820">
        <f>BD111/AY111-1</f>
        <v>0.19102404658283012</v>
      </c>
      <c r="BE112" s="820">
        <f>BE111/AZ111-1</f>
        <v>0.16707824343061328</v>
      </c>
      <c r="BF112" s="821">
        <f>BF111/BA111-1</f>
        <v>0.12790193233867386</v>
      </c>
      <c r="BG112" s="384"/>
      <c r="BH112" s="819">
        <f>BH111/BC111-1</f>
        <v>0.11317641581492288</v>
      </c>
      <c r="BI112" s="820">
        <f>BI111/BD111-1</f>
        <v>0.11525595076927031</v>
      </c>
      <c r="BJ112" s="820">
        <f>BJ111/BE111-1</f>
        <v>8.7226891275265173E-2</v>
      </c>
      <c r="BK112" s="821">
        <f>BK111/BF111-1</f>
        <v>9.4405986158024646E-2</v>
      </c>
      <c r="BL112" s="384"/>
      <c r="BM112" s="819">
        <f>BM111/BH111-1</f>
        <v>8.2570850619051672E-2</v>
      </c>
      <c r="BN112" s="820">
        <f>BN111/BI111-1</f>
        <v>6.2675486261701829E-2</v>
      </c>
      <c r="BO112" s="820">
        <f>BO111/BJ111-1</f>
        <v>7.1930380746710654E-2</v>
      </c>
      <c r="BP112" s="821">
        <f>BP111/BK111-1</f>
        <v>6.8271912728701922E-2</v>
      </c>
      <c r="BQ112" s="384"/>
      <c r="BR112" s="819">
        <f>BR111/BM111-1</f>
        <v>6.5869977179568551E-2</v>
      </c>
      <c r="BS112" s="820">
        <f>BS111/BN111-1</f>
        <v>9.2681113379206037E-2</v>
      </c>
      <c r="BT112" s="820">
        <f>BT111/BO111-1</f>
        <v>9.633866890374021E-2</v>
      </c>
      <c r="BU112" s="821">
        <f>BU111/BP111-1</f>
        <v>8.8428476229780451E-2</v>
      </c>
      <c r="BV112" s="384"/>
      <c r="BW112" s="819">
        <f>BW111/BR111-1</f>
        <v>8.5531602903906379E-2</v>
      </c>
      <c r="BX112" s="820">
        <f>BX111/BS111-1</f>
        <v>6.8581749343366027E-2</v>
      </c>
      <c r="BY112" s="820">
        <f>BY111/BT111-1</f>
        <v>5.3457133263732581E-2</v>
      </c>
      <c r="BZ112" s="821">
        <f>BZ111/BU111-1</f>
        <v>4.1660260154599227E-2</v>
      </c>
      <c r="CA112" s="384"/>
    </row>
    <row r="113" spans="1:79" s="808" customFormat="1" ht="12" thickBot="1">
      <c r="C113" s="320" t="s">
        <v>57</v>
      </c>
      <c r="D113" s="168"/>
      <c r="E113" s="59"/>
      <c r="F113" s="59"/>
      <c r="G113" s="59"/>
      <c r="H113" s="59"/>
      <c r="I113" s="57"/>
      <c r="J113" s="59"/>
      <c r="K113" s="59"/>
      <c r="L113" s="59"/>
      <c r="M113" s="59"/>
      <c r="N113" s="57"/>
      <c r="O113" s="59"/>
      <c r="P113" s="59"/>
      <c r="Q113" s="59"/>
      <c r="R113" s="59"/>
      <c r="S113" s="388"/>
      <c r="T113" s="822"/>
      <c r="U113" s="823"/>
      <c r="V113" s="823"/>
      <c r="W113" s="824"/>
      <c r="X113" s="385"/>
      <c r="Y113" s="822"/>
      <c r="Z113" s="825"/>
      <c r="AA113" s="825"/>
      <c r="AB113" s="826"/>
      <c r="AC113" s="385"/>
      <c r="AD113" s="822">
        <f>AD111/AB111-1</f>
        <v>9.3493150684931514</v>
      </c>
      <c r="AE113" s="825">
        <f>AE111/AD111-1</f>
        <v>0.92953893668652099</v>
      </c>
      <c r="AF113" s="825">
        <f>AF111/AE111-1</f>
        <v>0.5293485468639243</v>
      </c>
      <c r="AG113" s="826">
        <f>AG111/AF111-1</f>
        <v>0.48428848386984247</v>
      </c>
      <c r="AH113" s="385"/>
      <c r="AI113" s="822">
        <f>AI111/AG111-1</f>
        <v>7.6895182005298546E-2</v>
      </c>
      <c r="AJ113" s="814">
        <f>AJ111/AI111-1</f>
        <v>6.5597308572533208E-2</v>
      </c>
      <c r="AK113" s="814">
        <f>AK111/AJ111-1</f>
        <v>8.2310565439832839E-2</v>
      </c>
      <c r="AL113" s="826">
        <f>AL111/AK111-1</f>
        <v>8.3256959482658432E-2</v>
      </c>
      <c r="AM113" s="385"/>
      <c r="AN113" s="822">
        <f>AN111/AL111-1</f>
        <v>5.7383943077763844E-2</v>
      </c>
      <c r="AO113" s="814">
        <f>AO111/AN111-1</f>
        <v>9.4381372734138935E-2</v>
      </c>
      <c r="AP113" s="814">
        <f>AP111/AO111-1</f>
        <v>7.659907153294121E-2</v>
      </c>
      <c r="AQ113" s="826">
        <f>AQ111/AP111-1</f>
        <v>0.10439336997980697</v>
      </c>
      <c r="AR113" s="386"/>
      <c r="AS113" s="822">
        <f>AS111/AQ111-1</f>
        <v>0.11376929432581973</v>
      </c>
      <c r="AT113" s="814">
        <f>AT111/AS111-1</f>
        <v>0.1266644517406712</v>
      </c>
      <c r="AU113" s="814">
        <f>AU111/AT111-1</f>
        <v>0.12469607828965446</v>
      </c>
      <c r="AV113" s="826">
        <f>AV111/AU111-1</f>
        <v>0.10625361880641893</v>
      </c>
      <c r="AW113" s="386"/>
      <c r="AX113" s="822">
        <f>AX111/AV111-1</f>
        <v>0.10868053599031979</v>
      </c>
      <c r="AY113" s="814">
        <f>AY111/AX111-1</f>
        <v>9.8340247005952675E-2</v>
      </c>
      <c r="AZ113" s="814">
        <f>AZ111/AY111-1</f>
        <v>5.9008511976063716E-2</v>
      </c>
      <c r="BA113" s="826">
        <f>BA111/AZ111-1</f>
        <v>6.2258605948507961E-2</v>
      </c>
      <c r="BB113" s="386"/>
      <c r="BC113" s="822">
        <f>BC111/BA111-1</f>
        <v>3.6542561108880101E-2</v>
      </c>
      <c r="BD113" s="814">
        <f>BD111/BC111-1</f>
        <v>2.1418410759076467E-2</v>
      </c>
      <c r="BE113" s="814">
        <f>BE111/BD111-1</f>
        <v>3.7716910486523592E-2</v>
      </c>
      <c r="BF113" s="826">
        <f>BF111/BE111-1</f>
        <v>2.6600865054974943E-2</v>
      </c>
      <c r="BG113" s="386"/>
      <c r="BH113" s="822">
        <f>BH111/BF111-1</f>
        <v>2.3009802476636754E-2</v>
      </c>
      <c r="BI113" s="814">
        <f>BI111/BH111-1</f>
        <v>2.332653175230881E-2</v>
      </c>
      <c r="BJ113" s="814">
        <f>BJ111/BI111-1</f>
        <v>1.1636593226706182E-2</v>
      </c>
      <c r="BK113" s="826">
        <f>BK111/BJ111-1</f>
        <v>3.337963871859162E-2</v>
      </c>
      <c r="BL113" s="386"/>
      <c r="BM113" s="822">
        <f>BM111/BK111-1</f>
        <v>1.1946760220706842E-2</v>
      </c>
      <c r="BN113" s="814">
        <f>BN111/BM111-1</f>
        <v>4.5199527703296827E-3</v>
      </c>
      <c r="BO113" s="814">
        <f>BO111/BN111-1</f>
        <v>2.0446987414326934E-2</v>
      </c>
      <c r="BP113" s="826">
        <f>BP111/BO111-1</f>
        <v>2.9852743290849526E-2</v>
      </c>
      <c r="BQ113" s="386"/>
      <c r="BR113" s="822">
        <f>BR111/BP111-1</f>
        <v>9.6714678833880185E-3</v>
      </c>
      <c r="BS113" s="814">
        <f>BS111/BR111-1</f>
        <v>2.9787876481104592E-2</v>
      </c>
      <c r="BT113" s="814">
        <f>BT111/BS111-1</f>
        <v>2.3862752060216152E-2</v>
      </c>
      <c r="BU113" s="826">
        <f>BU111/BT111-1</f>
        <v>2.2422253191122898E-2</v>
      </c>
      <c r="BV113" s="386"/>
      <c r="BW113" s="822">
        <f>BW111/BU111-1</f>
        <v>6.984207850152524E-3</v>
      </c>
      <c r="BX113" s="814">
        <f>BX111/BW111-1</f>
        <v>1.3708424111333661E-2</v>
      </c>
      <c r="BY113" s="814">
        <f>BY111/BX111-1</f>
        <v>9.3710849017010212E-3</v>
      </c>
      <c r="BZ113" s="826">
        <f>BZ111/BY111-1</f>
        <v>1.0972916332505633E-2</v>
      </c>
      <c r="CA113" s="386"/>
    </row>
    <row r="114" spans="1:79" ht="13.5">
      <c r="A114"/>
      <c r="C114" s="168"/>
      <c r="D114" s="168"/>
      <c r="E114" s="59"/>
      <c r="F114" s="59"/>
      <c r="G114" s="59"/>
      <c r="H114" s="59"/>
      <c r="I114" s="57"/>
      <c r="J114" s="59"/>
      <c r="K114" s="59"/>
      <c r="L114" s="59"/>
      <c r="M114" s="59"/>
      <c r="N114" s="57"/>
      <c r="O114" s="59"/>
      <c r="P114" s="59"/>
      <c r="Q114" s="59"/>
      <c r="R114" s="59"/>
      <c r="S114" s="57"/>
      <c r="T114" s="167"/>
      <c r="U114" s="167"/>
      <c r="V114" s="167"/>
      <c r="W114" s="167"/>
      <c r="X114" s="166"/>
      <c r="Y114" s="167"/>
      <c r="Z114" s="58"/>
      <c r="AA114" s="58"/>
      <c r="AB114" s="58"/>
      <c r="AC114" s="165"/>
      <c r="AD114" s="167"/>
      <c r="AE114" s="58"/>
      <c r="AF114" s="58"/>
      <c r="AG114" s="58"/>
      <c r="AH114" s="165"/>
      <c r="AI114" s="167"/>
      <c r="AJ114" s="58"/>
      <c r="AK114" s="58"/>
      <c r="AL114" s="58"/>
      <c r="AM114" s="165"/>
      <c r="AN114" s="167"/>
      <c r="AO114" s="58"/>
      <c r="AP114" s="58"/>
      <c r="AQ114" s="58"/>
      <c r="AR114" s="165"/>
      <c r="AS114" s="167"/>
      <c r="AT114" s="58"/>
      <c r="AU114" s="58"/>
      <c r="AV114" s="58"/>
      <c r="AW114" s="165"/>
      <c r="AX114" s="167"/>
      <c r="AY114" s="58"/>
      <c r="AZ114" s="58"/>
      <c r="BA114" s="58"/>
      <c r="BB114" s="165"/>
      <c r="BC114" s="167"/>
      <c r="BD114" s="58"/>
      <c r="BE114" s="58"/>
      <c r="BF114" s="58"/>
      <c r="BG114" s="165"/>
      <c r="BH114" s="167"/>
      <c r="BI114" s="58"/>
      <c r="BJ114" s="58"/>
      <c r="BK114" s="58"/>
      <c r="BL114" s="165"/>
      <c r="BM114" s="167"/>
      <c r="BN114" s="58"/>
      <c r="BO114" s="58"/>
      <c r="BP114" s="58"/>
      <c r="BQ114" s="165"/>
      <c r="BR114" s="167"/>
      <c r="BS114" s="58"/>
      <c r="BT114" s="58"/>
      <c r="BU114" s="58"/>
      <c r="BV114" s="165"/>
      <c r="BW114" s="167"/>
      <c r="BX114" s="58"/>
      <c r="BY114" s="58"/>
      <c r="BZ114" s="58"/>
      <c r="CA114" s="165"/>
    </row>
    <row r="115" spans="1:79" ht="13.9" hidden="1" outlineLevel="1">
      <c r="A115"/>
      <c r="C115" s="447" t="s">
        <v>296</v>
      </c>
      <c r="D115" s="448"/>
      <c r="E115" s="449"/>
      <c r="F115" s="449"/>
      <c r="G115" s="449"/>
      <c r="H115" s="449"/>
      <c r="I115" s="450"/>
      <c r="J115" s="449"/>
      <c r="K115" s="449"/>
      <c r="L115" s="449"/>
      <c r="M115" s="449"/>
      <c r="N115" s="450"/>
      <c r="O115" s="449"/>
      <c r="P115" s="449"/>
      <c r="Q115" s="449"/>
      <c r="R115" s="449"/>
      <c r="S115" s="450"/>
      <c r="T115" s="451"/>
      <c r="U115" s="451"/>
      <c r="V115" s="451"/>
      <c r="W115" s="451"/>
      <c r="X115" s="452"/>
      <c r="Y115" s="451"/>
      <c r="Z115" s="453"/>
      <c r="AA115" s="453"/>
      <c r="AB115" s="453"/>
      <c r="AC115" s="454"/>
      <c r="AD115" s="451"/>
      <c r="AE115" s="453"/>
      <c r="AF115" s="453"/>
      <c r="AG115" s="453"/>
      <c r="AH115" s="460"/>
      <c r="AI115" s="451"/>
      <c r="AJ115" s="453"/>
      <c r="AK115" s="453"/>
      <c r="AL115" s="453"/>
      <c r="AM115" s="460"/>
      <c r="AN115" s="451"/>
      <c r="AO115" s="453"/>
      <c r="AP115" s="453"/>
      <c r="AQ115" s="453"/>
      <c r="AR115" s="460"/>
      <c r="AS115" s="451"/>
      <c r="AT115" s="453"/>
      <c r="AU115" s="453"/>
      <c r="AV115" s="453"/>
      <c r="AW115" s="460"/>
      <c r="AX115" s="451"/>
      <c r="AY115" s="453"/>
      <c r="AZ115" s="453"/>
      <c r="BA115" s="453"/>
      <c r="BB115" s="455"/>
      <c r="BC115" s="451"/>
      <c r="BD115" s="453"/>
      <c r="BE115" s="453"/>
      <c r="BF115" s="453"/>
      <c r="BG115" s="455"/>
      <c r="BH115" s="451"/>
      <c r="BI115" s="453"/>
      <c r="BJ115" s="453"/>
      <c r="BK115" s="453"/>
      <c r="BL115" s="455"/>
      <c r="BM115" s="451"/>
      <c r="BN115" s="453"/>
      <c r="BO115" s="453"/>
      <c r="BP115" s="453"/>
      <c r="BQ115" s="455"/>
      <c r="BR115" s="451"/>
      <c r="BS115" s="453"/>
      <c r="BT115" s="453"/>
      <c r="BU115" s="453"/>
      <c r="BV115" s="455"/>
      <c r="BW115" s="451"/>
      <c r="BX115" s="453"/>
      <c r="BY115" s="453"/>
      <c r="BZ115" s="453"/>
      <c r="CA115" s="455"/>
    </row>
    <row r="116" spans="1:79" ht="13.9" hidden="1" outlineLevel="1" thickBot="1">
      <c r="A116"/>
      <c r="C116" s="456" t="s">
        <v>297</v>
      </c>
      <c r="D116" s="168"/>
      <c r="E116" s="59"/>
      <c r="F116" s="59"/>
      <c r="G116" s="59"/>
      <c r="H116" s="59"/>
      <c r="I116" s="57"/>
      <c r="J116" s="59"/>
      <c r="K116" s="59"/>
      <c r="L116" s="59"/>
      <c r="M116" s="59"/>
      <c r="N116" s="57"/>
      <c r="O116" s="59"/>
      <c r="P116" s="59"/>
      <c r="Q116" s="59"/>
      <c r="R116" s="59"/>
      <c r="S116" s="57"/>
      <c r="T116" s="167"/>
      <c r="U116" s="167"/>
      <c r="V116" s="167"/>
      <c r="W116" s="167"/>
      <c r="X116" s="445">
        <v>289529</v>
      </c>
      <c r="Y116" s="446"/>
      <c r="Z116" s="446"/>
      <c r="AA116" s="446"/>
      <c r="AB116" s="446"/>
      <c r="AC116" s="446">
        <v>432366</v>
      </c>
      <c r="AD116" s="390">
        <v>126574</v>
      </c>
      <c r="AE116" s="391">
        <v>130085</v>
      </c>
      <c r="AF116" s="391">
        <v>141723</v>
      </c>
      <c r="AG116" s="392">
        <v>200760</v>
      </c>
      <c r="AH116" s="1183">
        <f>SUM(AD116:AG116)</f>
        <v>599142</v>
      </c>
      <c r="AI116" s="390">
        <v>168876</v>
      </c>
      <c r="AJ116" s="391">
        <v>172162</v>
      </c>
      <c r="AK116" s="391">
        <v>197984</v>
      </c>
      <c r="AL116" s="392">
        <v>262352</v>
      </c>
      <c r="AM116" s="1183">
        <f>SUM(AI116:AL116)</f>
        <v>801374</v>
      </c>
      <c r="AN116" s="390">
        <v>214955</v>
      </c>
      <c r="AO116" s="391">
        <v>252364</v>
      </c>
      <c r="AP116" s="391">
        <v>269399</v>
      </c>
      <c r="AQ116" s="392">
        <v>366921</v>
      </c>
      <c r="AR116" s="392">
        <f>SUM(AN116:AQ116)</f>
        <v>1103639</v>
      </c>
      <c r="AS116" s="390">
        <v>342052</v>
      </c>
      <c r="AT116" s="391">
        <v>405695</v>
      </c>
      <c r="AU116" s="391">
        <v>440411</v>
      </c>
      <c r="AV116" s="392">
        <v>534934</v>
      </c>
      <c r="AW116" s="392">
        <f>SUM(AS116:AV116)</f>
        <v>1723092</v>
      </c>
      <c r="AX116" s="390">
        <v>527391</v>
      </c>
      <c r="AY116" s="391">
        <v>595371</v>
      </c>
      <c r="AZ116" s="854">
        <v>565239</v>
      </c>
      <c r="BA116" s="855">
        <v>670126</v>
      </c>
      <c r="BB116" s="392">
        <f>SUM(AX116:BA116)</f>
        <v>2358127</v>
      </c>
      <c r="BC116" s="1149">
        <v>613563</v>
      </c>
      <c r="BD116" s="854">
        <v>647724</v>
      </c>
      <c r="BE116" s="854">
        <v>659405</v>
      </c>
      <c r="BF116" s="392"/>
      <c r="BG116" s="392">
        <f>SUM(BC116:BF116)</f>
        <v>1920692</v>
      </c>
      <c r="BH116" s="390"/>
      <c r="BI116" s="391"/>
      <c r="BJ116" s="391"/>
      <c r="BK116" s="392"/>
      <c r="BL116" s="392">
        <f>SUM(BH116:BK116)</f>
        <v>0</v>
      </c>
      <c r="BM116" s="390"/>
      <c r="BN116" s="391"/>
      <c r="BO116" s="391"/>
      <c r="BP116" s="392"/>
      <c r="BQ116" s="392">
        <f>SUM(BM116:BP116)</f>
        <v>0</v>
      </c>
      <c r="BR116" s="390"/>
      <c r="BS116" s="391"/>
      <c r="BT116" s="391"/>
      <c r="BU116" s="392"/>
      <c r="BV116" s="392">
        <f>SUM(BR116:BU116)</f>
        <v>0</v>
      </c>
      <c r="BW116" s="390"/>
      <c r="BX116" s="391"/>
      <c r="BY116" s="391"/>
      <c r="BZ116" s="392"/>
      <c r="CA116" s="392">
        <f>SUM(BW116:BZ116)</f>
        <v>0</v>
      </c>
    </row>
    <row r="117" spans="1:79" s="808" customFormat="1" ht="11.65" hidden="1" outlineLevel="1">
      <c r="C117" s="323" t="s">
        <v>58</v>
      </c>
      <c r="D117" s="168"/>
      <c r="E117" s="59"/>
      <c r="F117" s="59"/>
      <c r="G117" s="59"/>
      <c r="H117" s="59"/>
      <c r="I117" s="57"/>
      <c r="J117" s="59"/>
      <c r="K117" s="59"/>
      <c r="L117" s="59"/>
      <c r="M117" s="59"/>
      <c r="N117" s="57"/>
      <c r="O117" s="59"/>
      <c r="P117" s="59"/>
      <c r="Q117" s="59"/>
      <c r="R117" s="59"/>
      <c r="S117" s="57"/>
      <c r="T117" s="812"/>
      <c r="U117" s="812"/>
      <c r="V117" s="812"/>
      <c r="W117" s="812"/>
      <c r="X117" s="810" t="e">
        <f>X116/S116-1</f>
        <v>#DIV/0!</v>
      </c>
      <c r="Y117" s="812"/>
      <c r="Z117" s="811"/>
      <c r="AA117" s="811"/>
      <c r="AB117" s="811"/>
      <c r="AC117" s="810">
        <f t="shared" ref="AC117:BH117" si="123">AC116/X116-1</f>
        <v>0.49334263579814119</v>
      </c>
      <c r="AD117" s="811" t="e">
        <f t="shared" si="123"/>
        <v>#DIV/0!</v>
      </c>
      <c r="AE117" s="811" t="e">
        <f t="shared" si="123"/>
        <v>#DIV/0!</v>
      </c>
      <c r="AF117" s="811" t="e">
        <f t="shared" si="123"/>
        <v>#DIV/0!</v>
      </c>
      <c r="AG117" s="811" t="e">
        <f t="shared" si="123"/>
        <v>#DIV/0!</v>
      </c>
      <c r="AH117" s="810">
        <f t="shared" si="123"/>
        <v>0.38572875758038339</v>
      </c>
      <c r="AI117" s="811">
        <f t="shared" si="123"/>
        <v>0.33420765718077972</v>
      </c>
      <c r="AJ117" s="811">
        <f t="shared" si="123"/>
        <v>0.32345773917054244</v>
      </c>
      <c r="AK117" s="811">
        <f t="shared" si="123"/>
        <v>0.39697861321027639</v>
      </c>
      <c r="AL117" s="811">
        <f t="shared" si="123"/>
        <v>0.30679418210798959</v>
      </c>
      <c r="AM117" s="810">
        <f t="shared" si="123"/>
        <v>0.33753600982738652</v>
      </c>
      <c r="AN117" s="811">
        <f t="shared" si="123"/>
        <v>0.27285700750846775</v>
      </c>
      <c r="AO117" s="811">
        <f t="shared" si="123"/>
        <v>0.465851930158804</v>
      </c>
      <c r="AP117" s="811">
        <f t="shared" si="123"/>
        <v>0.36071096654275103</v>
      </c>
      <c r="AQ117" s="811">
        <f t="shared" si="123"/>
        <v>0.3985828200280539</v>
      </c>
      <c r="AR117" s="810">
        <f t="shared" si="123"/>
        <v>0.37718343744618621</v>
      </c>
      <c r="AS117" s="811">
        <f t="shared" si="123"/>
        <v>0.59127259193784742</v>
      </c>
      <c r="AT117" s="811">
        <f t="shared" si="123"/>
        <v>0.60757873547732633</v>
      </c>
      <c r="AU117" s="811">
        <f t="shared" si="123"/>
        <v>0.63479077502143655</v>
      </c>
      <c r="AV117" s="811">
        <f t="shared" si="123"/>
        <v>0.45789965687436807</v>
      </c>
      <c r="AW117" s="810">
        <f t="shared" si="123"/>
        <v>0.56128226711814277</v>
      </c>
      <c r="AX117" s="811">
        <f t="shared" si="123"/>
        <v>0.54184451486908425</v>
      </c>
      <c r="AY117" s="811">
        <f t="shared" si="123"/>
        <v>0.46753349190894644</v>
      </c>
      <c r="AZ117" s="811">
        <f t="shared" si="123"/>
        <v>0.28343524571366285</v>
      </c>
      <c r="BA117" s="811">
        <f t="shared" si="123"/>
        <v>0.25272650457813484</v>
      </c>
      <c r="BB117" s="810">
        <f t="shared" si="123"/>
        <v>0.36854387345539297</v>
      </c>
      <c r="BC117" s="811">
        <f t="shared" si="123"/>
        <v>0.16339300443124749</v>
      </c>
      <c r="BD117" s="811">
        <f t="shared" si="123"/>
        <v>8.7933406229057098E-2</v>
      </c>
      <c r="BE117" s="811">
        <f t="shared" si="123"/>
        <v>0.16659501555978973</v>
      </c>
      <c r="BF117" s="811">
        <f t="shared" si="123"/>
        <v>-1</v>
      </c>
      <c r="BG117" s="810">
        <f t="shared" si="123"/>
        <v>-0.18550103535560214</v>
      </c>
      <c r="BH117" s="811">
        <f t="shared" si="123"/>
        <v>-1</v>
      </c>
      <c r="BI117" s="811">
        <f t="shared" ref="BI117:CN117" si="124">BI116/BD116-1</f>
        <v>-1</v>
      </c>
      <c r="BJ117" s="811">
        <f t="shared" si="124"/>
        <v>-1</v>
      </c>
      <c r="BK117" s="811" t="e">
        <f t="shared" si="124"/>
        <v>#DIV/0!</v>
      </c>
      <c r="BL117" s="810">
        <f t="shared" si="124"/>
        <v>-1</v>
      </c>
      <c r="BM117" s="811" t="e">
        <f t="shared" si="124"/>
        <v>#DIV/0!</v>
      </c>
      <c r="BN117" s="811" t="e">
        <f t="shared" si="124"/>
        <v>#DIV/0!</v>
      </c>
      <c r="BO117" s="811" t="e">
        <f t="shared" si="124"/>
        <v>#DIV/0!</v>
      </c>
      <c r="BP117" s="811" t="e">
        <f t="shared" si="124"/>
        <v>#DIV/0!</v>
      </c>
      <c r="BQ117" s="810" t="e">
        <f t="shared" si="124"/>
        <v>#DIV/0!</v>
      </c>
      <c r="BR117" s="811" t="e">
        <f t="shared" si="124"/>
        <v>#DIV/0!</v>
      </c>
      <c r="BS117" s="811" t="e">
        <f t="shared" si="124"/>
        <v>#DIV/0!</v>
      </c>
      <c r="BT117" s="811" t="e">
        <f t="shared" si="124"/>
        <v>#DIV/0!</v>
      </c>
      <c r="BU117" s="811" t="e">
        <f t="shared" si="124"/>
        <v>#DIV/0!</v>
      </c>
      <c r="BV117" s="810" t="e">
        <f t="shared" si="124"/>
        <v>#DIV/0!</v>
      </c>
      <c r="BW117" s="811" t="e">
        <f t="shared" si="124"/>
        <v>#DIV/0!</v>
      </c>
      <c r="BX117" s="811" t="e">
        <f t="shared" si="124"/>
        <v>#DIV/0!</v>
      </c>
      <c r="BY117" s="811" t="e">
        <f t="shared" si="124"/>
        <v>#DIV/0!</v>
      </c>
      <c r="BZ117" s="811" t="e">
        <f t="shared" si="124"/>
        <v>#DIV/0!</v>
      </c>
      <c r="CA117" s="810" t="e">
        <f t="shared" si="124"/>
        <v>#DIV/0!</v>
      </c>
    </row>
    <row r="118" spans="1:79" s="808" customFormat="1" ht="12" hidden="1" outlineLevel="1" thickBot="1">
      <c r="C118" s="320" t="s">
        <v>57</v>
      </c>
      <c r="D118" s="457"/>
      <c r="E118" s="56"/>
      <c r="F118" s="56"/>
      <c r="G118" s="56"/>
      <c r="H118" s="56"/>
      <c r="I118" s="458"/>
      <c r="J118" s="56"/>
      <c r="K118" s="56"/>
      <c r="L118" s="56"/>
      <c r="M118" s="56"/>
      <c r="N118" s="458"/>
      <c r="O118" s="56"/>
      <c r="P118" s="56"/>
      <c r="Q118" s="56"/>
      <c r="R118" s="56"/>
      <c r="S118" s="458"/>
      <c r="T118" s="813"/>
      <c r="U118" s="813"/>
      <c r="V118" s="813"/>
      <c r="W118" s="813"/>
      <c r="X118" s="459"/>
      <c r="Y118" s="813"/>
      <c r="Z118" s="814"/>
      <c r="AA118" s="814"/>
      <c r="AB118" s="814"/>
      <c r="AC118" s="459"/>
      <c r="AD118" s="813" t="e">
        <f>AD116/AB116-1</f>
        <v>#DIV/0!</v>
      </c>
      <c r="AE118" s="814">
        <f>AE116/AD116-1</f>
        <v>2.7738714111902985E-2</v>
      </c>
      <c r="AF118" s="814">
        <f>AF116/AE116-1</f>
        <v>8.9464580850981967E-2</v>
      </c>
      <c r="AG118" s="814">
        <f>AG116/AF116-1</f>
        <v>0.41656611841408941</v>
      </c>
      <c r="AH118" s="54"/>
      <c r="AI118" s="813">
        <f>AI116/AG116-1</f>
        <v>-0.15881649731022118</v>
      </c>
      <c r="AJ118" s="814">
        <f>AJ116/AI116-1</f>
        <v>1.9458063904876921E-2</v>
      </c>
      <c r="AK118" s="814">
        <f>AK116/AJ116-1</f>
        <v>0.14998664048977117</v>
      </c>
      <c r="AL118" s="814">
        <f>AL116/AK116-1</f>
        <v>0.32511718118635846</v>
      </c>
      <c r="AM118" s="54"/>
      <c r="AN118" s="813">
        <f>AN116/AL116-1</f>
        <v>-0.18066185887662378</v>
      </c>
      <c r="AO118" s="814">
        <f>AO116/AN116-1</f>
        <v>0.1740317740922519</v>
      </c>
      <c r="AP118" s="814">
        <f>AP116/AO116-1</f>
        <v>6.7501703888034781E-2</v>
      </c>
      <c r="AQ118" s="814">
        <f>AQ116/AP116-1</f>
        <v>0.36199837415877556</v>
      </c>
      <c r="AR118" s="54"/>
      <c r="AS118" s="813">
        <f>AS116/AQ116-1</f>
        <v>-6.7777532493370485E-2</v>
      </c>
      <c r="AT118" s="814">
        <f>AT116/AS116-1</f>
        <v>0.18606235309251229</v>
      </c>
      <c r="AU118" s="814">
        <f>AU116/AT116-1</f>
        <v>8.5571673301371831E-2</v>
      </c>
      <c r="AV118" s="814">
        <f>AV116/AU116-1</f>
        <v>0.21462452118589237</v>
      </c>
      <c r="AW118" s="54"/>
      <c r="AX118" s="813">
        <f>AX116/AV116-1</f>
        <v>-1.4100804959116475E-2</v>
      </c>
      <c r="AY118" s="814">
        <f>AY116/AX116-1</f>
        <v>0.12889867290113033</v>
      </c>
      <c r="AZ118" s="814">
        <f>AZ116/AY116-1</f>
        <v>-5.0610459696558974E-2</v>
      </c>
      <c r="BA118" s="814">
        <f>BA116/AZ116-1</f>
        <v>0.18556221350614521</v>
      </c>
      <c r="BB118" s="54"/>
      <c r="BC118" s="813">
        <f>BC116/BA116-1</f>
        <v>-8.4406514595762538E-2</v>
      </c>
      <c r="BD118" s="814">
        <f>BD116/BC116-1</f>
        <v>5.5676434204800396E-2</v>
      </c>
      <c r="BE118" s="814">
        <f>BE116/BD116-1</f>
        <v>1.8033915680135459E-2</v>
      </c>
      <c r="BF118" s="814">
        <f>BF116/BE116-1</f>
        <v>-1</v>
      </c>
      <c r="BG118" s="54"/>
      <c r="BH118" s="813" t="e">
        <f>BH116/BF116-1</f>
        <v>#DIV/0!</v>
      </c>
      <c r="BI118" s="814" t="e">
        <f>BI116/BH116-1</f>
        <v>#DIV/0!</v>
      </c>
      <c r="BJ118" s="814" t="e">
        <f>BJ116/BI116-1</f>
        <v>#DIV/0!</v>
      </c>
      <c r="BK118" s="814" t="e">
        <f>BK116/BJ116-1</f>
        <v>#DIV/0!</v>
      </c>
      <c r="BL118" s="54"/>
      <c r="BM118" s="813" t="e">
        <f>BM116/BK116-1</f>
        <v>#DIV/0!</v>
      </c>
      <c r="BN118" s="814" t="e">
        <f>BN116/BM116-1</f>
        <v>#DIV/0!</v>
      </c>
      <c r="BO118" s="814" t="e">
        <f>BO116/BN116-1</f>
        <v>#DIV/0!</v>
      </c>
      <c r="BP118" s="814" t="e">
        <f>BP116/BO116-1</f>
        <v>#DIV/0!</v>
      </c>
      <c r="BQ118" s="54"/>
      <c r="BR118" s="813" t="e">
        <f>BR116/BP116-1</f>
        <v>#DIV/0!</v>
      </c>
      <c r="BS118" s="814" t="e">
        <f>BS116/BR116-1</f>
        <v>#DIV/0!</v>
      </c>
      <c r="BT118" s="814" t="e">
        <f>BT116/BS116-1</f>
        <v>#DIV/0!</v>
      </c>
      <c r="BU118" s="814" t="e">
        <f>BU116/BT116-1</f>
        <v>#DIV/0!</v>
      </c>
      <c r="BV118" s="54"/>
      <c r="BW118" s="813" t="e">
        <f>BW116/BU116-1</f>
        <v>#DIV/0!</v>
      </c>
      <c r="BX118" s="814" t="e">
        <f>BX116/BW116-1</f>
        <v>#DIV/0!</v>
      </c>
      <c r="BY118" s="814" t="e">
        <f>BY116/BX116-1</f>
        <v>#DIV/0!</v>
      </c>
      <c r="BZ118" s="814" t="e">
        <f>BZ116/BY116-1</f>
        <v>#DIV/0!</v>
      </c>
      <c r="CA118" s="54"/>
    </row>
    <row r="119" spans="1:79" ht="13.9" collapsed="1" thickBot="1">
      <c r="A119"/>
      <c r="C119" s="168"/>
      <c r="D119" s="168"/>
      <c r="E119" s="57"/>
      <c r="F119" s="57"/>
      <c r="G119" s="57"/>
      <c r="H119" s="57"/>
      <c r="I119" s="57"/>
      <c r="J119" s="57"/>
      <c r="K119" s="57"/>
      <c r="L119" s="57"/>
      <c r="M119" s="57"/>
      <c r="N119" s="57"/>
      <c r="O119" s="59"/>
      <c r="P119" s="59"/>
      <c r="Q119" s="59"/>
      <c r="R119" s="59"/>
      <c r="S119" s="57"/>
      <c r="T119" s="167"/>
      <c r="U119" s="167"/>
      <c r="V119" s="167"/>
      <c r="W119" s="167"/>
      <c r="X119" s="166"/>
      <c r="Y119" s="167"/>
      <c r="Z119" s="58"/>
      <c r="AA119" s="58"/>
      <c r="AB119" s="58"/>
      <c r="AC119" s="165"/>
    </row>
    <row r="120" spans="1:79" s="81" customFormat="1">
      <c r="C120" s="229" t="s">
        <v>144</v>
      </c>
      <c r="D120" s="405"/>
      <c r="E120" s="197"/>
      <c r="F120" s="198"/>
      <c r="G120" s="198"/>
      <c r="H120" s="199"/>
      <c r="I120" s="184"/>
      <c r="J120" s="197"/>
      <c r="K120" s="198"/>
      <c r="L120" s="198"/>
      <c r="M120" s="199"/>
      <c r="N120" s="198"/>
      <c r="O120" s="197"/>
      <c r="P120" s="198"/>
      <c r="Q120" s="198">
        <f>Q5</f>
        <v>0</v>
      </c>
      <c r="R120" s="199">
        <f>R5</f>
        <v>0</v>
      </c>
      <c r="S120" s="103"/>
      <c r="T120" s="197">
        <f>T5</f>
        <v>0</v>
      </c>
      <c r="U120" s="398">
        <f>U5</f>
        <v>0</v>
      </c>
      <c r="V120" s="398">
        <f>V5</f>
        <v>0</v>
      </c>
      <c r="W120" s="199">
        <f>W5</f>
        <v>0</v>
      </c>
      <c r="X120" s="103"/>
      <c r="Y120" s="197">
        <f>Y5</f>
        <v>0</v>
      </c>
      <c r="Z120" s="398">
        <f>Z5</f>
        <v>0</v>
      </c>
      <c r="AA120" s="398">
        <f>AA5</f>
        <v>0</v>
      </c>
      <c r="AB120" s="199">
        <f>AB5</f>
        <v>0</v>
      </c>
      <c r="AD120" s="197">
        <f>AD5</f>
        <v>106847</v>
      </c>
      <c r="AE120" s="398">
        <f>AE5</f>
        <v>117553</v>
      </c>
      <c r="AF120" s="398">
        <f>AF5</f>
        <v>122905</v>
      </c>
      <c r="AG120" s="199">
        <f>AG5</f>
        <v>137276</v>
      </c>
      <c r="AI120" s="197">
        <f>AI5</f>
        <v>148198</v>
      </c>
      <c r="AJ120" s="398">
        <f>AJ5</f>
        <v>158461</v>
      </c>
      <c r="AK120" s="398">
        <f>AK5</f>
        <v>169426</v>
      </c>
      <c r="AL120" s="199">
        <f>AL5</f>
        <v>187572</v>
      </c>
      <c r="AN120" s="197">
        <f>AN5</f>
        <v>201458</v>
      </c>
      <c r="AO120" s="398">
        <f>AO5</f>
        <v>220811</v>
      </c>
      <c r="AP120" s="398">
        <f>AP5</f>
        <v>238072</v>
      </c>
      <c r="AQ120" s="199">
        <f>AQ5</f>
        <v>258122</v>
      </c>
      <c r="AS120" s="197">
        <f>AS5</f>
        <v>280922</v>
      </c>
      <c r="AT120" s="398">
        <f>AT5</f>
        <v>323643</v>
      </c>
      <c r="AU120" s="398">
        <f>AU5</f>
        <v>366617</v>
      </c>
      <c r="AV120" s="199">
        <f>AV5</f>
        <v>410215</v>
      </c>
      <c r="AX120" s="197">
        <f>AX5</f>
        <v>451935</v>
      </c>
      <c r="AY120" s="398">
        <f>AY5</f>
        <v>492758</v>
      </c>
      <c r="AZ120" s="398">
        <f>AZ5</f>
        <v>528573</v>
      </c>
      <c r="BA120" s="199">
        <f>BA5</f>
        <v>564006</v>
      </c>
      <c r="BC120" s="197">
        <f>BC5</f>
        <v>569251</v>
      </c>
      <c r="BD120" s="398">
        <f>BD5</f>
        <v>605194</v>
      </c>
      <c r="BE120" s="398">
        <f>BE5</f>
        <v>624055</v>
      </c>
      <c r="BF120" s="199">
        <f>BF5</f>
        <v>643677</v>
      </c>
      <c r="BH120" s="197">
        <f>BH5</f>
        <v>639307</v>
      </c>
      <c r="BI120" s="398">
        <f>BI5</f>
        <v>669367</v>
      </c>
      <c r="BJ120" s="398">
        <f>BJ5</f>
        <v>682352</v>
      </c>
      <c r="BK120" s="199">
        <f>BK5</f>
        <v>695682</v>
      </c>
      <c r="BM120" s="197">
        <f>BM5</f>
        <v>691483</v>
      </c>
      <c r="BN120" s="398">
        <f>BN5</f>
        <v>717366</v>
      </c>
      <c r="BO120" s="398">
        <f>BO5</f>
        <v>734693</v>
      </c>
      <c r="BP120" s="199">
        <f>BP5</f>
        <v>757767</v>
      </c>
      <c r="BR120" s="197">
        <f>BR5</f>
        <v>746202</v>
      </c>
      <c r="BS120" s="398">
        <f>BS5</f>
        <v>784388</v>
      </c>
      <c r="BT120" s="398">
        <f>BT5</f>
        <v>800958</v>
      </c>
      <c r="BU120" s="199">
        <f>BU5</f>
        <v>810280.25309999997</v>
      </c>
      <c r="BW120" s="197">
        <f>BW5</f>
        <v>790974.12</v>
      </c>
      <c r="BX120" s="398">
        <f>BX5</f>
        <v>831451.28</v>
      </c>
      <c r="BY120" s="398">
        <f>BY5</f>
        <v>849015.4800000001</v>
      </c>
      <c r="BZ120" s="199">
        <f>BZ5</f>
        <v>858897.06828600005</v>
      </c>
    </row>
    <row r="121" spans="1:79" s="81" customFormat="1">
      <c r="C121" s="230" t="s">
        <v>145</v>
      </c>
      <c r="D121" s="316"/>
      <c r="E121" s="176"/>
      <c r="F121" s="103"/>
      <c r="G121" s="103"/>
      <c r="H121" s="131"/>
      <c r="J121" s="176"/>
      <c r="K121" s="103"/>
      <c r="L121" s="103"/>
      <c r="M121" s="131"/>
      <c r="O121" s="176"/>
      <c r="P121" s="103"/>
      <c r="Q121" s="103"/>
      <c r="R121" s="131"/>
      <c r="T121" s="176">
        <f>T120+R120+Q120+P120</f>
        <v>0</v>
      </c>
      <c r="U121" s="103">
        <f>U120+T120+R120+Q120</f>
        <v>0</v>
      </c>
      <c r="V121" s="103">
        <f>V120+U120+T120+R120</f>
        <v>0</v>
      </c>
      <c r="W121" s="131">
        <f>W120+V120+U120+T120</f>
        <v>0</v>
      </c>
      <c r="Y121" s="176">
        <f>Y120+W120+V120+U120</f>
        <v>0</v>
      </c>
      <c r="Z121" s="103">
        <f>Z120+Y120+W120+V120</f>
        <v>0</v>
      </c>
      <c r="AA121" s="103">
        <f>AA120+Z120+Y120+W120</f>
        <v>0</v>
      </c>
      <c r="AB121" s="131">
        <f>AB120+AA120+Z120+Y120</f>
        <v>0</v>
      </c>
      <c r="AD121" s="176">
        <f>AD120+AB120+AA120+Z120</f>
        <v>106847</v>
      </c>
      <c r="AE121" s="103">
        <f>AE120+AD120+AB120+AA120</f>
        <v>224400</v>
      </c>
      <c r="AF121" s="103">
        <f>AF120+AE120+AD120+AB120</f>
        <v>347305</v>
      </c>
      <c r="AG121" s="131">
        <f>AG120+AF120+AE120+AD120</f>
        <v>484581</v>
      </c>
      <c r="AI121" s="176">
        <f>AI120+AG120+AF120+AE120</f>
        <v>525932</v>
      </c>
      <c r="AJ121" s="103">
        <f>AJ120+AI120+AG120+AF120</f>
        <v>566840</v>
      </c>
      <c r="AK121" s="103">
        <f>AK120+AJ120+AI120+AG120</f>
        <v>613361</v>
      </c>
      <c r="AL121" s="131">
        <f>AL120+AK120+AJ120+AI120</f>
        <v>663657</v>
      </c>
      <c r="AN121" s="176">
        <f>AN120+AL120+AK120+AJ120</f>
        <v>716917</v>
      </c>
      <c r="AO121" s="103">
        <f>AO120+AN120+AL120+AK120</f>
        <v>779267</v>
      </c>
      <c r="AP121" s="103">
        <f>AP120+AO120+AN120+AL120</f>
        <v>847913</v>
      </c>
      <c r="AQ121" s="131">
        <f>AQ120+AP120+AO120+AN120</f>
        <v>918463</v>
      </c>
      <c r="AS121" s="176">
        <f>AS120+AQ120+AP120+AO120</f>
        <v>997927</v>
      </c>
      <c r="AT121" s="103">
        <f>AT120+AS120+AQ120+AP120</f>
        <v>1100759</v>
      </c>
      <c r="AU121" s="103">
        <f>AU120+AT120+AS120+AQ120</f>
        <v>1229304</v>
      </c>
      <c r="AV121" s="131">
        <f>AV120+AU120+AT120+AS120</f>
        <v>1381397</v>
      </c>
      <c r="AX121" s="176">
        <f>AX120+AV120+AU120+AT120</f>
        <v>1552410</v>
      </c>
      <c r="AY121" s="103">
        <f>AY120+AX120+AV120+AU120</f>
        <v>1721525</v>
      </c>
      <c r="AZ121" s="103">
        <f>AZ120+AY120+AX120+AV120</f>
        <v>1883481</v>
      </c>
      <c r="BA121" s="131">
        <f>BA120+AZ120+AY120+AX120</f>
        <v>2037272</v>
      </c>
      <c r="BC121" s="176">
        <f>BC120+BA120+AZ120+AY120</f>
        <v>2154588</v>
      </c>
      <c r="BD121" s="103">
        <f>BD120+BC120+BA120+AZ120</f>
        <v>2267024</v>
      </c>
      <c r="BE121" s="103">
        <f>BE120+BD120+BC120+BA120</f>
        <v>2362506</v>
      </c>
      <c r="BF121" s="131">
        <f>BF120+BE120+BD120+BC120</f>
        <v>2442177</v>
      </c>
      <c r="BH121" s="176">
        <f>BH120+BF120+BE120+BD120</f>
        <v>2512233</v>
      </c>
      <c r="BI121" s="103">
        <f>BI120+BH120+BF120+BE120</f>
        <v>2576406</v>
      </c>
      <c r="BJ121" s="103">
        <f>BJ120+BI120+BH120+BF120</f>
        <v>2634703</v>
      </c>
      <c r="BK121" s="131">
        <f>BK120+BJ120+BI120+BH120</f>
        <v>2686708</v>
      </c>
      <c r="BM121" s="176">
        <f>BM120+BK120+BJ120+BI120</f>
        <v>2738884</v>
      </c>
      <c r="BN121" s="103">
        <f>BN120+BM120+BK120+BJ120</f>
        <v>2786883</v>
      </c>
      <c r="BO121" s="103">
        <f>BO120+BN120+BM120+BK120</f>
        <v>2839224</v>
      </c>
      <c r="BP121" s="131">
        <f>BP120+BO120+BN120+BM120</f>
        <v>2901309</v>
      </c>
      <c r="BR121" s="176">
        <f>BR120+BP120+BO120+BN120</f>
        <v>2956028</v>
      </c>
      <c r="BS121" s="103">
        <f>BS120+BR120+BP120+BO120</f>
        <v>3023050</v>
      </c>
      <c r="BT121" s="103">
        <f>BT120+BS120+BR120+BP120</f>
        <v>3089315</v>
      </c>
      <c r="BU121" s="131">
        <f>BU120+BT120+BS120+BR120</f>
        <v>3141828.2530999999</v>
      </c>
      <c r="BW121" s="176">
        <f>BW120+BU120+BT120+BS120</f>
        <v>3186600.3731</v>
      </c>
      <c r="BX121" s="103">
        <f>BX120+BW120+BU120+BT120</f>
        <v>3233663.6530999998</v>
      </c>
      <c r="BY121" s="103">
        <f>BY120+BX120+BW120+BU120</f>
        <v>3281721.1331000002</v>
      </c>
      <c r="BZ121" s="131">
        <f>BZ120+BY120+BX120+BW120</f>
        <v>3330337.9482860006</v>
      </c>
    </row>
    <row r="122" spans="1:79" s="81" customFormat="1">
      <c r="C122" s="230" t="s">
        <v>146</v>
      </c>
      <c r="D122" s="316"/>
      <c r="E122" s="176"/>
      <c r="F122" s="103"/>
      <c r="G122" s="103"/>
      <c r="H122" s="131"/>
      <c r="J122" s="176"/>
      <c r="K122" s="103"/>
      <c r="L122" s="103"/>
      <c r="M122" s="131"/>
      <c r="O122" s="176"/>
      <c r="P122" s="103"/>
      <c r="Q122" s="103"/>
      <c r="R122" s="131"/>
      <c r="S122" s="103"/>
      <c r="T122" s="176">
        <f t="shared" ref="T122:AB122" si="125">T121-O121</f>
        <v>0</v>
      </c>
      <c r="U122" s="103">
        <f t="shared" si="125"/>
        <v>0</v>
      </c>
      <c r="V122" s="103">
        <f t="shared" si="125"/>
        <v>0</v>
      </c>
      <c r="W122" s="131">
        <f t="shared" si="125"/>
        <v>0</v>
      </c>
      <c r="X122" s="103"/>
      <c r="Y122" s="176">
        <f t="shared" si="125"/>
        <v>0</v>
      </c>
      <c r="Z122" s="103">
        <f t="shared" si="125"/>
        <v>0</v>
      </c>
      <c r="AA122" s="103">
        <f t="shared" si="125"/>
        <v>0</v>
      </c>
      <c r="AB122" s="131">
        <f t="shared" si="125"/>
        <v>0</v>
      </c>
      <c r="AD122" s="176">
        <f>AD121-Y121</f>
        <v>106847</v>
      </c>
      <c r="AE122" s="103">
        <f>AE121-Z121</f>
        <v>224400</v>
      </c>
      <c r="AF122" s="103">
        <f>AF121-AA121</f>
        <v>347305</v>
      </c>
      <c r="AG122" s="131">
        <f>AG121-AB121</f>
        <v>484581</v>
      </c>
      <c r="AI122" s="176">
        <f>AI121-AD121</f>
        <v>419085</v>
      </c>
      <c r="AJ122" s="103">
        <f>AJ121-AE121</f>
        <v>342440</v>
      </c>
      <c r="AK122" s="103">
        <f>AK121-AF121</f>
        <v>266056</v>
      </c>
      <c r="AL122" s="131">
        <f>AL121-AG121</f>
        <v>179076</v>
      </c>
      <c r="AN122" s="176">
        <f>AN121-AI121</f>
        <v>190985</v>
      </c>
      <c r="AO122" s="103">
        <f>AO121-AJ121</f>
        <v>212427</v>
      </c>
      <c r="AP122" s="103">
        <f>AP121-AK121</f>
        <v>234552</v>
      </c>
      <c r="AQ122" s="131">
        <f>AQ121-AL121</f>
        <v>254806</v>
      </c>
      <c r="AS122" s="176">
        <f>AS121-AN121</f>
        <v>281010</v>
      </c>
      <c r="AT122" s="103">
        <f>AT121-AO121</f>
        <v>321492</v>
      </c>
      <c r="AU122" s="103">
        <f>AU121-AP121</f>
        <v>381391</v>
      </c>
      <c r="AV122" s="131">
        <f>AV121-AQ121</f>
        <v>462934</v>
      </c>
      <c r="AX122" s="176">
        <f>AX121-AS121</f>
        <v>554483</v>
      </c>
      <c r="AY122" s="103">
        <f>AY121-AT121</f>
        <v>620766</v>
      </c>
      <c r="AZ122" s="103">
        <f>AZ121-AU121</f>
        <v>654177</v>
      </c>
      <c r="BA122" s="131">
        <f>BA121-AV121</f>
        <v>655875</v>
      </c>
      <c r="BC122" s="176">
        <f>BC121-AX121</f>
        <v>602178</v>
      </c>
      <c r="BD122" s="103">
        <f>BD121-AY121</f>
        <v>545499</v>
      </c>
      <c r="BE122" s="103">
        <f>BE121-AZ121</f>
        <v>479025</v>
      </c>
      <c r="BF122" s="131">
        <f>BF121-BA121</f>
        <v>404905</v>
      </c>
      <c r="BH122" s="176">
        <f>BH121-BC121</f>
        <v>357645</v>
      </c>
      <c r="BI122" s="103">
        <f>BI121-BD121</f>
        <v>309382</v>
      </c>
      <c r="BJ122" s="103">
        <f>BJ121-BE121</f>
        <v>272197</v>
      </c>
      <c r="BK122" s="131">
        <f>BK121-BF121</f>
        <v>244531</v>
      </c>
      <c r="BM122" s="176">
        <f>BM121-BH121</f>
        <v>226651</v>
      </c>
      <c r="BN122" s="103">
        <f>BN121-BI121</f>
        <v>210477</v>
      </c>
      <c r="BO122" s="103">
        <f>BO121-BJ121</f>
        <v>204521</v>
      </c>
      <c r="BP122" s="131">
        <f>BP121-BK121</f>
        <v>214601</v>
      </c>
      <c r="BR122" s="176">
        <f>BR121-BM121</f>
        <v>217144</v>
      </c>
      <c r="BS122" s="103">
        <f>BS121-BN121</f>
        <v>236167</v>
      </c>
      <c r="BT122" s="103">
        <f>BT121-BO121</f>
        <v>250091</v>
      </c>
      <c r="BU122" s="131">
        <f>BU121-BP121</f>
        <v>240519.25309999986</v>
      </c>
      <c r="BW122" s="176">
        <f>BW121-BR121</f>
        <v>230572.37309999997</v>
      </c>
      <c r="BX122" s="103">
        <f>BX121-BS121</f>
        <v>210613.65309999976</v>
      </c>
      <c r="BY122" s="103">
        <f>BY121-BT121</f>
        <v>192406.13310000021</v>
      </c>
      <c r="BZ122" s="131">
        <f>BZ121-BU121</f>
        <v>188509.69518600078</v>
      </c>
    </row>
    <row r="123" spans="1:79" s="81" customFormat="1">
      <c r="C123" s="230" t="s">
        <v>204</v>
      </c>
      <c r="D123" s="316"/>
      <c r="E123" s="292"/>
      <c r="F123" s="201"/>
      <c r="G123" s="201"/>
      <c r="H123" s="293"/>
      <c r="J123" s="292"/>
      <c r="K123" s="201"/>
      <c r="L123" s="201"/>
      <c r="M123" s="293"/>
      <c r="N123" s="201"/>
      <c r="O123" s="292"/>
      <c r="P123" s="201"/>
      <c r="Q123" s="201"/>
      <c r="R123" s="293"/>
      <c r="S123" s="201"/>
      <c r="T123" s="292">
        <v>0.92500000000000004</v>
      </c>
      <c r="U123" s="201">
        <v>0.92500000000000004</v>
      </c>
      <c r="V123" s="201">
        <v>0.92500000000000004</v>
      </c>
      <c r="W123" s="293">
        <v>0.92500000000000004</v>
      </c>
      <c r="X123" s="201"/>
      <c r="Y123" s="292">
        <v>0.92500000000000004</v>
      </c>
      <c r="Z123" s="201">
        <v>0.92500000000000004</v>
      </c>
      <c r="AA123" s="201">
        <v>0.92500000000000004</v>
      </c>
      <c r="AB123" s="293">
        <v>0.92500000000000004</v>
      </c>
      <c r="AD123" s="292">
        <v>0.92500000000000004</v>
      </c>
      <c r="AE123" s="201">
        <v>0.92500000000000004</v>
      </c>
      <c r="AF123" s="201">
        <v>0.92500000000000004</v>
      </c>
      <c r="AG123" s="293">
        <v>0.92500000000000004</v>
      </c>
      <c r="AI123" s="292">
        <v>0.92500000000000004</v>
      </c>
      <c r="AJ123" s="201">
        <v>0.92500000000000004</v>
      </c>
      <c r="AK123" s="201">
        <v>0.92500000000000004</v>
      </c>
      <c r="AL123" s="293">
        <v>0.92500000000000004</v>
      </c>
      <c r="AN123" s="292">
        <v>0.92500000000000004</v>
      </c>
      <c r="AO123" s="201">
        <v>0.92500000000000004</v>
      </c>
      <c r="AP123" s="201">
        <v>0.92500000000000004</v>
      </c>
      <c r="AQ123" s="293">
        <v>0.92500000000000004</v>
      </c>
      <c r="AS123" s="292">
        <v>0.92500000000000004</v>
      </c>
      <c r="AT123" s="201">
        <v>0.92500000000000004</v>
      </c>
      <c r="AU123" s="201">
        <v>0.92500000000000004</v>
      </c>
      <c r="AV123" s="293">
        <v>0.92500000000000004</v>
      </c>
      <c r="AX123" s="292">
        <v>0.92500000000000004</v>
      </c>
      <c r="AY123" s="201">
        <v>0.92500000000000004</v>
      </c>
      <c r="AZ123" s="201">
        <v>0.92500000000000004</v>
      </c>
      <c r="BA123" s="293">
        <v>0.92500000000000004</v>
      </c>
      <c r="BC123" s="292">
        <v>0.92500000000000004</v>
      </c>
      <c r="BD123" s="201">
        <v>0.92500000000000004</v>
      </c>
      <c r="BE123" s="201">
        <v>0.92500000000000004</v>
      </c>
      <c r="BF123" s="293">
        <v>0.92500000000000004</v>
      </c>
      <c r="BH123" s="292">
        <v>0.92500000000000004</v>
      </c>
      <c r="BI123" s="201">
        <v>0.92500000000000004</v>
      </c>
      <c r="BJ123" s="201">
        <v>0.92500000000000004</v>
      </c>
      <c r="BK123" s="293">
        <v>0.92500000000000004</v>
      </c>
      <c r="BM123" s="292">
        <v>0.92500000000000004</v>
      </c>
      <c r="BN123" s="201">
        <v>0.92500000000000004</v>
      </c>
      <c r="BO123" s="201">
        <v>0.92500000000000004</v>
      </c>
      <c r="BP123" s="293">
        <v>0.92500000000000004</v>
      </c>
      <c r="BR123" s="292">
        <v>0.92500000000000004</v>
      </c>
      <c r="BS123" s="201">
        <v>0.92500000000000004</v>
      </c>
      <c r="BT123" s="201">
        <v>0.92500000000000004</v>
      </c>
      <c r="BU123" s="293">
        <v>0.92500000000000004</v>
      </c>
      <c r="BW123" s="292">
        <v>0.92500000000000004</v>
      </c>
      <c r="BX123" s="201">
        <v>0.92500000000000004</v>
      </c>
      <c r="BY123" s="201">
        <v>0.92500000000000004</v>
      </c>
      <c r="BZ123" s="293">
        <v>0.92500000000000004</v>
      </c>
    </row>
    <row r="124" spans="1:79" s="81" customFormat="1">
      <c r="C124" s="230" t="s">
        <v>163</v>
      </c>
      <c r="D124" s="316"/>
      <c r="E124" s="176"/>
      <c r="F124" s="103"/>
      <c r="G124" s="103"/>
      <c r="H124" s="131"/>
      <c r="J124" s="176"/>
      <c r="K124" s="103"/>
      <c r="L124" s="103"/>
      <c r="M124" s="131"/>
      <c r="O124" s="176"/>
      <c r="P124" s="103"/>
      <c r="Q124" s="103"/>
      <c r="R124" s="131"/>
      <c r="S124" s="103"/>
      <c r="T124" s="176">
        <f t="shared" ref="T124:AB124" si="126">T123*T121</f>
        <v>0</v>
      </c>
      <c r="U124" s="103">
        <f t="shared" si="126"/>
        <v>0</v>
      </c>
      <c r="V124" s="103">
        <f t="shared" si="126"/>
        <v>0</v>
      </c>
      <c r="W124" s="131">
        <f t="shared" si="126"/>
        <v>0</v>
      </c>
      <c r="X124" s="103"/>
      <c r="Y124" s="176">
        <f t="shared" si="126"/>
        <v>0</v>
      </c>
      <c r="Z124" s="103">
        <f t="shared" si="126"/>
        <v>0</v>
      </c>
      <c r="AA124" s="103">
        <f t="shared" si="126"/>
        <v>0</v>
      </c>
      <c r="AB124" s="131">
        <f t="shared" si="126"/>
        <v>0</v>
      </c>
      <c r="AD124" s="176">
        <f>AD123*AD121</f>
        <v>98833.475000000006</v>
      </c>
      <c r="AE124" s="103">
        <f>AE123*AE121</f>
        <v>207570</v>
      </c>
      <c r="AF124" s="103">
        <f>AF123*AF121</f>
        <v>321257.125</v>
      </c>
      <c r="AG124" s="131">
        <f>AG123*AG121</f>
        <v>448237.42500000005</v>
      </c>
      <c r="AI124" s="176">
        <f>AI123*AI121</f>
        <v>486487.10000000003</v>
      </c>
      <c r="AJ124" s="103">
        <f>AJ123*AJ121</f>
        <v>524327</v>
      </c>
      <c r="AK124" s="103">
        <f>AK123*AK121</f>
        <v>567358.92500000005</v>
      </c>
      <c r="AL124" s="131">
        <f>AL123*AL121</f>
        <v>613882.72499999998</v>
      </c>
      <c r="AN124" s="176">
        <f>AN123*AN121</f>
        <v>663148.22499999998</v>
      </c>
      <c r="AO124" s="103">
        <f>AO123*AO121</f>
        <v>720821.97499999998</v>
      </c>
      <c r="AP124" s="103">
        <f>AP123*AP121</f>
        <v>784319.52500000002</v>
      </c>
      <c r="AQ124" s="131">
        <f>AQ123*AQ121</f>
        <v>849578.27500000002</v>
      </c>
      <c r="AS124" s="176">
        <f>AS123*AS121</f>
        <v>923082.47500000009</v>
      </c>
      <c r="AT124" s="103">
        <f>AT123*AT121</f>
        <v>1018202.0750000001</v>
      </c>
      <c r="AU124" s="103">
        <f>AU123*AU121</f>
        <v>1137106.2</v>
      </c>
      <c r="AV124" s="131">
        <f>AV123*AV121</f>
        <v>1277792.2250000001</v>
      </c>
      <c r="AX124" s="176">
        <f>AX123*AX121</f>
        <v>1435979.25</v>
      </c>
      <c r="AY124" s="103">
        <f>AY123*AY121</f>
        <v>1592410.625</v>
      </c>
      <c r="AZ124" s="103">
        <f>AZ123*AZ121</f>
        <v>1742219.925</v>
      </c>
      <c r="BA124" s="131">
        <f>BA123*BA121</f>
        <v>1884476.6</v>
      </c>
      <c r="BC124" s="176">
        <f>BC123*BC121</f>
        <v>1992993.9000000001</v>
      </c>
      <c r="BD124" s="103">
        <f>BD123*BD121</f>
        <v>2096997.2000000002</v>
      </c>
      <c r="BE124" s="103">
        <f>BE123*BE121</f>
        <v>2185318.0500000003</v>
      </c>
      <c r="BF124" s="131">
        <f>BF123*BF121</f>
        <v>2259013.7250000001</v>
      </c>
      <c r="BH124" s="176">
        <f>BH123*BH121</f>
        <v>2323815.5249999999</v>
      </c>
      <c r="BI124" s="103">
        <f>BI123*BI121</f>
        <v>2383175.5500000003</v>
      </c>
      <c r="BJ124" s="103">
        <f>BJ123*BJ121</f>
        <v>2437100.2749999999</v>
      </c>
      <c r="BK124" s="131">
        <f>BK123*BK121</f>
        <v>2485204.9</v>
      </c>
      <c r="BM124" s="176">
        <f>BM123*BM121</f>
        <v>2533467.7000000002</v>
      </c>
      <c r="BN124" s="103">
        <f>BN123*BN121</f>
        <v>2577866.7749999999</v>
      </c>
      <c r="BO124" s="103">
        <f>BO123*BO121</f>
        <v>2626282.2000000002</v>
      </c>
      <c r="BP124" s="131">
        <f>BP123*BP121</f>
        <v>2683710.8250000002</v>
      </c>
      <c r="BR124" s="176">
        <f>BR123*BR121</f>
        <v>2734325.9</v>
      </c>
      <c r="BS124" s="103">
        <f>BS123*BS121</f>
        <v>2796321.25</v>
      </c>
      <c r="BT124" s="103">
        <f>BT123*BT121</f>
        <v>2857616.375</v>
      </c>
      <c r="BU124" s="131">
        <f>BU123*BU121</f>
        <v>2906191.1341174999</v>
      </c>
      <c r="BW124" s="176">
        <f>BW123*BW121</f>
        <v>2947605.3451175001</v>
      </c>
      <c r="BX124" s="103">
        <f>BX123*BX121</f>
        <v>2991138.8791175</v>
      </c>
      <c r="BY124" s="103">
        <f>BY123*BY121</f>
        <v>3035592.0481175003</v>
      </c>
      <c r="BZ124" s="131">
        <f>BZ123*BZ121</f>
        <v>3080562.6021645507</v>
      </c>
    </row>
    <row r="125" spans="1:79" s="81" customFormat="1">
      <c r="C125" s="230" t="s">
        <v>147</v>
      </c>
      <c r="D125" s="316"/>
      <c r="E125" s="176"/>
      <c r="F125" s="103"/>
      <c r="G125" s="103"/>
      <c r="H125" s="131"/>
      <c r="J125" s="176"/>
      <c r="K125" s="103"/>
      <c r="L125" s="103"/>
      <c r="M125" s="131"/>
      <c r="O125" s="176"/>
      <c r="P125" s="103"/>
      <c r="Q125" s="103"/>
      <c r="R125" s="131"/>
      <c r="S125" s="103"/>
      <c r="T125" s="176">
        <f t="shared" ref="T125:AB125" si="127">T121-T124</f>
        <v>0</v>
      </c>
      <c r="U125" s="103">
        <f t="shared" si="127"/>
        <v>0</v>
      </c>
      <c r="V125" s="103">
        <f t="shared" si="127"/>
        <v>0</v>
      </c>
      <c r="W125" s="131">
        <f t="shared" si="127"/>
        <v>0</v>
      </c>
      <c r="X125" s="103"/>
      <c r="Y125" s="176">
        <f t="shared" si="127"/>
        <v>0</v>
      </c>
      <c r="Z125" s="103">
        <f t="shared" si="127"/>
        <v>0</v>
      </c>
      <c r="AA125" s="103">
        <f t="shared" si="127"/>
        <v>0</v>
      </c>
      <c r="AB125" s="131">
        <f t="shared" si="127"/>
        <v>0</v>
      </c>
      <c r="AD125" s="176">
        <f>AD121-AD124</f>
        <v>8013.5249999999942</v>
      </c>
      <c r="AE125" s="103">
        <f>AE121-AE124</f>
        <v>16830</v>
      </c>
      <c r="AF125" s="103">
        <f>AF121-AF124</f>
        <v>26047.875</v>
      </c>
      <c r="AG125" s="131">
        <f>AG121-AG124</f>
        <v>36343.574999999953</v>
      </c>
      <c r="AI125" s="176">
        <f>AI121-AI124</f>
        <v>39444.899999999965</v>
      </c>
      <c r="AJ125" s="103">
        <f>AJ121-AJ124</f>
        <v>42513</v>
      </c>
      <c r="AK125" s="103">
        <f>AK121-AK124</f>
        <v>46002.074999999953</v>
      </c>
      <c r="AL125" s="131">
        <f>AL121-AL124</f>
        <v>49774.275000000023</v>
      </c>
      <c r="AN125" s="176">
        <f>AN121-AN124</f>
        <v>53768.775000000023</v>
      </c>
      <c r="AO125" s="103">
        <f>AO121-AO124</f>
        <v>58445.025000000023</v>
      </c>
      <c r="AP125" s="103">
        <f>AP121-AP124</f>
        <v>63593.474999999977</v>
      </c>
      <c r="AQ125" s="131">
        <f>AQ121-AQ124</f>
        <v>68884.724999999977</v>
      </c>
      <c r="AS125" s="176">
        <f>AS121-AS124</f>
        <v>74844.524999999907</v>
      </c>
      <c r="AT125" s="103">
        <f>AT121-AT124</f>
        <v>82556.92499999993</v>
      </c>
      <c r="AU125" s="103">
        <f>AU121-AU124</f>
        <v>92197.800000000047</v>
      </c>
      <c r="AV125" s="131">
        <f>AV121-AV124</f>
        <v>103604.77499999991</v>
      </c>
      <c r="AX125" s="176">
        <f>AX121-AX124</f>
        <v>116430.75</v>
      </c>
      <c r="AY125" s="103">
        <f>AY121-AY124</f>
        <v>129114.375</v>
      </c>
      <c r="AZ125" s="103">
        <f>AZ121-AZ124</f>
        <v>141261.07499999995</v>
      </c>
      <c r="BA125" s="131">
        <f>BA121-BA124</f>
        <v>152795.39999999991</v>
      </c>
      <c r="BC125" s="176">
        <f>BC121-BC124</f>
        <v>161594.09999999986</v>
      </c>
      <c r="BD125" s="103">
        <f>BD121-BD124</f>
        <v>170026.79999999981</v>
      </c>
      <c r="BE125" s="103">
        <f>BE121-BE124</f>
        <v>177187.94999999972</v>
      </c>
      <c r="BF125" s="131">
        <f>BF121-BF124</f>
        <v>183163.27499999991</v>
      </c>
      <c r="BH125" s="176">
        <f>BH121-BH124</f>
        <v>188417.47500000009</v>
      </c>
      <c r="BI125" s="103">
        <f>BI121-BI124</f>
        <v>193230.44999999972</v>
      </c>
      <c r="BJ125" s="103">
        <f>BJ121-BJ124</f>
        <v>197602.72500000009</v>
      </c>
      <c r="BK125" s="131">
        <f>BK121-BK124</f>
        <v>201503.10000000009</v>
      </c>
      <c r="BM125" s="176">
        <f>BM121-BM124</f>
        <v>205416.29999999981</v>
      </c>
      <c r="BN125" s="103">
        <f>BN121-BN124</f>
        <v>209016.22500000009</v>
      </c>
      <c r="BO125" s="103">
        <f>BO121-BO124</f>
        <v>212941.79999999981</v>
      </c>
      <c r="BP125" s="131">
        <f>BP121-BP124</f>
        <v>217598.17499999981</v>
      </c>
      <c r="BR125" s="176">
        <f>BR121-BR124</f>
        <v>221702.10000000009</v>
      </c>
      <c r="BS125" s="103">
        <f>BS121-BS124</f>
        <v>226728.75</v>
      </c>
      <c r="BT125" s="103">
        <f>BT121-BT124</f>
        <v>231698.625</v>
      </c>
      <c r="BU125" s="131">
        <f>BU121-BU124</f>
        <v>235637.11898249993</v>
      </c>
      <c r="BW125" s="176">
        <f>BW121-BW124</f>
        <v>238995.02798249992</v>
      </c>
      <c r="BX125" s="103">
        <f>BX121-BX124</f>
        <v>242524.77398249973</v>
      </c>
      <c r="BY125" s="103">
        <f>BY121-BY124</f>
        <v>246129.08498249995</v>
      </c>
      <c r="BZ125" s="131">
        <f>BZ121-BZ124</f>
        <v>249775.34612144995</v>
      </c>
    </row>
    <row r="126" spans="1:79" s="81" customFormat="1" ht="13.15" thickBot="1">
      <c r="C126" s="231" t="s">
        <v>205</v>
      </c>
      <c r="D126" s="406"/>
      <c r="E126" s="175"/>
      <c r="F126" s="353"/>
      <c r="G126" s="353"/>
      <c r="H126" s="174"/>
      <c r="I126" s="407"/>
      <c r="J126" s="175"/>
      <c r="K126" s="353"/>
      <c r="L126" s="353"/>
      <c r="M126" s="174"/>
      <c r="N126" s="407"/>
      <c r="O126" s="175"/>
      <c r="P126" s="353"/>
      <c r="Q126" s="353"/>
      <c r="R126" s="174"/>
      <c r="S126" s="75"/>
      <c r="T126" s="175">
        <f>T122+O125</f>
        <v>0</v>
      </c>
      <c r="U126" s="203">
        <f>U122+P125</f>
        <v>0</v>
      </c>
      <c r="V126" s="203">
        <f>V122+Q125</f>
        <v>0</v>
      </c>
      <c r="W126" s="174">
        <f>W122+R125</f>
        <v>0</v>
      </c>
      <c r="X126" s="103"/>
      <c r="Y126" s="175">
        <f>Y122+T125</f>
        <v>0</v>
      </c>
      <c r="Z126" s="203">
        <f>Z122+U125</f>
        <v>0</v>
      </c>
      <c r="AA126" s="203">
        <f>AA122+V125</f>
        <v>0</v>
      </c>
      <c r="AB126" s="174">
        <f>AB122+W125</f>
        <v>0</v>
      </c>
      <c r="AD126" s="175">
        <f>AD122+Y125</f>
        <v>106847</v>
      </c>
      <c r="AE126" s="203">
        <f>AE122+Z125</f>
        <v>224400</v>
      </c>
      <c r="AF126" s="203">
        <f>AF122+AA125</f>
        <v>347305</v>
      </c>
      <c r="AG126" s="174">
        <f>AG122+AB125</f>
        <v>484581</v>
      </c>
      <c r="AI126" s="175">
        <f>AI122+AD125</f>
        <v>427098.52500000002</v>
      </c>
      <c r="AJ126" s="203">
        <f>AJ122+AE125</f>
        <v>359270</v>
      </c>
      <c r="AK126" s="203">
        <f>AK122+AF125</f>
        <v>292103.875</v>
      </c>
      <c r="AL126" s="174">
        <f>AL122+AG125</f>
        <v>215419.57499999995</v>
      </c>
      <c r="AN126" s="175">
        <f>AN122+AI125</f>
        <v>230429.89999999997</v>
      </c>
      <c r="AO126" s="203">
        <f>AO122+AJ125</f>
        <v>254940</v>
      </c>
      <c r="AP126" s="203">
        <f>AP122+AK125</f>
        <v>280554.07499999995</v>
      </c>
      <c r="AQ126" s="174">
        <f>AQ122+AL125</f>
        <v>304580.27500000002</v>
      </c>
      <c r="AS126" s="175">
        <f>AS122+AN125</f>
        <v>334778.77500000002</v>
      </c>
      <c r="AT126" s="203">
        <f>AT122+AO125</f>
        <v>379937.02500000002</v>
      </c>
      <c r="AU126" s="203">
        <f>AU122+AP125</f>
        <v>444984.47499999998</v>
      </c>
      <c r="AV126" s="174">
        <f>AV122+AQ125</f>
        <v>531818.72499999998</v>
      </c>
      <c r="AX126" s="175">
        <f>AX122+AS125</f>
        <v>629327.52499999991</v>
      </c>
      <c r="AY126" s="203">
        <f>AY122+AT125</f>
        <v>703322.92499999993</v>
      </c>
      <c r="AZ126" s="203">
        <f>AZ122+AU125</f>
        <v>746374.8</v>
      </c>
      <c r="BA126" s="174">
        <f>BA122+AV125</f>
        <v>759479.77499999991</v>
      </c>
      <c r="BC126" s="175">
        <f>BC122+AX125</f>
        <v>718608.75</v>
      </c>
      <c r="BD126" s="203">
        <f>BD122+AY125</f>
        <v>674613.375</v>
      </c>
      <c r="BE126" s="203">
        <f>BE122+AZ125</f>
        <v>620286.07499999995</v>
      </c>
      <c r="BF126" s="174">
        <f>BF122+BA125</f>
        <v>557700.39999999991</v>
      </c>
      <c r="BH126" s="175">
        <f>BH122+BC125</f>
        <v>519239.09999999986</v>
      </c>
      <c r="BI126" s="203">
        <f>BI122+BD125</f>
        <v>479408.79999999981</v>
      </c>
      <c r="BJ126" s="203">
        <f>BJ122+BE125</f>
        <v>449384.94999999972</v>
      </c>
      <c r="BK126" s="174">
        <f>BK122+BF125</f>
        <v>427694.27499999991</v>
      </c>
      <c r="BM126" s="175">
        <f>BM122+BH125</f>
        <v>415068.47500000009</v>
      </c>
      <c r="BN126" s="203">
        <f>BN122+BI125</f>
        <v>403707.44999999972</v>
      </c>
      <c r="BO126" s="203">
        <f>BO122+BJ125</f>
        <v>402123.72500000009</v>
      </c>
      <c r="BP126" s="174">
        <f>BP122+BK125</f>
        <v>416104.10000000009</v>
      </c>
      <c r="BR126" s="175">
        <f>BR122+BM125</f>
        <v>422560.29999999981</v>
      </c>
      <c r="BS126" s="203">
        <f>BS122+BN125</f>
        <v>445183.22500000009</v>
      </c>
      <c r="BT126" s="203">
        <f>BT122+BO125</f>
        <v>463032.79999999981</v>
      </c>
      <c r="BU126" s="174">
        <f>BU122+BP125</f>
        <v>458117.42809999967</v>
      </c>
      <c r="BW126" s="175">
        <f>BW122+BR125</f>
        <v>452274.47310000006</v>
      </c>
      <c r="BX126" s="203">
        <f>BX122+BS125</f>
        <v>437342.40309999976</v>
      </c>
      <c r="BY126" s="203">
        <f>BY122+BT125</f>
        <v>424104.75810000021</v>
      </c>
      <c r="BZ126" s="174">
        <f>BZ122+BU125</f>
        <v>424146.81416850071</v>
      </c>
    </row>
    <row r="127" spans="1:79" s="81" customFormat="1" ht="13.15" thickBot="1">
      <c r="C127" s="230"/>
      <c r="D127" s="316"/>
      <c r="E127" s="92"/>
      <c r="H127" s="137"/>
      <c r="J127" s="92"/>
      <c r="M127" s="137"/>
      <c r="O127" s="92"/>
      <c r="R127" s="137"/>
      <c r="S127" s="75"/>
      <c r="T127" s="187"/>
      <c r="U127" s="184"/>
      <c r="V127" s="184"/>
      <c r="W127" s="186"/>
      <c r="Y127" s="92"/>
      <c r="AB127" s="137"/>
      <c r="AD127" s="92"/>
      <c r="AG127" s="137"/>
      <c r="AI127" s="92"/>
      <c r="AL127" s="137"/>
      <c r="AN127" s="92"/>
      <c r="AQ127" s="137"/>
      <c r="AS127" s="92"/>
      <c r="AV127" s="137"/>
      <c r="AX127" s="92"/>
      <c r="BA127" s="137"/>
      <c r="BC127" s="92"/>
      <c r="BF127" s="137"/>
      <c r="BH127" s="92"/>
      <c r="BK127" s="137"/>
      <c r="BM127" s="92"/>
      <c r="BP127" s="137"/>
      <c r="BR127" s="92"/>
      <c r="BU127" s="137"/>
      <c r="BW127" s="92"/>
      <c r="BZ127" s="137"/>
    </row>
    <row r="128" spans="1:79" s="81" customFormat="1">
      <c r="C128" s="229" t="s">
        <v>148</v>
      </c>
      <c r="D128" s="316"/>
      <c r="E128" s="181"/>
      <c r="F128" s="178"/>
      <c r="G128" s="178"/>
      <c r="H128" s="177"/>
      <c r="I128" s="72"/>
      <c r="J128" s="181"/>
      <c r="K128" s="178"/>
      <c r="L128" s="178"/>
      <c r="M128" s="177"/>
      <c r="N128" s="72"/>
      <c r="O128" s="181"/>
      <c r="P128" s="178"/>
      <c r="Q128" s="178"/>
      <c r="R128" s="177"/>
      <c r="S128" s="72"/>
      <c r="T128" s="181">
        <f>BS!T30</f>
        <v>0</v>
      </c>
      <c r="U128" s="178">
        <f>BS!U30</f>
        <v>0</v>
      </c>
      <c r="V128" s="178">
        <f>BS!V30</f>
        <v>0</v>
      </c>
      <c r="W128" s="177">
        <f>BS!W30</f>
        <v>0</v>
      </c>
      <c r="X128" s="72"/>
      <c r="Y128" s="181">
        <f>BS!Y30</f>
        <v>0</v>
      </c>
      <c r="Z128" s="178">
        <f>BS!Z30</f>
        <v>0</v>
      </c>
      <c r="AA128" s="178">
        <f>BS!AA30</f>
        <v>0</v>
      </c>
      <c r="AB128" s="177">
        <f>BS!AB30</f>
        <v>0</v>
      </c>
      <c r="AC128" s="72"/>
      <c r="AD128" s="181">
        <f>BS!AD30</f>
        <v>0</v>
      </c>
      <c r="AE128" s="178">
        <f>BS!AE30</f>
        <v>0</v>
      </c>
      <c r="AF128" s="178">
        <f>BS!AF30</f>
        <v>0</v>
      </c>
      <c r="AG128" s="177">
        <f>BS!AG30</f>
        <v>270188</v>
      </c>
      <c r="AH128" s="72"/>
      <c r="AI128" s="181">
        <f>BS!AI30</f>
        <v>282470</v>
      </c>
      <c r="AJ128" s="178">
        <f>BS!AJ30</f>
        <v>289724</v>
      </c>
      <c r="AK128" s="178">
        <f>BS!AK30</f>
        <v>316619</v>
      </c>
      <c r="AL128" s="177">
        <f>BS!AL30</f>
        <v>381060</v>
      </c>
      <c r="AM128" s="72"/>
      <c r="AN128" s="181">
        <f>BS!AN30</f>
        <v>385460</v>
      </c>
      <c r="AO128" s="178">
        <f>BS!AO30</f>
        <v>402734</v>
      </c>
      <c r="AP128" s="178">
        <f>BS!AP30</f>
        <v>423742</v>
      </c>
      <c r="AQ128" s="177">
        <f>BS!AQ30</f>
        <v>507560</v>
      </c>
      <c r="AR128" s="72"/>
      <c r="AS128" s="181">
        <f>BS!AS30</f>
        <v>552345</v>
      </c>
      <c r="AT128" s="178">
        <f>BS!AT30</f>
        <v>624031</v>
      </c>
      <c r="AU128" s="178">
        <f>BS!AU30</f>
        <v>686185</v>
      </c>
      <c r="AV128" s="177">
        <f>BS!AV30</f>
        <v>779642</v>
      </c>
      <c r="AX128" s="181">
        <f>BS!AX30</f>
        <v>829844</v>
      </c>
      <c r="AY128" s="178">
        <f>BS!AY30</f>
        <v>914619</v>
      </c>
      <c r="AZ128" s="178">
        <f>BS!AZ30</f>
        <v>940111</v>
      </c>
      <c r="BA128" s="177">
        <f>BS!BA30</f>
        <v>1029891</v>
      </c>
      <c r="BC128" s="181">
        <f>BS!BC30</f>
        <v>1049534</v>
      </c>
      <c r="BD128" s="178">
        <f>BS!BD30</f>
        <v>1073800</v>
      </c>
      <c r="BE128" s="178">
        <f>BS!BE30</f>
        <v>1088197</v>
      </c>
      <c r="BF128" s="177">
        <f>BS!BF30</f>
        <v>1172867</v>
      </c>
      <c r="BH128" s="181">
        <f>BS!BH30</f>
        <v>1190364</v>
      </c>
      <c r="BI128" s="178">
        <f>BS!BI30</f>
        <v>1208411</v>
      </c>
      <c r="BJ128" s="178">
        <f>BS!BJ30</f>
        <v>1204599</v>
      </c>
      <c r="BK128" s="177">
        <f>BS!BK30</f>
        <v>1320059</v>
      </c>
      <c r="BM128" s="181">
        <f>BS!BM30</f>
        <v>1313227</v>
      </c>
      <c r="BN128" s="178">
        <f>BS!BN30</f>
        <v>1307565</v>
      </c>
      <c r="BO128" s="178">
        <f>BS!BO30</f>
        <v>1307749</v>
      </c>
      <c r="BP128" s="177">
        <f>BS!BP30</f>
        <v>1455442</v>
      </c>
      <c r="BR128" s="181">
        <f>BS!BR30</f>
        <v>1422878</v>
      </c>
      <c r="BS128" s="178">
        <f>BS!BS30</f>
        <v>1436033</v>
      </c>
      <c r="BT128" s="178">
        <f>BS!BT30</f>
        <v>1444599</v>
      </c>
      <c r="BU128" s="177">
        <f>BS!BU30</f>
        <v>1604792.275414</v>
      </c>
      <c r="BW128" s="181">
        <f>BS!BW30</f>
        <v>1572347.166</v>
      </c>
      <c r="BX128" s="178">
        <f>BS!BX30</f>
        <v>1590009.0976</v>
      </c>
      <c r="BY128" s="178">
        <f>BS!BY30</f>
        <v>1581706.4052000002</v>
      </c>
      <c r="BZ128" s="177">
        <f>BS!BZ30</f>
        <v>1738856.9396011401</v>
      </c>
    </row>
    <row r="129" spans="3:78" s="81" customFormat="1">
      <c r="C129" s="230" t="s">
        <v>151</v>
      </c>
      <c r="D129" s="316"/>
      <c r="E129" s="74"/>
      <c r="F129" s="72"/>
      <c r="G129" s="72"/>
      <c r="H129" s="77"/>
      <c r="I129" s="75"/>
      <c r="J129" s="74"/>
      <c r="K129" s="72"/>
      <c r="L129" s="72"/>
      <c r="M129" s="77"/>
      <c r="O129" s="176"/>
      <c r="P129" s="103"/>
      <c r="Q129" s="103"/>
      <c r="R129" s="131"/>
      <c r="T129" s="176">
        <f t="shared" ref="T129:W130" si="128">T128-O128</f>
        <v>0</v>
      </c>
      <c r="U129" s="103">
        <f t="shared" si="128"/>
        <v>0</v>
      </c>
      <c r="V129" s="103">
        <f t="shared" si="128"/>
        <v>0</v>
      </c>
      <c r="W129" s="131">
        <f t="shared" si="128"/>
        <v>0</v>
      </c>
      <c r="X129" s="103"/>
      <c r="Y129" s="176"/>
      <c r="Z129" s="103"/>
      <c r="AA129" s="103"/>
      <c r="AB129" s="131">
        <f>AB128-W128</f>
        <v>0</v>
      </c>
      <c r="AD129" s="176">
        <f t="shared" ref="AD129:AG130" si="129">AD128-Y128</f>
        <v>0</v>
      </c>
      <c r="AE129" s="103">
        <f t="shared" si="129"/>
        <v>0</v>
      </c>
      <c r="AF129" s="103">
        <f t="shared" si="129"/>
        <v>0</v>
      </c>
      <c r="AG129" s="131">
        <f t="shared" si="129"/>
        <v>270188</v>
      </c>
      <c r="AI129" s="176">
        <f t="shared" ref="AI129:AL130" si="130">AI128-AD128</f>
        <v>282470</v>
      </c>
      <c r="AJ129" s="103">
        <f t="shared" si="130"/>
        <v>289724</v>
      </c>
      <c r="AK129" s="103">
        <f t="shared" si="130"/>
        <v>316619</v>
      </c>
      <c r="AL129" s="131">
        <f t="shared" si="130"/>
        <v>110872</v>
      </c>
      <c r="AN129" s="176">
        <f t="shared" ref="AN129:AQ130" si="131">AN128-AI128</f>
        <v>102990</v>
      </c>
      <c r="AO129" s="103">
        <f t="shared" si="131"/>
        <v>113010</v>
      </c>
      <c r="AP129" s="103">
        <f t="shared" si="131"/>
        <v>107123</v>
      </c>
      <c r="AQ129" s="131">
        <f t="shared" si="131"/>
        <v>126500</v>
      </c>
      <c r="AS129" s="176">
        <f t="shared" ref="AS129:AV130" si="132">AS128-AN128</f>
        <v>166885</v>
      </c>
      <c r="AT129" s="103">
        <f t="shared" si="132"/>
        <v>221297</v>
      </c>
      <c r="AU129" s="103">
        <f t="shared" si="132"/>
        <v>262443</v>
      </c>
      <c r="AV129" s="131">
        <f t="shared" si="132"/>
        <v>272082</v>
      </c>
      <c r="AX129" s="176">
        <f t="shared" ref="AX129:BA130" si="133">AX128-AS128</f>
        <v>277499</v>
      </c>
      <c r="AY129" s="103">
        <f t="shared" si="133"/>
        <v>290588</v>
      </c>
      <c r="AZ129" s="103">
        <f t="shared" si="133"/>
        <v>253926</v>
      </c>
      <c r="BA129" s="131">
        <f t="shared" si="133"/>
        <v>250249</v>
      </c>
      <c r="BC129" s="176">
        <f t="shared" ref="BC129:BF130" si="134">BC128-AX128</f>
        <v>219690</v>
      </c>
      <c r="BD129" s="103">
        <f t="shared" si="134"/>
        <v>159181</v>
      </c>
      <c r="BE129" s="103">
        <f t="shared" si="134"/>
        <v>148086</v>
      </c>
      <c r="BF129" s="131">
        <f t="shared" si="134"/>
        <v>142976</v>
      </c>
      <c r="BH129" s="176">
        <f t="shared" ref="BH129:BK130" si="135">BH128-BC128</f>
        <v>140830</v>
      </c>
      <c r="BI129" s="103">
        <f t="shared" si="135"/>
        <v>134611</v>
      </c>
      <c r="BJ129" s="103">
        <f t="shared" si="135"/>
        <v>116402</v>
      </c>
      <c r="BK129" s="131">
        <f t="shared" si="135"/>
        <v>147192</v>
      </c>
      <c r="BM129" s="176">
        <f t="shared" ref="BM129:BO130" si="136">BM128-BH128</f>
        <v>122863</v>
      </c>
      <c r="BN129" s="103">
        <f t="shared" si="136"/>
        <v>99154</v>
      </c>
      <c r="BO129" s="103">
        <f t="shared" si="136"/>
        <v>103150</v>
      </c>
      <c r="BP129" s="131">
        <f>BP128-BK128</f>
        <v>135383</v>
      </c>
      <c r="BR129" s="176">
        <f t="shared" ref="BR129:BU130" si="137">BR128-BM128</f>
        <v>109651</v>
      </c>
      <c r="BS129" s="103">
        <f t="shared" si="137"/>
        <v>128468</v>
      </c>
      <c r="BT129" s="103">
        <f t="shared" si="137"/>
        <v>136850</v>
      </c>
      <c r="BU129" s="131">
        <f t="shared" si="137"/>
        <v>149350.27541400003</v>
      </c>
      <c r="BW129" s="176">
        <f t="shared" ref="BW129:BZ130" si="138">BW128-BR128</f>
        <v>149469.16599999997</v>
      </c>
      <c r="BX129" s="103">
        <f t="shared" si="138"/>
        <v>153976.09759999998</v>
      </c>
      <c r="BY129" s="103">
        <f t="shared" si="138"/>
        <v>137107.40520000015</v>
      </c>
      <c r="BZ129" s="131">
        <f t="shared" si="138"/>
        <v>134064.66418714006</v>
      </c>
    </row>
    <row r="130" spans="3:78" s="81" customFormat="1" ht="13.15" thickBot="1">
      <c r="C130" s="231" t="s">
        <v>150</v>
      </c>
      <c r="D130" s="316"/>
      <c r="E130" s="334"/>
      <c r="F130" s="206"/>
      <c r="G130" s="206"/>
      <c r="H130" s="212"/>
      <c r="I130" s="75"/>
      <c r="J130" s="175"/>
      <c r="K130" s="203"/>
      <c r="L130" s="203"/>
      <c r="M130" s="174"/>
      <c r="O130" s="175"/>
      <c r="P130" s="203"/>
      <c r="Q130" s="203"/>
      <c r="R130" s="174"/>
      <c r="S130" s="103"/>
      <c r="T130" s="175">
        <f t="shared" si="128"/>
        <v>0</v>
      </c>
      <c r="U130" s="203">
        <f t="shared" si="128"/>
        <v>0</v>
      </c>
      <c r="V130" s="203">
        <f t="shared" si="128"/>
        <v>0</v>
      </c>
      <c r="W130" s="174">
        <f t="shared" si="128"/>
        <v>0</v>
      </c>
      <c r="X130" s="103"/>
      <c r="Y130" s="175"/>
      <c r="Z130" s="353"/>
      <c r="AA130" s="353"/>
      <c r="AB130" s="174">
        <f>AB129-W129</f>
        <v>0</v>
      </c>
      <c r="AD130" s="175">
        <f t="shared" si="129"/>
        <v>0</v>
      </c>
      <c r="AE130" s="203">
        <f t="shared" si="129"/>
        <v>0</v>
      </c>
      <c r="AF130" s="203">
        <f t="shared" si="129"/>
        <v>0</v>
      </c>
      <c r="AG130" s="174">
        <f t="shared" si="129"/>
        <v>270188</v>
      </c>
      <c r="AI130" s="175">
        <f t="shared" si="130"/>
        <v>282470</v>
      </c>
      <c r="AJ130" s="353">
        <f t="shared" si="130"/>
        <v>289724</v>
      </c>
      <c r="AK130" s="353">
        <f t="shared" si="130"/>
        <v>316619</v>
      </c>
      <c r="AL130" s="174">
        <f t="shared" si="130"/>
        <v>-159316</v>
      </c>
      <c r="AN130" s="175">
        <f t="shared" si="131"/>
        <v>-179480</v>
      </c>
      <c r="AO130" s="203">
        <f t="shared" si="131"/>
        <v>-176714</v>
      </c>
      <c r="AP130" s="203">
        <f t="shared" si="131"/>
        <v>-209496</v>
      </c>
      <c r="AQ130" s="174">
        <f t="shared" si="131"/>
        <v>15628</v>
      </c>
      <c r="AS130" s="175">
        <f t="shared" si="132"/>
        <v>63895</v>
      </c>
      <c r="AT130" s="203">
        <f t="shared" si="132"/>
        <v>108287</v>
      </c>
      <c r="AU130" s="203">
        <f t="shared" si="132"/>
        <v>155320</v>
      </c>
      <c r="AV130" s="174">
        <f t="shared" si="132"/>
        <v>145582</v>
      </c>
      <c r="AX130" s="175">
        <f t="shared" si="133"/>
        <v>110614</v>
      </c>
      <c r="AY130" s="203">
        <f t="shared" si="133"/>
        <v>69291</v>
      </c>
      <c r="AZ130" s="203">
        <f t="shared" si="133"/>
        <v>-8517</v>
      </c>
      <c r="BA130" s="174">
        <f t="shared" si="133"/>
        <v>-21833</v>
      </c>
      <c r="BC130" s="175">
        <f t="shared" si="134"/>
        <v>-57809</v>
      </c>
      <c r="BD130" s="203">
        <f t="shared" si="134"/>
        <v>-131407</v>
      </c>
      <c r="BE130" s="203">
        <f t="shared" si="134"/>
        <v>-105840</v>
      </c>
      <c r="BF130" s="174">
        <f t="shared" si="134"/>
        <v>-107273</v>
      </c>
      <c r="BH130" s="175">
        <f t="shared" si="135"/>
        <v>-78860</v>
      </c>
      <c r="BI130" s="203">
        <f t="shared" si="135"/>
        <v>-24570</v>
      </c>
      <c r="BJ130" s="203">
        <f t="shared" si="135"/>
        <v>-31684</v>
      </c>
      <c r="BK130" s="174">
        <f t="shared" si="135"/>
        <v>4216</v>
      </c>
      <c r="BM130" s="175">
        <f t="shared" si="136"/>
        <v>-17967</v>
      </c>
      <c r="BN130" s="203">
        <f t="shared" si="136"/>
        <v>-35457</v>
      </c>
      <c r="BO130" s="203">
        <f t="shared" si="136"/>
        <v>-13252</v>
      </c>
      <c r="BP130" s="174">
        <f>BP129-BK129</f>
        <v>-11809</v>
      </c>
      <c r="BR130" s="175">
        <f t="shared" si="137"/>
        <v>-13212</v>
      </c>
      <c r="BS130" s="203">
        <f t="shared" si="137"/>
        <v>29314</v>
      </c>
      <c r="BT130" s="203">
        <f t="shared" si="137"/>
        <v>33700</v>
      </c>
      <c r="BU130" s="174">
        <f t="shared" si="137"/>
        <v>13967.275414000032</v>
      </c>
      <c r="BW130" s="175">
        <f t="shared" si="138"/>
        <v>39818.165999999968</v>
      </c>
      <c r="BX130" s="203">
        <f t="shared" si="138"/>
        <v>25508.097599999979</v>
      </c>
      <c r="BY130" s="203">
        <f t="shared" si="138"/>
        <v>257.40520000015385</v>
      </c>
      <c r="BZ130" s="174">
        <f t="shared" si="138"/>
        <v>-15285.611226859968</v>
      </c>
    </row>
    <row r="131" spans="3:78" s="81" customFormat="1">
      <c r="C131" s="232" t="s">
        <v>161</v>
      </c>
      <c r="D131" s="317"/>
      <c r="E131" s="187"/>
      <c r="F131" s="184"/>
      <c r="G131" s="184"/>
      <c r="H131" s="186"/>
      <c r="J131" s="197"/>
      <c r="K131" s="198"/>
      <c r="L131" s="198"/>
      <c r="M131" s="199"/>
      <c r="O131" s="197"/>
      <c r="P131" s="198"/>
      <c r="Q131" s="198"/>
      <c r="R131" s="199"/>
      <c r="T131" s="197">
        <f>T130+T126</f>
        <v>0</v>
      </c>
      <c r="U131" s="198">
        <f>U130+U126</f>
        <v>0</v>
      </c>
      <c r="V131" s="198">
        <f>V130+V126</f>
        <v>0</v>
      </c>
      <c r="W131" s="199">
        <f>W130+W126</f>
        <v>0</v>
      </c>
      <c r="X131" s="103"/>
      <c r="Y131" s="176">
        <f>Y130+Y126</f>
        <v>0</v>
      </c>
      <c r="Z131" s="103">
        <f>Z130+Z126</f>
        <v>0</v>
      </c>
      <c r="AA131" s="103">
        <f>AA130+AA126</f>
        <v>0</v>
      </c>
      <c r="AB131" s="131">
        <f>AB130+AB126</f>
        <v>0</v>
      </c>
      <c r="AD131" s="176">
        <f>AD130+AD126</f>
        <v>106847</v>
      </c>
      <c r="AE131" s="103">
        <f>AE130+AE126</f>
        <v>224400</v>
      </c>
      <c r="AF131" s="103">
        <f>AF130+AF126</f>
        <v>347305</v>
      </c>
      <c r="AG131" s="131">
        <f>AG130+AG126</f>
        <v>754769</v>
      </c>
      <c r="AI131" s="176">
        <f>AI130+AI126</f>
        <v>709568.52500000002</v>
      </c>
      <c r="AJ131" s="103">
        <f>AJ130+AJ126</f>
        <v>648994</v>
      </c>
      <c r="AK131" s="103">
        <f>AK130+AK126</f>
        <v>608722.875</v>
      </c>
      <c r="AL131" s="131">
        <f>AL130+AL126</f>
        <v>56103.574999999953</v>
      </c>
      <c r="AN131" s="176">
        <f>AN130+AN126</f>
        <v>50949.899999999965</v>
      </c>
      <c r="AO131" s="103">
        <f>AO130+AO126</f>
        <v>78226</v>
      </c>
      <c r="AP131" s="103">
        <f>AP130+AP126</f>
        <v>71058.074999999953</v>
      </c>
      <c r="AQ131" s="131">
        <f>AQ130+AQ126</f>
        <v>320208.27500000002</v>
      </c>
      <c r="AS131" s="176">
        <f>AS130+AS126</f>
        <v>398673.77500000002</v>
      </c>
      <c r="AT131" s="103">
        <f>AT130+AT126</f>
        <v>488224.02500000002</v>
      </c>
      <c r="AU131" s="103">
        <f>AU130+AU126</f>
        <v>600304.47499999998</v>
      </c>
      <c r="AV131" s="131">
        <f>AV130+AV126</f>
        <v>677400.72499999998</v>
      </c>
      <c r="AX131" s="176">
        <f>AX130+AX126</f>
        <v>739941.52499999991</v>
      </c>
      <c r="AY131" s="103">
        <f>AY130+AY126</f>
        <v>772613.92499999993</v>
      </c>
      <c r="AZ131" s="103">
        <f>AZ130+AZ126</f>
        <v>737857.8</v>
      </c>
      <c r="BA131" s="131">
        <f>BA130+BA126</f>
        <v>737646.77499999991</v>
      </c>
      <c r="BC131" s="176">
        <f>BC130+BC126</f>
        <v>660799.75</v>
      </c>
      <c r="BD131" s="103">
        <f>BD130+BD126</f>
        <v>543206.375</v>
      </c>
      <c r="BE131" s="103">
        <f>BE130+BE126</f>
        <v>514446.07499999995</v>
      </c>
      <c r="BF131" s="131">
        <f>BF130+BF126</f>
        <v>450427.39999999991</v>
      </c>
      <c r="BH131" s="176">
        <f>BH130+BH126</f>
        <v>440379.09999999986</v>
      </c>
      <c r="BI131" s="103">
        <f>BI130+BI126</f>
        <v>454838.79999999981</v>
      </c>
      <c r="BJ131" s="103">
        <f>BJ130+BJ126</f>
        <v>417700.94999999972</v>
      </c>
      <c r="BK131" s="131">
        <f>BK130+BK126</f>
        <v>431910.27499999991</v>
      </c>
      <c r="BM131" s="176">
        <f>BM130+BM126</f>
        <v>397101.47500000009</v>
      </c>
      <c r="BN131" s="103">
        <f>BN130+BN126</f>
        <v>368250.44999999972</v>
      </c>
      <c r="BO131" s="103">
        <f>BO130+BO126</f>
        <v>388871.72500000009</v>
      </c>
      <c r="BP131" s="131">
        <f>BP130+BP126</f>
        <v>404295.10000000009</v>
      </c>
      <c r="BR131" s="176">
        <f>BR130+BR126</f>
        <v>409348.29999999981</v>
      </c>
      <c r="BS131" s="103">
        <f>BS130+BS126</f>
        <v>474497.22500000009</v>
      </c>
      <c r="BT131" s="103">
        <f>BT130+BT126</f>
        <v>496732.79999999981</v>
      </c>
      <c r="BU131" s="131">
        <f>BU130+BU126</f>
        <v>472084.7035139997</v>
      </c>
      <c r="BW131" s="176">
        <f>BW130+BW126</f>
        <v>492092.63910000003</v>
      </c>
      <c r="BX131" s="103">
        <f>BX130+BX126</f>
        <v>462850.50069999974</v>
      </c>
      <c r="BY131" s="103">
        <f>BY130+BY126</f>
        <v>424362.16330000036</v>
      </c>
      <c r="BZ131" s="131">
        <f>BZ130+BZ126</f>
        <v>408861.20294164075</v>
      </c>
    </row>
    <row r="132" spans="3:78" s="81" customFormat="1" ht="13.15" thickBot="1">
      <c r="C132" s="232" t="s">
        <v>162</v>
      </c>
      <c r="D132" s="317"/>
      <c r="E132" s="92"/>
      <c r="H132" s="137"/>
      <c r="J132" s="176"/>
      <c r="K132" s="103"/>
      <c r="L132" s="103"/>
      <c r="M132" s="131"/>
      <c r="O132" s="176"/>
      <c r="P132" s="103"/>
      <c r="Q132" s="103"/>
      <c r="R132" s="131"/>
      <c r="T132" s="176">
        <f>T131-O125</f>
        <v>0</v>
      </c>
      <c r="U132" s="103">
        <f>U131-P125</f>
        <v>0</v>
      </c>
      <c r="V132" s="103">
        <f>V131-Q125</f>
        <v>0</v>
      </c>
      <c r="W132" s="131">
        <f>W131-R125</f>
        <v>0</v>
      </c>
      <c r="X132" s="103"/>
      <c r="Y132" s="176">
        <f>Y131-T125</f>
        <v>0</v>
      </c>
      <c r="Z132" s="103">
        <f>Z131-U125</f>
        <v>0</v>
      </c>
      <c r="AA132" s="103">
        <f>AA131-V125</f>
        <v>0</v>
      </c>
      <c r="AB132" s="131">
        <f>AB131-W125</f>
        <v>0</v>
      </c>
      <c r="AD132" s="176">
        <f>AD131-Y125</f>
        <v>106847</v>
      </c>
      <c r="AE132" s="103">
        <f>AE131-Z125</f>
        <v>224400</v>
      </c>
      <c r="AF132" s="103">
        <f>AF131-AA125</f>
        <v>347305</v>
      </c>
      <c r="AG132" s="131">
        <f>AG131-AB125</f>
        <v>754769</v>
      </c>
      <c r="AI132" s="176">
        <f>AI131-AD125</f>
        <v>701555</v>
      </c>
      <c r="AJ132" s="103">
        <f>AJ131-AE125</f>
        <v>632164</v>
      </c>
      <c r="AK132" s="103">
        <f>AK131-AF125</f>
        <v>582675</v>
      </c>
      <c r="AL132" s="131">
        <f>AL131-AG125</f>
        <v>19760</v>
      </c>
      <c r="AN132" s="176">
        <f>AN131-AI125</f>
        <v>11505</v>
      </c>
      <c r="AO132" s="103">
        <f>AO131-AJ125</f>
        <v>35713</v>
      </c>
      <c r="AP132" s="103">
        <f>AP131-AK125</f>
        <v>25056</v>
      </c>
      <c r="AQ132" s="131">
        <f>AQ131-AL125</f>
        <v>270434</v>
      </c>
      <c r="AS132" s="176">
        <f>AS131-AN125</f>
        <v>344905</v>
      </c>
      <c r="AT132" s="103">
        <f>AT131-AO125</f>
        <v>429779</v>
      </c>
      <c r="AU132" s="103">
        <f>AU131-AP125</f>
        <v>536711</v>
      </c>
      <c r="AV132" s="131">
        <f>AV131-AQ125</f>
        <v>608516</v>
      </c>
      <c r="AX132" s="176">
        <f>AX131-AS125</f>
        <v>665097</v>
      </c>
      <c r="AY132" s="103">
        <f>AY131-AT125</f>
        <v>690057</v>
      </c>
      <c r="AZ132" s="103">
        <f>AZ131-AU125</f>
        <v>645660</v>
      </c>
      <c r="BA132" s="131">
        <f>BA131-AV125</f>
        <v>634042</v>
      </c>
      <c r="BC132" s="176">
        <f>BC131-AX125</f>
        <v>544369</v>
      </c>
      <c r="BD132" s="103">
        <f>BD131-AY125</f>
        <v>414092</v>
      </c>
      <c r="BE132" s="103">
        <f>BE131-AZ125</f>
        <v>373185</v>
      </c>
      <c r="BF132" s="131">
        <f>BF131-BA125</f>
        <v>297632</v>
      </c>
      <c r="BH132" s="176">
        <f>BH131-BC125</f>
        <v>278785</v>
      </c>
      <c r="BI132" s="103">
        <f>BI131-BD125</f>
        <v>284812</v>
      </c>
      <c r="BJ132" s="103">
        <f>BJ131-BE125</f>
        <v>240513</v>
      </c>
      <c r="BK132" s="131">
        <f>BK131-BF125</f>
        <v>248747</v>
      </c>
      <c r="BM132" s="176">
        <f>BM131-BH125</f>
        <v>208684</v>
      </c>
      <c r="BN132" s="103">
        <f>BN131-BI125</f>
        <v>175020</v>
      </c>
      <c r="BO132" s="103">
        <f>BO131-BJ125</f>
        <v>191269</v>
      </c>
      <c r="BP132" s="131">
        <f>BP131-BK125</f>
        <v>202792</v>
      </c>
      <c r="BR132" s="176">
        <f>BR131-BM125</f>
        <v>203932</v>
      </c>
      <c r="BS132" s="103">
        <f>BS131-BN125</f>
        <v>265481</v>
      </c>
      <c r="BT132" s="103">
        <f>BT131-BO125</f>
        <v>283791</v>
      </c>
      <c r="BU132" s="131">
        <f>BU131-BP125</f>
        <v>254486.52851399989</v>
      </c>
      <c r="BW132" s="176">
        <f>BW131-BR125</f>
        <v>270390.53909999994</v>
      </c>
      <c r="BX132" s="103">
        <f>BX131-BS125</f>
        <v>236121.75069999974</v>
      </c>
      <c r="BY132" s="103">
        <f>BY131-BT125</f>
        <v>192663.53830000036</v>
      </c>
      <c r="BZ132" s="131">
        <f>BZ131-BU125</f>
        <v>173224.08395914081</v>
      </c>
    </row>
    <row r="133" spans="3:78" s="81" customFormat="1" ht="13.15" thickBot="1">
      <c r="C133" s="233" t="s">
        <v>152</v>
      </c>
      <c r="D133" s="316"/>
      <c r="E133" s="204"/>
      <c r="F133" s="335"/>
      <c r="G133" s="335"/>
      <c r="H133" s="205"/>
      <c r="J133" s="189"/>
      <c r="K133" s="188"/>
      <c r="L133" s="188"/>
      <c r="M133" s="190"/>
      <c r="O133" s="189"/>
      <c r="P133" s="188"/>
      <c r="Q133" s="188"/>
      <c r="R133" s="190"/>
      <c r="T133" s="189">
        <f>T130+T121</f>
        <v>0</v>
      </c>
      <c r="U133" s="188">
        <f>U130+U121</f>
        <v>0</v>
      </c>
      <c r="V133" s="188">
        <f>V130+V121</f>
        <v>0</v>
      </c>
      <c r="W133" s="190">
        <f>W130+W121</f>
        <v>0</v>
      </c>
      <c r="X133" s="103"/>
      <c r="Y133" s="208">
        <f>Y130+Y121</f>
        <v>0</v>
      </c>
      <c r="Z133" s="110">
        <f>Z130+Z121</f>
        <v>0</v>
      </c>
      <c r="AA133" s="110">
        <f>AA130+AA121</f>
        <v>0</v>
      </c>
      <c r="AB133" s="207">
        <f>AB130+AB121</f>
        <v>0</v>
      </c>
      <c r="AD133" s="208">
        <f>AD130+AD121</f>
        <v>106847</v>
      </c>
      <c r="AE133" s="110">
        <f>AE130+AE121</f>
        <v>224400</v>
      </c>
      <c r="AF133" s="110">
        <f>AF130+AF121</f>
        <v>347305</v>
      </c>
      <c r="AG133" s="207">
        <f>AG130+AG121</f>
        <v>754769</v>
      </c>
      <c r="AI133" s="208">
        <f>AI130+AI121</f>
        <v>808402</v>
      </c>
      <c r="AJ133" s="110">
        <f>AJ130+AJ121</f>
        <v>856564</v>
      </c>
      <c r="AK133" s="110">
        <f>AK130+AK121</f>
        <v>929980</v>
      </c>
      <c r="AL133" s="207">
        <f>AL130+AL121</f>
        <v>504341</v>
      </c>
      <c r="AN133" s="208">
        <f>AN130+AN121</f>
        <v>537437</v>
      </c>
      <c r="AO133" s="110">
        <f>AO130+AO121</f>
        <v>602553</v>
      </c>
      <c r="AP133" s="110">
        <f>AP130+AP121</f>
        <v>638417</v>
      </c>
      <c r="AQ133" s="207">
        <f>AQ130+AQ121</f>
        <v>934091</v>
      </c>
      <c r="AS133" s="208">
        <f>AS130+AS121</f>
        <v>1061822</v>
      </c>
      <c r="AT133" s="110">
        <f>AT130+AT121</f>
        <v>1209046</v>
      </c>
      <c r="AU133" s="110">
        <f>AU130+AU121</f>
        <v>1384624</v>
      </c>
      <c r="AV133" s="207">
        <f>AV130+AV121</f>
        <v>1526979</v>
      </c>
      <c r="AX133" s="208">
        <f>AX130+AX121</f>
        <v>1663024</v>
      </c>
      <c r="AY133" s="110">
        <f>AY130+AY121</f>
        <v>1790816</v>
      </c>
      <c r="AZ133" s="110">
        <f>AZ130+AZ121</f>
        <v>1874964</v>
      </c>
      <c r="BA133" s="207">
        <f>BA130+BA121</f>
        <v>2015439</v>
      </c>
      <c r="BC133" s="208">
        <f>BC130+BC121</f>
        <v>2096779</v>
      </c>
      <c r="BD133" s="110">
        <f>BD130+BD121</f>
        <v>2135617</v>
      </c>
      <c r="BE133" s="110">
        <f>BE130+BE121</f>
        <v>2256666</v>
      </c>
      <c r="BF133" s="207">
        <f>BF130+BF121</f>
        <v>2334904</v>
      </c>
      <c r="BH133" s="208">
        <f>BH130+BH121</f>
        <v>2433373</v>
      </c>
      <c r="BI133" s="110">
        <f>BI130+BI121</f>
        <v>2551836</v>
      </c>
      <c r="BJ133" s="110">
        <f>BJ130+BJ121</f>
        <v>2603019</v>
      </c>
      <c r="BK133" s="207">
        <f>BK130+BK121</f>
        <v>2690924</v>
      </c>
      <c r="BM133" s="208">
        <f>BM130+BM121</f>
        <v>2720917</v>
      </c>
      <c r="BN133" s="110">
        <f>BN130+BN121</f>
        <v>2751426</v>
      </c>
      <c r="BO133" s="110">
        <f>BO130+BO121</f>
        <v>2825972</v>
      </c>
      <c r="BP133" s="207">
        <f>BP130+BP121</f>
        <v>2889500</v>
      </c>
      <c r="BR133" s="208">
        <f>BR130+BR121</f>
        <v>2942816</v>
      </c>
      <c r="BS133" s="110">
        <f>BS130+BS121</f>
        <v>3052364</v>
      </c>
      <c r="BT133" s="110">
        <f>BT130+BT121</f>
        <v>3123015</v>
      </c>
      <c r="BU133" s="207">
        <f>BU130+BU121</f>
        <v>3155795.5285139997</v>
      </c>
      <c r="BW133" s="208">
        <f>BW130+BW121</f>
        <v>3226418.5390999997</v>
      </c>
      <c r="BX133" s="110">
        <f>BX130+BX121</f>
        <v>3259171.7506999997</v>
      </c>
      <c r="BY133" s="110">
        <f>BY130+BY121</f>
        <v>3281978.5383000001</v>
      </c>
      <c r="BZ133" s="207">
        <f>BZ130+BZ121</f>
        <v>3315052.3370591407</v>
      </c>
    </row>
    <row r="134" spans="3:78" s="81" customFormat="1">
      <c r="C134" s="230"/>
      <c r="D134" s="316"/>
      <c r="E134" s="92"/>
      <c r="H134" s="137"/>
      <c r="J134" s="92"/>
      <c r="M134" s="137"/>
      <c r="O134" s="92"/>
      <c r="R134" s="137"/>
      <c r="T134" s="92"/>
      <c r="W134" s="137"/>
      <c r="Y134" s="80"/>
      <c r="Z134" s="78"/>
      <c r="AA134" s="78"/>
      <c r="AB134" s="200"/>
      <c r="AD134" s="80"/>
      <c r="AE134" s="78"/>
      <c r="AF134" s="78"/>
      <c r="AG134" s="200"/>
      <c r="AI134" s="80"/>
      <c r="AJ134" s="78"/>
      <c r="AK134" s="78"/>
      <c r="AL134" s="200"/>
      <c r="AN134" s="80"/>
      <c r="AO134" s="78"/>
      <c r="AP134" s="78"/>
      <c r="AQ134" s="200"/>
      <c r="AS134" s="80"/>
      <c r="AT134" s="78"/>
      <c r="AU134" s="78"/>
      <c r="AV134" s="200"/>
      <c r="AX134" s="80"/>
      <c r="AY134" s="78"/>
      <c r="AZ134" s="78"/>
      <c r="BA134" s="200"/>
      <c r="BC134" s="80"/>
      <c r="BD134" s="78"/>
      <c r="BE134" s="78"/>
      <c r="BF134" s="200"/>
      <c r="BH134" s="80"/>
      <c r="BI134" s="78"/>
      <c r="BJ134" s="78"/>
      <c r="BK134" s="200"/>
      <c r="BM134" s="80"/>
      <c r="BN134" s="78"/>
      <c r="BO134" s="78"/>
      <c r="BP134" s="200"/>
      <c r="BR134" s="80"/>
      <c r="BS134" s="78"/>
      <c r="BT134" s="78"/>
      <c r="BU134" s="200"/>
      <c r="BW134" s="80"/>
      <c r="BX134" s="78"/>
      <c r="BY134" s="78"/>
      <c r="BZ134" s="200"/>
    </row>
    <row r="135" spans="3:78" s="81" customFormat="1">
      <c r="C135" s="234" t="s">
        <v>149</v>
      </c>
      <c r="D135" s="311"/>
      <c r="E135" s="176"/>
      <c r="F135" s="103"/>
      <c r="G135" s="103"/>
      <c r="H135" s="131"/>
      <c r="J135" s="176"/>
      <c r="K135" s="103"/>
      <c r="L135" s="103"/>
      <c r="M135" s="131"/>
      <c r="O135" s="176"/>
      <c r="P135" s="103"/>
      <c r="Q135" s="103"/>
      <c r="R135" s="131"/>
      <c r="T135" s="176"/>
      <c r="U135" s="103">
        <f>U29+T29+R29+Q29</f>
        <v>0</v>
      </c>
      <c r="V135" s="103">
        <f>V29+U29+T29+R29</f>
        <v>0</v>
      </c>
      <c r="W135" s="131">
        <f>W29+V29+U29+T29</f>
        <v>0</v>
      </c>
      <c r="Y135" s="176">
        <f>Y27+W27+V27+U27</f>
        <v>0</v>
      </c>
      <c r="Z135" s="103">
        <f>Z27+Y27+W27+V27</f>
        <v>0</v>
      </c>
      <c r="AA135" s="103">
        <f>AA27+Z27+Y27+W27</f>
        <v>0</v>
      </c>
      <c r="AB135" s="131">
        <f>AB27+AA27+Z27+Y27</f>
        <v>0</v>
      </c>
      <c r="AD135" s="176">
        <f>AD27+AB27+AA27+Z27</f>
        <v>61146</v>
      </c>
      <c r="AE135" s="103">
        <f>AE27+AD27+AB27+AA27</f>
        <v>126541</v>
      </c>
      <c r="AF135" s="103">
        <f>AF27+AE27+AD27+AB27</f>
        <v>193233</v>
      </c>
      <c r="AG135" s="131">
        <f>AG27+AF27+AE27+AD27</f>
        <v>265294</v>
      </c>
      <c r="AI135" s="176">
        <f>AI27+AG27+AF27+AE27</f>
        <v>281987</v>
      </c>
      <c r="AJ135" s="103">
        <f>AJ27+AI27+AG27+AF27</f>
        <v>302815</v>
      </c>
      <c r="AK135" s="103">
        <f>AK27+AJ27+AI27+AG27</f>
        <v>328511</v>
      </c>
      <c r="AL135" s="131">
        <f>AL27+AK27+AJ27+AI27</f>
        <v>352351</v>
      </c>
      <c r="AN135" s="176">
        <f>AN27+AL27+AK27+AJ27</f>
        <v>380889</v>
      </c>
      <c r="AO135" s="103">
        <f>AO27+AN27+AL27+AK27</f>
        <v>414994</v>
      </c>
      <c r="AP135" s="103">
        <f>AP27+AO27+AN27+AL27</f>
        <v>442549</v>
      </c>
      <c r="AQ135" s="131">
        <f>AQ27+AP27+AO27+AN27</f>
        <v>477480</v>
      </c>
      <c r="AS135" s="176">
        <f>AS27+AQ27+AP27+AO27</f>
        <v>512411</v>
      </c>
      <c r="AT135" s="103">
        <f>AT27+AS27+AQ27+AP27</f>
        <v>546342</v>
      </c>
      <c r="AU135" s="103">
        <f>AU27+AT27+AS27+AQ27</f>
        <v>591356</v>
      </c>
      <c r="AV135" s="131">
        <f>AV27+AU27+AT27+AS27</f>
        <v>638642</v>
      </c>
      <c r="AX135" s="176">
        <f>AX27+AV27+AU27+AT27</f>
        <v>688182</v>
      </c>
      <c r="AY135" s="103">
        <f>AY27+AX27+AV27+AU27</f>
        <v>740335</v>
      </c>
      <c r="AZ135" s="103">
        <f>AZ27+AY27+AX27+AV27</f>
        <v>792945</v>
      </c>
      <c r="BA135" s="131">
        <f>BA27+AZ27+AY27+AX27</f>
        <v>857039</v>
      </c>
      <c r="BC135" s="176">
        <f>BC27+BA27+AZ27+AY27</f>
        <v>913962</v>
      </c>
      <c r="BD135" s="103">
        <f>BD27+BC27+BA27+AZ27</f>
        <v>964715</v>
      </c>
      <c r="BE135" s="103">
        <f>BE27+BD27+BC27+BA27</f>
        <v>997574</v>
      </c>
      <c r="BF135" s="131">
        <f>BF27+BE27+BD27+BC27</f>
        <v>999303</v>
      </c>
      <c r="BH135" s="176">
        <f>BH27+BF27+BE27+BD27</f>
        <v>981156</v>
      </c>
      <c r="BI135" s="103">
        <f>BI27+BH27+BF27+BE27</f>
        <v>962421</v>
      </c>
      <c r="BJ135" s="103">
        <f>BJ27+BI27+BH27+BF27</f>
        <v>947249</v>
      </c>
      <c r="BK135" s="131">
        <f>BK27+BJ27+BI27+BH27</f>
        <v>946543</v>
      </c>
      <c r="BM135" s="176">
        <f>BM27+BK27+BJ27+BI27</f>
        <v>947525</v>
      </c>
      <c r="BN135" s="103">
        <f>BN27+BM27+BK27+BJ27</f>
        <v>933073</v>
      </c>
      <c r="BO135" s="103">
        <f>BO27+BN27+BM27+BK27</f>
        <v>934097</v>
      </c>
      <c r="BP135" s="131">
        <f>BP27+BO27+BN27+BM27</f>
        <v>938341</v>
      </c>
      <c r="BR135" s="176">
        <f>BR27+BP27+BO27+BN27</f>
        <v>950769</v>
      </c>
      <c r="BS135" s="103">
        <f>BS27+BR27+BP27+BO27</f>
        <v>976844</v>
      </c>
      <c r="BT135" s="103">
        <f>BT27+BS27+BR27+BP27</f>
        <v>983330</v>
      </c>
      <c r="BU135" s="131">
        <f>BU27+BT27+BS27+BR27</f>
        <v>995595.72911339998</v>
      </c>
      <c r="BW135" s="176">
        <f>BW27+BU27+BT27+BS27</f>
        <v>1006556.2713134</v>
      </c>
      <c r="BX135" s="103">
        <f>BX27+BW27+BU27+BT27</f>
        <v>1022914.3701134</v>
      </c>
      <c r="BY135" s="103">
        <f>BY27+BX27+BW27+BU27</f>
        <v>1048089.7065134001</v>
      </c>
      <c r="BZ135" s="131">
        <f>BZ27+BY27+BX27+BW27</f>
        <v>1059222.1890966601</v>
      </c>
    </row>
    <row r="136" spans="3:78" s="81" customFormat="1" ht="13.15" thickBot="1">
      <c r="C136" s="230"/>
      <c r="D136" s="316"/>
      <c r="E136" s="84"/>
      <c r="F136" s="202"/>
      <c r="G136" s="202"/>
      <c r="H136" s="136"/>
      <c r="J136" s="92"/>
      <c r="M136" s="137"/>
      <c r="O136" s="92"/>
      <c r="R136" s="137"/>
      <c r="T136" s="84"/>
      <c r="U136" s="202"/>
      <c r="V136" s="202"/>
      <c r="W136" s="136"/>
      <c r="Y136" s="92"/>
      <c r="AB136" s="137"/>
      <c r="AD136" s="92"/>
      <c r="AG136" s="137"/>
      <c r="AI136" s="92"/>
      <c r="AL136" s="137"/>
      <c r="AN136" s="92"/>
      <c r="AQ136" s="137"/>
      <c r="AS136" s="92"/>
      <c r="AV136" s="137"/>
      <c r="AX136" s="92"/>
      <c r="BA136" s="137"/>
      <c r="BC136" s="92"/>
      <c r="BF136" s="137"/>
      <c r="BH136" s="92"/>
      <c r="BK136" s="137"/>
      <c r="BM136" s="92"/>
      <c r="BP136" s="137"/>
      <c r="BR136" s="92"/>
      <c r="BU136" s="137"/>
      <c r="BW136" s="92"/>
      <c r="BZ136" s="137"/>
    </row>
    <row r="137" spans="3:78" s="81" customFormat="1" ht="13.15" thickBot="1">
      <c r="C137" s="233" t="s">
        <v>153</v>
      </c>
      <c r="D137" s="316"/>
      <c r="E137" s="84"/>
      <c r="F137" s="202"/>
      <c r="G137" s="202"/>
      <c r="H137" s="136"/>
      <c r="J137" s="210"/>
      <c r="K137" s="211"/>
      <c r="L137" s="211"/>
      <c r="M137" s="209"/>
      <c r="N137" s="143"/>
      <c r="O137" s="210"/>
      <c r="P137" s="211"/>
      <c r="Q137" s="211"/>
      <c r="R137" s="209"/>
      <c r="T137" s="210" t="e">
        <f>T135/T131</f>
        <v>#DIV/0!</v>
      </c>
      <c r="U137" s="211" t="e">
        <f>U135/U131</f>
        <v>#DIV/0!</v>
      </c>
      <c r="V137" s="211" t="e">
        <f>V135/V131</f>
        <v>#DIV/0!</v>
      </c>
      <c r="W137" s="209" t="e">
        <f>W135/W131</f>
        <v>#DIV/0!</v>
      </c>
      <c r="X137" s="143"/>
      <c r="Y137" s="210" t="e">
        <f t="shared" ref="Y137:AG137" si="139">Y135/Y131</f>
        <v>#DIV/0!</v>
      </c>
      <c r="Z137" s="211" t="e">
        <f t="shared" si="139"/>
        <v>#DIV/0!</v>
      </c>
      <c r="AA137" s="211" t="e">
        <f t="shared" si="139"/>
        <v>#DIV/0!</v>
      </c>
      <c r="AB137" s="209" t="e">
        <f t="shared" si="139"/>
        <v>#DIV/0!</v>
      </c>
      <c r="AC137" s="143"/>
      <c r="AD137" s="210">
        <f t="shared" si="139"/>
        <v>0.57227624547249811</v>
      </c>
      <c r="AE137" s="211">
        <f t="shared" si="139"/>
        <v>0.56390819964349381</v>
      </c>
      <c r="AF137" s="211">
        <f t="shared" si="139"/>
        <v>0.55637839938958555</v>
      </c>
      <c r="AG137" s="209">
        <f t="shared" si="139"/>
        <v>0.35149032352945075</v>
      </c>
      <c r="AI137" s="210">
        <f>AI135/AI131</f>
        <v>0.39740629701690894</v>
      </c>
      <c r="AJ137" s="211">
        <f>AJ135/AJ131</f>
        <v>0.46659137064441275</v>
      </c>
      <c r="AK137" s="211">
        <f>AK135/AK131</f>
        <v>0.53967250696796965</v>
      </c>
      <c r="AL137" s="209">
        <f>AL135/AL131</f>
        <v>6.2803662689944497</v>
      </c>
      <c r="AN137" s="210">
        <f>AN135/AN131</f>
        <v>7.4757555952023509</v>
      </c>
      <c r="AO137" s="211">
        <f>AO135/AO131</f>
        <v>5.305064812210774</v>
      </c>
      <c r="AP137" s="211">
        <f>AP135/AP131</f>
        <v>6.2279902741525195</v>
      </c>
      <c r="AQ137" s="209">
        <f>AQ135/AQ131</f>
        <v>1.4911544681348412</v>
      </c>
      <c r="AS137" s="210">
        <f>AS135/AS131</f>
        <v>1.2852889558637259</v>
      </c>
      <c r="AT137" s="211">
        <f>AT135/AT131</f>
        <v>1.1190395638559572</v>
      </c>
      <c r="AU137" s="211">
        <f>AU135/AU131</f>
        <v>0.98509343945836825</v>
      </c>
      <c r="AV137" s="209">
        <f>AV135/AV131</f>
        <v>0.94278316575465726</v>
      </c>
      <c r="AX137" s="210">
        <f>AX135/AX131</f>
        <v>0.93004916841232832</v>
      </c>
      <c r="AY137" s="211">
        <f>AY135/AY131</f>
        <v>0.95822114518580548</v>
      </c>
      <c r="AZ137" s="211">
        <f>AZ135/AZ131</f>
        <v>1.0746582878164328</v>
      </c>
      <c r="BA137" s="209">
        <f>BA135/BA131</f>
        <v>1.1618555507139581</v>
      </c>
      <c r="BC137" s="210">
        <f>BC135/BC131</f>
        <v>1.3831149300525614</v>
      </c>
      <c r="BD137" s="211">
        <f>BD135/BD131</f>
        <v>1.7759640615410672</v>
      </c>
      <c r="BE137" s="211">
        <f>BE135/BE131</f>
        <v>1.9391225795628824</v>
      </c>
      <c r="BF137" s="209">
        <f>BF135/BF131</f>
        <v>2.2185661884689969</v>
      </c>
      <c r="BH137" s="210">
        <f>BH135/BH131</f>
        <v>2.2279803923483206</v>
      </c>
      <c r="BI137" s="211">
        <f>BI135/BI131</f>
        <v>2.1159606436390219</v>
      </c>
      <c r="BJ137" s="211">
        <f>BJ135/BJ131</f>
        <v>2.2677683639455468</v>
      </c>
      <c r="BK137" s="209">
        <f>BK135/BK131</f>
        <v>2.1915269323009281</v>
      </c>
      <c r="BM137" s="210">
        <f>BM135/BM131</f>
        <v>2.3861029476155933</v>
      </c>
      <c r="BN137" s="211">
        <f>BN135/BN131</f>
        <v>2.5338000265851699</v>
      </c>
      <c r="BO137" s="211">
        <f>BO135/BO131</f>
        <v>2.4020697313490711</v>
      </c>
      <c r="BP137" s="209">
        <f>BP135/BP131</f>
        <v>2.3209309239711287</v>
      </c>
      <c r="BR137" s="210">
        <f>BR135/BR131</f>
        <v>2.3226406461196993</v>
      </c>
      <c r="BS137" s="211">
        <f>BS135/BS131</f>
        <v>2.0586927563169621</v>
      </c>
      <c r="BT137" s="211">
        <f>BT135/BT131</f>
        <v>1.979595468630218</v>
      </c>
      <c r="BU137" s="209">
        <f>BU135/BU131</f>
        <v>2.1089345231959533</v>
      </c>
      <c r="BW137" s="210">
        <f>BW135/BW131</f>
        <v>2.0454609383190832</v>
      </c>
      <c r="BX137" s="211">
        <f>BX135/BX131</f>
        <v>2.2100318970518091</v>
      </c>
      <c r="BY137" s="211">
        <f>BY135/BY131</f>
        <v>2.4698000838789653</v>
      </c>
      <c r="BZ137" s="209">
        <f>BZ135/BZ131</f>
        <v>2.5906644638225784</v>
      </c>
    </row>
    <row r="138" spans="3:78" ht="13.15" thickBot="1"/>
    <row r="139" spans="3:78">
      <c r="C139" s="687" t="s">
        <v>411</v>
      </c>
      <c r="AN139" s="103">
        <v>574000</v>
      </c>
      <c r="AO139" s="103">
        <v>628600</v>
      </c>
      <c r="AP139" s="103">
        <v>673300</v>
      </c>
      <c r="AQ139" s="103">
        <v>768700</v>
      </c>
      <c r="AR139" s="103"/>
      <c r="AS139" s="103">
        <v>784900</v>
      </c>
      <c r="AT139" s="103">
        <v>849000</v>
      </c>
      <c r="AU139" s="103">
        <v>937900</v>
      </c>
      <c r="AV139" s="103">
        <v>1100000</v>
      </c>
      <c r="AW139" s="103"/>
      <c r="AX139" s="103">
        <v>1200000</v>
      </c>
      <c r="AY139" s="103">
        <v>1300000</v>
      </c>
      <c r="AZ139" s="103">
        <v>1500000</v>
      </c>
      <c r="BA139" s="103">
        <v>1600000</v>
      </c>
      <c r="BB139" s="103"/>
      <c r="BC139" s="103"/>
      <c r="BD139" s="103"/>
      <c r="BE139" s="103"/>
      <c r="BF139" s="103"/>
      <c r="BH139" s="103"/>
      <c r="BI139" s="103"/>
      <c r="BJ139" s="103"/>
      <c r="BK139" s="103"/>
      <c r="BM139" s="103"/>
      <c r="BN139" s="103"/>
      <c r="BO139" s="103"/>
      <c r="BP139" s="103"/>
      <c r="BR139" s="103"/>
      <c r="BS139" s="103"/>
      <c r="BT139" s="103"/>
      <c r="BU139" s="103"/>
      <c r="BW139" s="103"/>
      <c r="BX139" s="103"/>
      <c r="BY139" s="103"/>
      <c r="BZ139" s="103"/>
    </row>
    <row r="140" spans="3:78">
      <c r="C140" s="230" t="s">
        <v>412</v>
      </c>
      <c r="AN140" s="103"/>
      <c r="AO140" s="103"/>
      <c r="AP140" s="103"/>
      <c r="AQ140" s="103"/>
      <c r="AR140" s="103"/>
      <c r="AS140" s="103">
        <f>AS139-AN139</f>
        <v>210900</v>
      </c>
      <c r="AT140" s="103">
        <f>AT139-AO139</f>
        <v>220400</v>
      </c>
      <c r="AU140" s="103">
        <f>AU139-AP139</f>
        <v>264600</v>
      </c>
      <c r="AV140" s="103">
        <f>AV139-AQ139</f>
        <v>331300</v>
      </c>
      <c r="AW140" s="103"/>
      <c r="AX140" s="103">
        <f>AX139-AS139</f>
        <v>415100</v>
      </c>
      <c r="AY140" s="103">
        <f>AY139-AT139</f>
        <v>451000</v>
      </c>
      <c r="AZ140" s="103">
        <f>AZ139-AU139</f>
        <v>562100</v>
      </c>
      <c r="BA140" s="103">
        <f>BA139-AV139</f>
        <v>500000</v>
      </c>
      <c r="BB140" s="103"/>
      <c r="BC140" s="103"/>
      <c r="BD140" s="103"/>
      <c r="BE140" s="103"/>
      <c r="BF140" s="103"/>
      <c r="BH140" s="103"/>
      <c r="BI140" s="103"/>
      <c r="BJ140" s="103"/>
      <c r="BK140" s="103"/>
      <c r="BM140" s="103"/>
      <c r="BN140" s="103"/>
      <c r="BO140" s="103"/>
      <c r="BP140" s="103"/>
      <c r="BR140" s="103"/>
      <c r="BS140" s="103"/>
      <c r="BT140" s="103"/>
      <c r="BU140" s="103"/>
      <c r="BW140" s="103"/>
      <c r="BX140" s="103"/>
      <c r="BY140" s="103"/>
      <c r="BZ140" s="103"/>
    </row>
    <row r="141" spans="3:78" s="96" customFormat="1" ht="13.15">
      <c r="C141" s="688" t="s">
        <v>413</v>
      </c>
      <c r="AN141" s="686"/>
      <c r="AO141" s="686"/>
      <c r="AP141" s="686"/>
      <c r="AQ141" s="686"/>
      <c r="AR141" s="686"/>
      <c r="AS141" s="686">
        <f>AS140+AN13</f>
        <v>424862</v>
      </c>
      <c r="AT141" s="686">
        <f>AT140+AO13</f>
        <v>456012</v>
      </c>
      <c r="AU141" s="686">
        <f>AU140+AP13</f>
        <v>514102</v>
      </c>
      <c r="AV141" s="686">
        <f>AV140+AQ13</f>
        <v>606195</v>
      </c>
      <c r="AW141" s="686"/>
      <c r="AX141" s="686">
        <f>AX140+AX13</f>
        <v>884178</v>
      </c>
      <c r="AY141" s="686">
        <f>AY140+AY13</f>
        <v>962844</v>
      </c>
      <c r="AZ141" s="686">
        <f>AZ140+AZ13</f>
        <v>1107563</v>
      </c>
      <c r="BA141" s="686">
        <f>BA140+BA13</f>
        <v>1080828</v>
      </c>
      <c r="BB141" s="686"/>
      <c r="BC141" s="686"/>
      <c r="BD141" s="686"/>
      <c r="BE141" s="686"/>
      <c r="BF141" s="686"/>
      <c r="BH141" s="686"/>
      <c r="BI141" s="686"/>
      <c r="BJ141" s="686"/>
      <c r="BK141" s="686"/>
      <c r="BM141" s="686"/>
      <c r="BN141" s="686"/>
      <c r="BO141" s="686"/>
      <c r="BP141" s="686"/>
      <c r="BR141" s="686"/>
      <c r="BS141" s="686"/>
      <c r="BT141" s="686"/>
      <c r="BU141" s="686"/>
      <c r="BW141" s="686"/>
      <c r="BX141" s="686"/>
      <c r="BY141" s="686"/>
      <c r="BZ141" s="686"/>
    </row>
    <row r="142" spans="3:78">
      <c r="C142" s="691" t="s">
        <v>58</v>
      </c>
      <c r="AN142" s="103"/>
      <c r="AO142" s="103"/>
      <c r="AP142" s="103"/>
      <c r="AQ142" s="103"/>
      <c r="AR142" s="103"/>
      <c r="AS142" s="94"/>
      <c r="AT142" s="94"/>
      <c r="AU142" s="94"/>
      <c r="AV142" s="94"/>
      <c r="AW142" s="103"/>
      <c r="AX142" s="94">
        <f>AX141/AS141-1</f>
        <v>1.0810945671771068</v>
      </c>
      <c r="AY142" s="94">
        <f>AY141/AT141-1</f>
        <v>1.1114444356727455</v>
      </c>
      <c r="AZ142" s="94">
        <f>AZ141/AU141-1</f>
        <v>1.1543643090281694</v>
      </c>
      <c r="BA142" s="94">
        <f>BA141/AV141-1</f>
        <v>0.78297082621928582</v>
      </c>
      <c r="BB142" s="103"/>
      <c r="BC142" s="103"/>
      <c r="BD142" s="103"/>
      <c r="BE142" s="103"/>
      <c r="BF142" s="103"/>
      <c r="BH142" s="103"/>
      <c r="BI142" s="103"/>
      <c r="BJ142" s="103"/>
      <c r="BK142" s="103"/>
      <c r="BM142" s="103"/>
      <c r="BN142" s="103"/>
      <c r="BO142" s="103"/>
      <c r="BP142" s="103"/>
      <c r="BR142" s="103"/>
      <c r="BS142" s="103"/>
      <c r="BT142" s="103"/>
      <c r="BU142" s="103"/>
      <c r="BW142" s="103"/>
      <c r="BX142" s="103"/>
      <c r="BY142" s="103"/>
      <c r="BZ142" s="103"/>
    </row>
    <row r="143" spans="3:78" ht="13.15" thickBot="1">
      <c r="C143" s="692" t="s">
        <v>57</v>
      </c>
      <c r="AN143" s="103"/>
      <c r="AO143" s="103"/>
      <c r="AP143" s="103"/>
      <c r="AQ143" s="103"/>
      <c r="AR143" s="103"/>
      <c r="AS143" s="94"/>
      <c r="AT143" s="94">
        <f>AT141/AS141-1</f>
        <v>7.3317924408396129E-2</v>
      </c>
      <c r="AU143" s="94">
        <f>AU141/AT141-1</f>
        <v>0.12738699858775648</v>
      </c>
      <c r="AV143" s="94">
        <f>AV141/AU141-1</f>
        <v>0.17913371276517109</v>
      </c>
      <c r="AW143" s="103"/>
      <c r="AX143" s="94">
        <f>AX141/AV141-1</f>
        <v>0.45857026204439166</v>
      </c>
      <c r="AY143" s="94">
        <f>AY141/AX141-1</f>
        <v>8.8970772853429914E-2</v>
      </c>
      <c r="AZ143" s="94">
        <f>AZ141/AX141-1</f>
        <v>0.25264709142276787</v>
      </c>
      <c r="BA143" s="94">
        <f>BA141/AY141-1</f>
        <v>0.12253698418435377</v>
      </c>
      <c r="BB143" s="103"/>
      <c r="BC143" s="103"/>
      <c r="BD143" s="103"/>
      <c r="BE143" s="103"/>
      <c r="BF143" s="103"/>
      <c r="BH143" s="103"/>
      <c r="BI143" s="103"/>
      <c r="BJ143" s="103"/>
      <c r="BK143" s="103"/>
      <c r="BM143" s="103"/>
      <c r="BN143" s="103"/>
      <c r="BO143" s="103"/>
      <c r="BP143" s="103"/>
      <c r="BR143" s="103"/>
      <c r="BS143" s="103"/>
      <c r="BT143" s="103"/>
      <c r="BU143" s="103"/>
      <c r="BW143" s="103"/>
      <c r="BX143" s="103"/>
      <c r="BY143" s="103"/>
      <c r="BZ143" s="103"/>
    </row>
    <row r="144" spans="3:78" ht="13.15" thickBot="1">
      <c r="AN144" s="103"/>
      <c r="AO144" s="103"/>
      <c r="AP144" s="103"/>
      <c r="AQ144" s="103"/>
      <c r="AR144" s="103"/>
      <c r="AS144" s="103"/>
      <c r="AT144" s="103"/>
      <c r="AU144" s="103"/>
      <c r="AV144" s="103"/>
      <c r="AW144" s="103"/>
      <c r="AX144" s="103"/>
      <c r="AY144" s="103"/>
      <c r="AZ144" s="103"/>
      <c r="BA144" s="103"/>
      <c r="BB144" s="103"/>
      <c r="BC144" s="103"/>
      <c r="BD144" s="103"/>
      <c r="BE144" s="103"/>
      <c r="BF144" s="103"/>
      <c r="BH144" s="103"/>
      <c r="BI144" s="103"/>
      <c r="BJ144" s="103"/>
      <c r="BK144" s="103"/>
      <c r="BM144" s="103"/>
      <c r="BN144" s="103"/>
      <c r="BO144" s="103"/>
      <c r="BP144" s="103"/>
      <c r="BR144" s="103"/>
      <c r="BS144" s="103"/>
      <c r="BT144" s="103"/>
      <c r="BU144" s="103"/>
      <c r="BW144" s="103"/>
      <c r="BX144" s="103"/>
      <c r="BY144" s="103"/>
      <c r="BZ144" s="103"/>
    </row>
    <row r="145" spans="3:78">
      <c r="C145" s="687" t="s">
        <v>416</v>
      </c>
      <c r="AN145" s="103">
        <f>AN139*0.53</f>
        <v>304220</v>
      </c>
      <c r="AO145" s="103">
        <f>AO139*0.54</f>
        <v>339444</v>
      </c>
      <c r="AP145" s="103">
        <f>AP139*0.54</f>
        <v>363582</v>
      </c>
      <c r="AQ145" s="103">
        <f>AQ139*0.53</f>
        <v>407411</v>
      </c>
      <c r="AR145" s="103"/>
      <c r="AS145" s="103">
        <f>AS139*0.54</f>
        <v>423846</v>
      </c>
      <c r="AT145" s="103">
        <f>AT139*0.54</f>
        <v>458460.00000000006</v>
      </c>
      <c r="AU145" s="103">
        <f>AU139*0.54</f>
        <v>506466.00000000006</v>
      </c>
      <c r="AV145" s="103">
        <f>AV139*0.52</f>
        <v>572000</v>
      </c>
      <c r="AW145" s="103"/>
      <c r="AX145" s="103">
        <f>AX139*0.53</f>
        <v>636000</v>
      </c>
      <c r="AY145" s="103">
        <f>AY139*0.52</f>
        <v>676000</v>
      </c>
      <c r="AZ145" s="103">
        <f>AZ139*0.52</f>
        <v>780000</v>
      </c>
      <c r="BA145" s="103">
        <f>BA139*0.53</f>
        <v>848000</v>
      </c>
      <c r="BB145" s="103"/>
      <c r="BC145" s="103"/>
      <c r="BD145" s="103"/>
      <c r="BE145" s="103"/>
      <c r="BF145" s="103"/>
      <c r="BH145" s="103"/>
      <c r="BI145" s="103"/>
      <c r="BJ145" s="103"/>
      <c r="BK145" s="103"/>
      <c r="BM145" s="103"/>
      <c r="BN145" s="103"/>
      <c r="BO145" s="103"/>
      <c r="BP145" s="103"/>
      <c r="BR145" s="103"/>
      <c r="BS145" s="103"/>
      <c r="BT145" s="103"/>
      <c r="BU145" s="103"/>
      <c r="BW145" s="103"/>
      <c r="BX145" s="103"/>
      <c r="BY145" s="103"/>
      <c r="BZ145" s="103"/>
    </row>
    <row r="146" spans="3:78">
      <c r="C146" s="230" t="s">
        <v>414</v>
      </c>
      <c r="AN146" s="103"/>
      <c r="AO146" s="103"/>
      <c r="AP146" s="103"/>
      <c r="AQ146" s="103"/>
      <c r="AR146" s="103"/>
      <c r="AS146" s="103">
        <f>AS145-AN145</f>
        <v>119626</v>
      </c>
      <c r="AT146" s="103">
        <f>AT145-AO145</f>
        <v>119016.00000000006</v>
      </c>
      <c r="AU146" s="103">
        <f>AU145-AP145</f>
        <v>142884.00000000006</v>
      </c>
      <c r="AV146" s="103">
        <f>AV145-AQ145</f>
        <v>164589</v>
      </c>
      <c r="AW146" s="103"/>
      <c r="AX146" s="103">
        <f>AX145-AS145</f>
        <v>212154</v>
      </c>
      <c r="AY146" s="103">
        <f>AY145-AT145</f>
        <v>217539.99999999994</v>
      </c>
      <c r="AZ146" s="103">
        <f>AZ145-AU145</f>
        <v>273533.99999999994</v>
      </c>
      <c r="BA146" s="103">
        <f>BA145-AV145</f>
        <v>276000</v>
      </c>
      <c r="BB146" s="103"/>
      <c r="BC146" s="103"/>
      <c r="BD146" s="103"/>
      <c r="BE146" s="103"/>
      <c r="BF146" s="103"/>
      <c r="BH146" s="103"/>
      <c r="BI146" s="103"/>
      <c r="BJ146" s="103"/>
      <c r="BK146" s="103"/>
      <c r="BM146" s="103"/>
      <c r="BN146" s="103"/>
      <c r="BO146" s="103"/>
      <c r="BP146" s="103"/>
      <c r="BR146" s="103"/>
      <c r="BS146" s="103"/>
      <c r="BT146" s="103"/>
      <c r="BU146" s="103"/>
      <c r="BW146" s="103"/>
      <c r="BX146" s="103"/>
      <c r="BY146" s="103"/>
      <c r="BZ146" s="103"/>
    </row>
    <row r="147" spans="3:78" s="96" customFormat="1" ht="13.15">
      <c r="C147" s="688" t="s">
        <v>415</v>
      </c>
      <c r="AN147" s="686"/>
      <c r="AO147" s="686"/>
      <c r="AP147" s="686"/>
      <c r="AQ147" s="686"/>
      <c r="AR147" s="686"/>
      <c r="AS147" s="686">
        <f>AS146+AN120</f>
        <v>321084</v>
      </c>
      <c r="AT147" s="686">
        <f>AT146+AO120</f>
        <v>339827.00000000006</v>
      </c>
      <c r="AU147" s="686">
        <f>AU146+AP120</f>
        <v>380956.00000000006</v>
      </c>
      <c r="AV147" s="686">
        <f>AV146+AQ120</f>
        <v>422711</v>
      </c>
      <c r="AW147" s="686"/>
      <c r="AX147" s="686">
        <f>AX146+AX120</f>
        <v>664089</v>
      </c>
      <c r="AY147" s="686">
        <f>AY146+AY120</f>
        <v>710298</v>
      </c>
      <c r="AZ147" s="686">
        <f>AZ146+AZ120</f>
        <v>802107</v>
      </c>
      <c r="BA147" s="686">
        <f>BA146+BA120</f>
        <v>840006</v>
      </c>
      <c r="BB147" s="686"/>
      <c r="BC147" s="686"/>
      <c r="BD147" s="686"/>
      <c r="BE147" s="686"/>
      <c r="BF147" s="686"/>
      <c r="BH147" s="686"/>
      <c r="BI147" s="686"/>
      <c r="BJ147" s="686"/>
      <c r="BK147" s="686"/>
      <c r="BM147" s="686"/>
      <c r="BN147" s="686"/>
      <c r="BO147" s="686"/>
      <c r="BP147" s="686"/>
      <c r="BR147" s="686"/>
      <c r="BS147" s="686"/>
      <c r="BT147" s="686"/>
      <c r="BU147" s="686"/>
      <c r="BW147" s="686"/>
      <c r="BX147" s="686"/>
      <c r="BY147" s="686"/>
      <c r="BZ147" s="686"/>
    </row>
    <row r="148" spans="3:78">
      <c r="C148" s="689" t="s">
        <v>58</v>
      </c>
      <c r="AN148" s="103"/>
      <c r="AO148" s="103"/>
      <c r="AP148" s="103"/>
      <c r="AQ148" s="103"/>
      <c r="AR148" s="103"/>
      <c r="AS148" s="94"/>
      <c r="AT148" s="94"/>
      <c r="AU148" s="94"/>
      <c r="AV148" s="94"/>
      <c r="AW148" s="103"/>
      <c r="AX148" s="94">
        <f>AX147/AS147-1</f>
        <v>1.0682718540942555</v>
      </c>
      <c r="AY148" s="94">
        <f>AY147/AT147-1</f>
        <v>1.0901752950766124</v>
      </c>
      <c r="AZ148" s="94">
        <f>AZ147/AU147-1</f>
        <v>1.1055108726467093</v>
      </c>
      <c r="BA148" s="94">
        <f>BA147/AV147-1</f>
        <v>0.98718746377548716</v>
      </c>
      <c r="BB148" s="103"/>
      <c r="BC148" s="103"/>
      <c r="BD148" s="103"/>
      <c r="BE148" s="103"/>
      <c r="BF148" s="103"/>
      <c r="BH148" s="103"/>
      <c r="BI148" s="103"/>
      <c r="BJ148" s="103"/>
      <c r="BK148" s="103"/>
      <c r="BM148" s="103"/>
      <c r="BN148" s="103"/>
      <c r="BO148" s="103"/>
      <c r="BP148" s="103"/>
      <c r="BR148" s="103"/>
      <c r="BS148" s="103"/>
      <c r="BT148" s="103"/>
      <c r="BU148" s="103"/>
      <c r="BW148" s="103"/>
      <c r="BX148" s="103"/>
      <c r="BY148" s="103"/>
      <c r="BZ148" s="103"/>
    </row>
    <row r="149" spans="3:78" ht="13.15" thickBot="1">
      <c r="C149" s="690" t="s">
        <v>57</v>
      </c>
      <c r="AN149" s="103"/>
      <c r="AO149" s="103"/>
      <c r="AP149" s="103"/>
      <c r="AQ149" s="103"/>
      <c r="AR149" s="103"/>
      <c r="AS149" s="94"/>
      <c r="AT149" s="94">
        <f>AT147/AS147-1</f>
        <v>5.8374132625730546E-2</v>
      </c>
      <c r="AU149" s="94">
        <f>AU147/AT147-1</f>
        <v>0.12102922957857976</v>
      </c>
      <c r="AV149" s="94">
        <f>AV147/AU147-1</f>
        <v>0.10960583374457933</v>
      </c>
      <c r="AW149" s="103"/>
      <c r="AX149" s="94">
        <f>AX147/AV147-1</f>
        <v>0.57102370177260586</v>
      </c>
      <c r="AY149" s="94">
        <f>AY147/AX147-1</f>
        <v>6.9582540894367995E-2</v>
      </c>
      <c r="AZ149" s="94">
        <f>AZ147/AX147-1</f>
        <v>0.20783057692568319</v>
      </c>
      <c r="BA149" s="94">
        <f>BA147/AY147-1</f>
        <v>0.18261067889815252</v>
      </c>
      <c r="BB149" s="103"/>
      <c r="BC149" s="103"/>
      <c r="BD149" s="103"/>
      <c r="BE149" s="103"/>
      <c r="BF149" s="103"/>
      <c r="BH149" s="103"/>
      <c r="BI149" s="103"/>
      <c r="BJ149" s="103"/>
      <c r="BK149" s="103"/>
      <c r="BM149" s="103"/>
      <c r="BN149" s="103"/>
      <c r="BO149" s="103"/>
      <c r="BP149" s="103"/>
      <c r="BR149" s="103"/>
      <c r="BS149" s="103"/>
      <c r="BT149" s="103"/>
      <c r="BU149" s="103"/>
      <c r="BW149" s="103"/>
      <c r="BX149" s="103"/>
      <c r="BY149" s="103"/>
      <c r="BZ149" s="103"/>
    </row>
    <row r="150" spans="3:78" ht="13.15" thickBot="1"/>
    <row r="151" spans="3:78" s="81" customFormat="1">
      <c r="C151" s="229" t="s">
        <v>144</v>
      </c>
      <c r="D151" s="405"/>
      <c r="E151" s="197"/>
      <c r="F151" s="198"/>
      <c r="G151" s="198"/>
      <c r="H151" s="199"/>
      <c r="I151" s="184"/>
      <c r="J151" s="197"/>
      <c r="K151" s="198"/>
      <c r="L151" s="198"/>
      <c r="M151" s="199"/>
      <c r="N151" s="198"/>
      <c r="O151" s="197"/>
      <c r="P151" s="198"/>
      <c r="Q151" s="198">
        <f>Q13</f>
        <v>0</v>
      </c>
      <c r="R151" s="199">
        <f>R13</f>
        <v>0</v>
      </c>
      <c r="S151" s="103"/>
      <c r="T151" s="197">
        <f>T13</f>
        <v>0</v>
      </c>
      <c r="U151" s="198">
        <f>U13</f>
        <v>0</v>
      </c>
      <c r="V151" s="198">
        <f>V13</f>
        <v>0</v>
      </c>
      <c r="W151" s="199">
        <f>W13</f>
        <v>0</v>
      </c>
      <c r="X151" s="103"/>
      <c r="Y151" s="197">
        <f>Y5</f>
        <v>0</v>
      </c>
      <c r="Z151" s="198">
        <f>Z5</f>
        <v>0</v>
      </c>
      <c r="AA151" s="198">
        <f>AA5</f>
        <v>0</v>
      </c>
      <c r="AB151" s="199">
        <f>AB5</f>
        <v>0</v>
      </c>
      <c r="AD151" s="197">
        <f>AD5</f>
        <v>106847</v>
      </c>
      <c r="AE151" s="198">
        <f>AE5</f>
        <v>117553</v>
      </c>
      <c r="AF151" s="198">
        <f>AF5</f>
        <v>122905</v>
      </c>
      <c r="AG151" s="199">
        <f>AG5</f>
        <v>137276</v>
      </c>
      <c r="AI151" s="197">
        <f>AI5</f>
        <v>148198</v>
      </c>
      <c r="AJ151" s="198">
        <f>AJ5</f>
        <v>158461</v>
      </c>
      <c r="AK151" s="198">
        <f>AK5</f>
        <v>169426</v>
      </c>
      <c r="AL151" s="199">
        <f>AL5</f>
        <v>187572</v>
      </c>
      <c r="AN151" s="197">
        <f>AN5</f>
        <v>201458</v>
      </c>
      <c r="AO151" s="198">
        <f>AO5</f>
        <v>220811</v>
      </c>
      <c r="AP151" s="198">
        <f>AP5</f>
        <v>238072</v>
      </c>
      <c r="AQ151" s="199">
        <f>AQ5</f>
        <v>258122</v>
      </c>
      <c r="AS151" s="197">
        <f>AS5</f>
        <v>280922</v>
      </c>
      <c r="AT151" s="198">
        <f>AT5</f>
        <v>323643</v>
      </c>
      <c r="AU151" s="198">
        <f>AU5</f>
        <v>366617</v>
      </c>
      <c r="AV151" s="199">
        <f>AV5</f>
        <v>410215</v>
      </c>
      <c r="AX151" s="197">
        <f>AX5</f>
        <v>451935</v>
      </c>
      <c r="AY151" s="198">
        <f>AY5</f>
        <v>492758</v>
      </c>
      <c r="AZ151" s="198">
        <f>AZ5</f>
        <v>528573</v>
      </c>
      <c r="BA151" s="199">
        <f>BA5</f>
        <v>564006</v>
      </c>
      <c r="BC151" s="197">
        <f>BC5</f>
        <v>569251</v>
      </c>
      <c r="BD151" s="198">
        <f>BD5</f>
        <v>605194</v>
      </c>
      <c r="BE151" s="198">
        <f>BE5</f>
        <v>624055</v>
      </c>
      <c r="BF151" s="199">
        <f>BF5</f>
        <v>643677</v>
      </c>
      <c r="BH151" s="197">
        <f>BH5</f>
        <v>639307</v>
      </c>
      <c r="BI151" s="198">
        <f>BI5</f>
        <v>669367</v>
      </c>
      <c r="BJ151" s="198">
        <f>BJ5</f>
        <v>682352</v>
      </c>
      <c r="BK151" s="199">
        <f>BK5</f>
        <v>695682</v>
      </c>
      <c r="BM151" s="197">
        <f>BM5</f>
        <v>691483</v>
      </c>
      <c r="BN151" s="198">
        <f>BN5</f>
        <v>717366</v>
      </c>
      <c r="BO151" s="198">
        <f>BO5</f>
        <v>734693</v>
      </c>
      <c r="BP151" s="199">
        <f>BP5</f>
        <v>757767</v>
      </c>
      <c r="BR151" s="197">
        <f>BR5</f>
        <v>746202</v>
      </c>
      <c r="BS151" s="198">
        <f>BS5</f>
        <v>784388</v>
      </c>
      <c r="BT151" s="198">
        <f>BT5</f>
        <v>800958</v>
      </c>
      <c r="BU151" s="199">
        <f>BU5</f>
        <v>810280.25309999997</v>
      </c>
      <c r="BW151" s="197">
        <f>BW5</f>
        <v>790974.12</v>
      </c>
      <c r="BX151" s="198">
        <f>BX5</f>
        <v>831451.28</v>
      </c>
      <c r="BY151" s="198">
        <f>BY5</f>
        <v>849015.4800000001</v>
      </c>
      <c r="BZ151" s="199">
        <f>BZ5</f>
        <v>858897.06828600005</v>
      </c>
    </row>
    <row r="152" spans="3:78" s="81" customFormat="1">
      <c r="C152" s="230" t="s">
        <v>145</v>
      </c>
      <c r="D152" s="316"/>
      <c r="E152" s="176"/>
      <c r="F152" s="103"/>
      <c r="G152" s="103"/>
      <c r="H152" s="131"/>
      <c r="J152" s="176"/>
      <c r="K152" s="103"/>
      <c r="L152" s="103"/>
      <c r="M152" s="131"/>
      <c r="O152" s="176"/>
      <c r="P152" s="103"/>
      <c r="Q152" s="103"/>
      <c r="R152" s="131"/>
      <c r="T152" s="176">
        <f>T151+R151+Q151+P151</f>
        <v>0</v>
      </c>
      <c r="U152" s="103">
        <f>U151+T151+R151+Q151</f>
        <v>0</v>
      </c>
      <c r="V152" s="103">
        <f>V151+U151+T151+R151</f>
        <v>0</v>
      </c>
      <c r="W152" s="131">
        <f>W151+V151+U151+T151</f>
        <v>0</v>
      </c>
      <c r="Y152" s="176">
        <f>Y151+W151+V151+U151</f>
        <v>0</v>
      </c>
      <c r="Z152" s="103">
        <f>Z151+Y151+W151+V151</f>
        <v>0</v>
      </c>
      <c r="AA152" s="103">
        <f>AA151+Z151+Y151+W151</f>
        <v>0</v>
      </c>
      <c r="AB152" s="131">
        <f>AB151+AA151+Z151+Y151</f>
        <v>0</v>
      </c>
      <c r="AD152" s="176">
        <f>AD151+AB151+AA151+Z151</f>
        <v>106847</v>
      </c>
      <c r="AE152" s="103">
        <f>AE151+AD151+AB151+AA151</f>
        <v>224400</v>
      </c>
      <c r="AF152" s="103">
        <f>AF151+AE151+AD151+AB151</f>
        <v>347305</v>
      </c>
      <c r="AG152" s="131">
        <f>AG151+AF151+AE151+AD151</f>
        <v>484581</v>
      </c>
      <c r="AI152" s="176">
        <f>AI151+AG151+AF151+AE151</f>
        <v>525932</v>
      </c>
      <c r="AJ152" s="103">
        <f>AJ151+AI151+AG151+AF151</f>
        <v>566840</v>
      </c>
      <c r="AK152" s="103">
        <f>AK151+AJ151+AI151+AG151</f>
        <v>613361</v>
      </c>
      <c r="AL152" s="131">
        <f>AL151+AK151+AJ151+AI151</f>
        <v>663657</v>
      </c>
      <c r="AN152" s="176">
        <f>AN151+AL151+AK151+AJ151</f>
        <v>716917</v>
      </c>
      <c r="AO152" s="103">
        <f>AO151+AN151+AL151+AK151</f>
        <v>779267</v>
      </c>
      <c r="AP152" s="103">
        <f>AP151+AO151+AN151+AL151</f>
        <v>847913</v>
      </c>
      <c r="AQ152" s="131">
        <f>AQ151+AP151+AO151+AN151</f>
        <v>918463</v>
      </c>
      <c r="AS152" s="176">
        <f>AS151+AQ151+AP151+AO151</f>
        <v>997927</v>
      </c>
      <c r="AT152" s="103">
        <f>AT151+AS151+AQ151+AP151</f>
        <v>1100759</v>
      </c>
      <c r="AU152" s="103">
        <f>AU151+AT151+AS151+AQ151</f>
        <v>1229304</v>
      </c>
      <c r="AV152" s="131">
        <f>AV151+AU151+AT151+AS151</f>
        <v>1381397</v>
      </c>
      <c r="AX152" s="176">
        <f>AX151+AV151+AU151+AT151</f>
        <v>1552410</v>
      </c>
      <c r="AY152" s="103">
        <f>AY151+AX151+AV151+AU151</f>
        <v>1721525</v>
      </c>
      <c r="AZ152" s="103">
        <f>AZ151+AY151+AX151+AV151</f>
        <v>1883481</v>
      </c>
      <c r="BA152" s="131">
        <f>BA151+AZ151+AY151+AX151</f>
        <v>2037272</v>
      </c>
      <c r="BC152" s="176">
        <f>BC151+BA151+AZ151+AY151</f>
        <v>2154588</v>
      </c>
      <c r="BD152" s="103">
        <f>BD151+BC151+BA151+AZ151</f>
        <v>2267024</v>
      </c>
      <c r="BE152" s="103">
        <f>BE151+BD151+BC151+BA151</f>
        <v>2362506</v>
      </c>
      <c r="BF152" s="131">
        <f>BF151+BE151+BD151+BC151</f>
        <v>2442177</v>
      </c>
      <c r="BH152" s="176">
        <f>BH151+BF151+BE151+BD151</f>
        <v>2512233</v>
      </c>
      <c r="BI152" s="103">
        <f>BI151+BH151+BF151+BE151</f>
        <v>2576406</v>
      </c>
      <c r="BJ152" s="103">
        <f>BJ151+BI151+BH151+BF151</f>
        <v>2634703</v>
      </c>
      <c r="BK152" s="131">
        <f>BK151+BJ151+BI151+BH151</f>
        <v>2686708</v>
      </c>
      <c r="BM152" s="176">
        <f>BM151+BK151+BJ151+BI151</f>
        <v>2738884</v>
      </c>
      <c r="BN152" s="103">
        <f>BN151+BM151+BK151+BJ151</f>
        <v>2786883</v>
      </c>
      <c r="BO152" s="103">
        <f>BO151+BN151+BM151+BK151</f>
        <v>2839224</v>
      </c>
      <c r="BP152" s="131">
        <f>BP151+BO151+BN151+BM151</f>
        <v>2901309</v>
      </c>
      <c r="BR152" s="176">
        <f>BR151+BP151+BO151+BN151</f>
        <v>2956028</v>
      </c>
      <c r="BS152" s="103">
        <f>BS151+BR151+BP151+BO151</f>
        <v>3023050</v>
      </c>
      <c r="BT152" s="103">
        <f>BT151+BS151+BR151+BP151</f>
        <v>3089315</v>
      </c>
      <c r="BU152" s="131">
        <f>BU151+BT151+BS151+BR151</f>
        <v>3141828.2530999999</v>
      </c>
      <c r="BW152" s="176">
        <f>BW151+BU151+BT151+BS151</f>
        <v>3186600.3731</v>
      </c>
      <c r="BX152" s="103">
        <f>BX151+BW151+BU151+BT151</f>
        <v>3233663.6530999998</v>
      </c>
      <c r="BY152" s="103">
        <f>BY151+BX151+BW151+BU151</f>
        <v>3281721.1331000002</v>
      </c>
      <c r="BZ152" s="131">
        <f>BZ151+BY151+BX151+BW151</f>
        <v>3330337.9482860006</v>
      </c>
    </row>
    <row r="153" spans="3:78" s="81" customFormat="1" ht="13.15" thickBot="1">
      <c r="C153" s="231" t="s">
        <v>146</v>
      </c>
      <c r="D153" s="406"/>
      <c r="E153" s="175"/>
      <c r="F153" s="353"/>
      <c r="G153" s="353"/>
      <c r="H153" s="174"/>
      <c r="I153" s="407"/>
      <c r="J153" s="175"/>
      <c r="K153" s="353"/>
      <c r="L153" s="353"/>
      <c r="M153" s="174"/>
      <c r="N153" s="407"/>
      <c r="O153" s="175"/>
      <c r="P153" s="353"/>
      <c r="Q153" s="353"/>
      <c r="R153" s="174"/>
      <c r="S153" s="103"/>
      <c r="T153" s="175">
        <f>T152-O152</f>
        <v>0</v>
      </c>
      <c r="U153" s="353">
        <f>U152-P152</f>
        <v>0</v>
      </c>
      <c r="V153" s="353">
        <f>V152-Q152</f>
        <v>0</v>
      </c>
      <c r="W153" s="174">
        <f>W152-R152</f>
        <v>0</v>
      </c>
      <c r="X153" s="103"/>
      <c r="Y153" s="175">
        <f>Y152-T152</f>
        <v>0</v>
      </c>
      <c r="Z153" s="353">
        <f>Z152-U152</f>
        <v>0</v>
      </c>
      <c r="AA153" s="353">
        <f>AA152-V152</f>
        <v>0</v>
      </c>
      <c r="AB153" s="174">
        <f>AB152-W152</f>
        <v>0</v>
      </c>
      <c r="AD153" s="175">
        <f>AD152-Y152</f>
        <v>106847</v>
      </c>
      <c r="AE153" s="353">
        <f>AE152-Z152</f>
        <v>224400</v>
      </c>
      <c r="AF153" s="353">
        <f>AF152-AA152</f>
        <v>347305</v>
      </c>
      <c r="AG153" s="174">
        <f>AG152-AB152</f>
        <v>484581</v>
      </c>
      <c r="AI153" s="175">
        <f>AI152-AD152</f>
        <v>419085</v>
      </c>
      <c r="AJ153" s="353">
        <f>AJ152-AE152</f>
        <v>342440</v>
      </c>
      <c r="AK153" s="353">
        <f>AK152-AF152</f>
        <v>266056</v>
      </c>
      <c r="AL153" s="174">
        <f>AL152-AG152</f>
        <v>179076</v>
      </c>
      <c r="AN153" s="175">
        <f>AN152-AI152</f>
        <v>190985</v>
      </c>
      <c r="AO153" s="353">
        <f>AO152-AJ152</f>
        <v>212427</v>
      </c>
      <c r="AP153" s="353">
        <f>AP152-AK152</f>
        <v>234552</v>
      </c>
      <c r="AQ153" s="174">
        <f>AQ152-AL152</f>
        <v>254806</v>
      </c>
      <c r="AS153" s="175">
        <f>AS152-AN152</f>
        <v>281010</v>
      </c>
      <c r="AT153" s="353">
        <f>AT152-AO152</f>
        <v>321492</v>
      </c>
      <c r="AU153" s="353">
        <f>AU152-AP152</f>
        <v>381391</v>
      </c>
      <c r="AV153" s="174">
        <f>AV152-AQ152</f>
        <v>462934</v>
      </c>
      <c r="AX153" s="175">
        <f>AX152-AS152</f>
        <v>554483</v>
      </c>
      <c r="AY153" s="353">
        <f>AY152-AT152</f>
        <v>620766</v>
      </c>
      <c r="AZ153" s="353">
        <f>AZ152-AU152</f>
        <v>654177</v>
      </c>
      <c r="BA153" s="174">
        <f>BA152-AV152</f>
        <v>655875</v>
      </c>
      <c r="BC153" s="175">
        <f>BC152-AX152</f>
        <v>602178</v>
      </c>
      <c r="BD153" s="353">
        <f>BD152-AY152</f>
        <v>545499</v>
      </c>
      <c r="BE153" s="353">
        <f>BE152-AZ152</f>
        <v>479025</v>
      </c>
      <c r="BF153" s="174">
        <f>BF152-BA152</f>
        <v>404905</v>
      </c>
      <c r="BH153" s="175">
        <f>BH152-BC152</f>
        <v>357645</v>
      </c>
      <c r="BI153" s="353">
        <f>BI152-BD152</f>
        <v>309382</v>
      </c>
      <c r="BJ153" s="353">
        <f>BJ152-BE152</f>
        <v>272197</v>
      </c>
      <c r="BK153" s="174">
        <f>BK152-BF152</f>
        <v>244531</v>
      </c>
      <c r="BM153" s="175">
        <f>BM152-BH152</f>
        <v>226651</v>
      </c>
      <c r="BN153" s="353">
        <f>BN152-BI152</f>
        <v>210477</v>
      </c>
      <c r="BO153" s="353">
        <f>BO152-BJ152</f>
        <v>204521</v>
      </c>
      <c r="BP153" s="174">
        <f>BP152-BK152</f>
        <v>214601</v>
      </c>
      <c r="BR153" s="175">
        <f>BR152-BM152</f>
        <v>217144</v>
      </c>
      <c r="BS153" s="353">
        <f>BS152-BN152</f>
        <v>236167</v>
      </c>
      <c r="BT153" s="353">
        <f>BT152-BO152</f>
        <v>250091</v>
      </c>
      <c r="BU153" s="174">
        <f>BU152-BP152</f>
        <v>240519.25309999986</v>
      </c>
      <c r="BW153" s="175">
        <f>BW152-BR152</f>
        <v>230572.37309999997</v>
      </c>
      <c r="BX153" s="353">
        <f>BX152-BS152</f>
        <v>210613.65309999976</v>
      </c>
      <c r="BY153" s="353">
        <f>BY152-BT152</f>
        <v>192406.13310000021</v>
      </c>
      <c r="BZ153" s="174">
        <f>BZ152-BU152</f>
        <v>188509.69518600078</v>
      </c>
    </row>
    <row r="155" spans="3:78">
      <c r="C155" s="81" t="s">
        <v>469</v>
      </c>
      <c r="D155" s="81"/>
      <c r="E155" s="81"/>
      <c r="F155" s="81"/>
      <c r="G155" s="81"/>
      <c r="H155" s="81"/>
      <c r="I155" s="81"/>
      <c r="J155" s="81"/>
      <c r="K155" s="81"/>
      <c r="L155" s="81"/>
      <c r="M155" s="81"/>
      <c r="N155" s="81"/>
      <c r="O155" s="81"/>
      <c r="P155" s="81"/>
      <c r="Q155" s="81"/>
      <c r="R155" s="81"/>
      <c r="S155" s="81"/>
      <c r="T155" s="81"/>
      <c r="U155" s="81"/>
      <c r="V155" s="81"/>
      <c r="W155" s="81"/>
      <c r="X155" s="81"/>
      <c r="Y155" s="143" t="e">
        <f>Y135/Y153</f>
        <v>#DIV/0!</v>
      </c>
      <c r="Z155" s="143" t="e">
        <f>Z135/Z153</f>
        <v>#DIV/0!</v>
      </c>
      <c r="AA155" s="143" t="e">
        <f>AA135/AA153</f>
        <v>#DIV/0!</v>
      </c>
      <c r="AB155" s="143" t="e">
        <f>AB135/AB153</f>
        <v>#DIV/0!</v>
      </c>
      <c r="AC155" s="81"/>
      <c r="AD155" s="143">
        <f>AD135/AD153</f>
        <v>0.57227624547249811</v>
      </c>
      <c r="AE155" s="143">
        <f>AE135/AE153</f>
        <v>0.56390819964349381</v>
      </c>
      <c r="AF155" s="143">
        <f>AF135/AF153</f>
        <v>0.55637839938958555</v>
      </c>
      <c r="AG155" s="143">
        <f>AG135/AG153</f>
        <v>0.54747090785647812</v>
      </c>
      <c r="AH155" s="81"/>
      <c r="AI155" s="143">
        <f>AI135/AI153</f>
        <v>0.67286350024458041</v>
      </c>
      <c r="AJ155" s="143">
        <f>AJ135/AJ153</f>
        <v>0.88428629832963435</v>
      </c>
      <c r="AK155" s="143">
        <f>AK135/AK153</f>
        <v>1.2347438133325315</v>
      </c>
      <c r="AL155" s="143">
        <f>AL135/AL153</f>
        <v>1.9676059326766289</v>
      </c>
      <c r="AM155" s="81"/>
      <c r="AN155" s="143">
        <f>AN135/AN153</f>
        <v>1.9943398696232688</v>
      </c>
      <c r="AO155" s="143">
        <f>AO135/AO153</f>
        <v>1.9535840547576344</v>
      </c>
      <c r="AP155" s="143">
        <f>AP135/AP153</f>
        <v>1.8867841672635493</v>
      </c>
      <c r="AQ155" s="143">
        <f>AQ135/AQ153</f>
        <v>1.8738962190843229</v>
      </c>
      <c r="AR155" s="81"/>
      <c r="AS155" s="143">
        <f>AS135/AS153</f>
        <v>1.8234617985125086</v>
      </c>
      <c r="AT155" s="143">
        <f>AT135/AT153</f>
        <v>1.6993953193236535</v>
      </c>
      <c r="AU155" s="143">
        <f>AU135/AU153</f>
        <v>1.5505242651242426</v>
      </c>
      <c r="AV155" s="143">
        <f>AV135/AV153</f>
        <v>1.3795530248372339</v>
      </c>
      <c r="AW155" s="81"/>
      <c r="AX155" s="143">
        <f>AX135/AX153</f>
        <v>1.2411237134411695</v>
      </c>
      <c r="AY155" s="143">
        <f>AY135/AY153</f>
        <v>1.192615252768354</v>
      </c>
      <c r="AZ155" s="143">
        <f>AZ135/AZ153</f>
        <v>1.212126075970265</v>
      </c>
      <c r="BA155" s="143">
        <f>BA135/BA153</f>
        <v>1.3067108824089957</v>
      </c>
      <c r="BB155" s="81"/>
      <c r="BC155" s="143">
        <f>BC135/BC153</f>
        <v>1.5177605292787182</v>
      </c>
      <c r="BD155" s="143">
        <f>BD135/BD153</f>
        <v>1.7685000339139028</v>
      </c>
      <c r="BE155" s="143">
        <f>BE135/BE153</f>
        <v>2.0825092636083711</v>
      </c>
      <c r="BF155" s="143">
        <f>BF135/BF153</f>
        <v>2.4679937269235994</v>
      </c>
      <c r="BH155" s="143">
        <f>BH135/BH153</f>
        <v>2.7433796082707711</v>
      </c>
      <c r="BI155" s="143">
        <f>BI135/BI153</f>
        <v>3.1107853721289538</v>
      </c>
      <c r="BJ155" s="143">
        <f>BJ135/BJ153</f>
        <v>3.4800126379056344</v>
      </c>
      <c r="BK155" s="143">
        <f>BK135/BK153</f>
        <v>3.8708507305822164</v>
      </c>
      <c r="BM155" s="143">
        <f>BM135/BM153</f>
        <v>4.1805463024650233</v>
      </c>
      <c r="BN155" s="143">
        <f>BN135/BN153</f>
        <v>4.4331352119233927</v>
      </c>
      <c r="BO155" s="143">
        <f>BO135/BO153</f>
        <v>4.5672424836569352</v>
      </c>
      <c r="BP155" s="143">
        <f>BP135/BP153</f>
        <v>4.372491274504779</v>
      </c>
      <c r="BR155" s="143">
        <f>BR135/BR153</f>
        <v>4.3785184025347235</v>
      </c>
      <c r="BS155" s="143">
        <f>BS135/BS153</f>
        <v>4.1362425741106925</v>
      </c>
      <c r="BT155" s="143">
        <f>BT135/BT153</f>
        <v>3.9318887924795374</v>
      </c>
      <c r="BU155" s="143">
        <f>BU135/BU153</f>
        <v>4.1393598070898072</v>
      </c>
      <c r="BW155" s="143">
        <f>BW135/BW153</f>
        <v>4.3654678042319208</v>
      </c>
      <c r="BX155" s="143">
        <f>BX135/BX153</f>
        <v>4.856828391973802</v>
      </c>
      <c r="BY155" s="143">
        <f>BY135/BY153</f>
        <v>5.4472780551577902</v>
      </c>
      <c r="BZ155" s="143">
        <f>BZ135/BZ153</f>
        <v>5.6189268570591837</v>
      </c>
    </row>
    <row r="158" spans="3:78" ht="13.9" thickBot="1">
      <c r="V158" s="342"/>
      <c r="W158" s="342"/>
      <c r="X158" s="342"/>
      <c r="Y158" s="342"/>
      <c r="Z158" s="342"/>
      <c r="AA158" s="342"/>
      <c r="AB158" s="342"/>
      <c r="AC158" s="342"/>
      <c r="AD158" s="342"/>
      <c r="AE158" s="342"/>
      <c r="AF158" s="109"/>
    </row>
    <row r="159" spans="3:78" ht="14.25" thickBot="1">
      <c r="V159" s="342"/>
      <c r="W159" s="342"/>
      <c r="X159" s="342"/>
      <c r="Y159" s="397" t="s">
        <v>179</v>
      </c>
      <c r="Z159" s="215" t="s">
        <v>183</v>
      </c>
      <c r="AA159" s="215" t="s">
        <v>184</v>
      </c>
      <c r="AB159" s="215" t="s">
        <v>185</v>
      </c>
      <c r="AC159" s="397" t="s">
        <v>186</v>
      </c>
      <c r="AD159" s="805"/>
      <c r="AE159" s="805"/>
      <c r="AF159" s="805"/>
      <c r="AG159" s="805"/>
      <c r="AH159" s="805"/>
      <c r="AI159" s="805"/>
      <c r="AJ159" s="805"/>
      <c r="AK159" s="805"/>
      <c r="AL159" s="805"/>
      <c r="AM159" s="805"/>
      <c r="AN159" s="805"/>
      <c r="AO159" s="805"/>
      <c r="AP159" s="805"/>
      <c r="AQ159" s="805"/>
      <c r="AR159" s="805"/>
      <c r="AS159" s="805"/>
      <c r="AT159" s="805"/>
      <c r="AU159" s="805"/>
      <c r="AV159" s="805"/>
    </row>
    <row r="160" spans="3:78" ht="13.9" thickBot="1">
      <c r="V160" s="342"/>
      <c r="W160" s="342"/>
      <c r="X160" s="342"/>
      <c r="Y160" s="408" t="e">
        <f>Y155</f>
        <v>#DIV/0!</v>
      </c>
      <c r="Z160" s="409" t="e">
        <f>Z155</f>
        <v>#DIV/0!</v>
      </c>
      <c r="AA160" s="409" t="e">
        <f>AA155</f>
        <v>#DIV/0!</v>
      </c>
      <c r="AB160" s="409" t="e">
        <f>AB155</f>
        <v>#DIV/0!</v>
      </c>
      <c r="AC160" s="408">
        <f>AD155</f>
        <v>0.57227624547249811</v>
      </c>
      <c r="AD160" s="806"/>
      <c r="AE160" s="806"/>
      <c r="AF160" s="806"/>
      <c r="AG160" s="807"/>
      <c r="AH160" s="807"/>
      <c r="AI160" s="807"/>
      <c r="AJ160" s="807"/>
      <c r="AK160" s="807"/>
      <c r="AL160" s="807"/>
      <c r="AM160" s="807"/>
      <c r="AN160" s="807"/>
      <c r="AO160" s="807"/>
      <c r="AP160" s="807"/>
      <c r="AQ160" s="807"/>
      <c r="AR160" s="807"/>
      <c r="AS160" s="807"/>
      <c r="AT160" s="807"/>
      <c r="AU160" s="807"/>
      <c r="AV160" s="807"/>
    </row>
    <row r="161" spans="22:33" ht="13.5">
      <c r="V161" s="342"/>
      <c r="W161" s="342"/>
      <c r="X161" s="342"/>
      <c r="Y161" s="342"/>
      <c r="Z161" s="342"/>
      <c r="AA161" s="342"/>
      <c r="AB161" s="342"/>
      <c r="AC161" s="342"/>
      <c r="AD161" s="342"/>
      <c r="AE161" s="342"/>
      <c r="AF161" s="109"/>
      <c r="AG161" s="109"/>
    </row>
    <row r="162" spans="22:33" ht="13.5">
      <c r="V162" s="342"/>
      <c r="W162" s="342"/>
      <c r="X162" s="342"/>
      <c r="Y162" s="342"/>
      <c r="Z162" s="342"/>
      <c r="AA162" s="342"/>
      <c r="AB162" s="342"/>
      <c r="AC162" s="342"/>
      <c r="AD162" s="342"/>
      <c r="AE162" s="342"/>
    </row>
    <row r="163" spans="22:33" ht="13.5">
      <c r="V163" s="342"/>
      <c r="W163" s="342"/>
      <c r="X163" s="342"/>
      <c r="Y163" s="342"/>
      <c r="Z163" s="342"/>
      <c r="AA163" s="342"/>
      <c r="AB163" s="342"/>
      <c r="AC163" s="342"/>
      <c r="AD163" s="342"/>
      <c r="AE163" s="342"/>
      <c r="AF163" s="342"/>
    </row>
    <row r="164" spans="22:33" ht="13.5">
      <c r="V164" s="342"/>
      <c r="W164" s="342"/>
      <c r="X164" s="342"/>
      <c r="Y164" s="342"/>
      <c r="Z164" s="342"/>
      <c r="AA164" s="342"/>
      <c r="AB164" s="342"/>
      <c r="AC164" s="342"/>
      <c r="AD164" s="342"/>
      <c r="AE164" s="342"/>
      <c r="AF164" s="342"/>
    </row>
    <row r="165" spans="22:33" ht="13.5">
      <c r="V165" s="342"/>
      <c r="W165" s="342"/>
      <c r="X165" s="342"/>
      <c r="Y165" s="342"/>
      <c r="Z165" s="342"/>
      <c r="AA165" s="342"/>
      <c r="AB165" s="342"/>
      <c r="AC165" s="342"/>
      <c r="AD165" s="342"/>
      <c r="AE165" s="342"/>
      <c r="AF165" s="342"/>
    </row>
    <row r="166" spans="22:33" ht="13.5">
      <c r="V166" s="342"/>
      <c r="W166" s="342"/>
      <c r="X166" s="342"/>
      <c r="Y166" s="342"/>
      <c r="Z166" s="342"/>
      <c r="AA166" s="342"/>
      <c r="AB166" s="342"/>
      <c r="AC166" s="342"/>
      <c r="AD166" s="342"/>
      <c r="AE166" s="342"/>
      <c r="AF166" s="342"/>
    </row>
    <row r="167" spans="22:33" ht="13.5">
      <c r="V167" s="342"/>
      <c r="W167" s="342"/>
      <c r="X167" s="342"/>
      <c r="Y167" s="342"/>
      <c r="Z167" s="342"/>
      <c r="AA167" s="342"/>
      <c r="AB167" s="342"/>
      <c r="AC167" s="342"/>
      <c r="AD167" s="342"/>
      <c r="AE167" s="342"/>
      <c r="AF167" s="342"/>
    </row>
    <row r="168" spans="22:33" ht="13.5">
      <c r="V168" s="342"/>
      <c r="W168" s="342"/>
      <c r="X168" s="342"/>
      <c r="Y168" s="342"/>
      <c r="Z168" s="342"/>
      <c r="AA168" s="342"/>
      <c r="AB168" s="342"/>
      <c r="AC168" s="342"/>
      <c r="AD168" s="342"/>
      <c r="AE168" s="342"/>
      <c r="AF168" s="342"/>
    </row>
    <row r="169" spans="22:33" ht="13.5">
      <c r="V169" s="342"/>
      <c r="W169" s="342"/>
      <c r="X169" s="342"/>
      <c r="Y169" s="342"/>
      <c r="Z169" s="342"/>
      <c r="AA169" s="342"/>
      <c r="AB169" s="342"/>
      <c r="AC169" s="342"/>
      <c r="AD169" s="342"/>
      <c r="AE169" s="342"/>
      <c r="AF169" s="342"/>
    </row>
    <row r="170" spans="22:33" ht="13.5">
      <c r="V170" s="342"/>
      <c r="W170" s="342"/>
      <c r="X170" s="342"/>
      <c r="Y170" s="342"/>
      <c r="Z170" s="342"/>
      <c r="AA170" s="342"/>
      <c r="AB170" s="342"/>
      <c r="AC170" s="342"/>
      <c r="AD170" s="342"/>
      <c r="AE170" s="342"/>
      <c r="AF170" s="342"/>
    </row>
    <row r="171" spans="22:33" ht="13.5">
      <c r="V171" s="342"/>
      <c r="W171" s="342"/>
      <c r="X171" s="342"/>
      <c r="Y171" s="342"/>
      <c r="Z171" s="342"/>
      <c r="AA171" s="342"/>
      <c r="AB171" s="342"/>
      <c r="AC171" s="342"/>
      <c r="AD171" s="342"/>
      <c r="AE171" s="342"/>
      <c r="AF171" s="342"/>
    </row>
    <row r="172" spans="22:33" ht="13.5">
      <c r="V172" s="342"/>
      <c r="W172" s="342"/>
      <c r="X172" s="342"/>
      <c r="Y172" s="342"/>
      <c r="Z172" s="342"/>
      <c r="AA172" s="342"/>
      <c r="AB172" s="342"/>
      <c r="AC172" s="342"/>
      <c r="AD172" s="342"/>
      <c r="AE172" s="342"/>
      <c r="AF172" s="342"/>
    </row>
    <row r="173" spans="22:33" ht="13.5">
      <c r="V173" s="342"/>
      <c r="W173" s="342"/>
      <c r="X173" s="342"/>
      <c r="Y173" s="342"/>
      <c r="Z173" s="342"/>
      <c r="AA173" s="342"/>
      <c r="AB173" s="342"/>
      <c r="AC173" s="342"/>
      <c r="AD173" s="342"/>
      <c r="AE173" s="342"/>
      <c r="AF173" s="342"/>
    </row>
    <row r="174" spans="22:33" ht="13.5">
      <c r="V174" s="342"/>
      <c r="W174" s="342"/>
      <c r="X174" s="342"/>
      <c r="Y174" s="342"/>
      <c r="Z174" s="342"/>
      <c r="AA174" s="342"/>
      <c r="AB174" s="342"/>
      <c r="AC174" s="342"/>
      <c r="AD174" s="342"/>
      <c r="AE174" s="342"/>
      <c r="AF174" s="342"/>
    </row>
    <row r="175" spans="22:33" ht="13.5">
      <c r="V175" s="342"/>
      <c r="W175" s="342"/>
      <c r="X175" s="342"/>
      <c r="Y175" s="342"/>
      <c r="Z175" s="342"/>
      <c r="AA175" s="342"/>
      <c r="AB175" s="342"/>
      <c r="AC175" s="342"/>
      <c r="AD175" s="342"/>
      <c r="AE175" s="342"/>
      <c r="AF175" s="342"/>
    </row>
    <row r="176" spans="22:33" ht="13.5">
      <c r="V176" s="342"/>
      <c r="W176" s="342"/>
      <c r="X176" s="342"/>
      <c r="Y176" s="342"/>
      <c r="Z176" s="342"/>
      <c r="AA176" s="342"/>
      <c r="AB176" s="342"/>
      <c r="AC176" s="342"/>
      <c r="AD176" s="342"/>
      <c r="AE176" s="342"/>
      <c r="AF176" s="342"/>
    </row>
    <row r="177" spans="22:32" ht="13.5">
      <c r="V177" s="342"/>
      <c r="W177" s="342"/>
      <c r="X177" s="342"/>
      <c r="Y177" s="342"/>
      <c r="Z177" s="342"/>
      <c r="AA177" s="342"/>
      <c r="AB177" s="342"/>
      <c r="AC177" s="342"/>
      <c r="AD177" s="342"/>
      <c r="AE177" s="342"/>
      <c r="AF177" s="342"/>
    </row>
    <row r="178" spans="22:32" ht="13.5">
      <c r="V178" s="342"/>
      <c r="W178" s="342"/>
      <c r="X178" s="342"/>
      <c r="Y178" s="342"/>
      <c r="Z178" s="342"/>
      <c r="AA178" s="342"/>
      <c r="AB178" s="342"/>
      <c r="AC178" s="342"/>
      <c r="AD178" s="342"/>
      <c r="AE178" s="342"/>
      <c r="AF178" s="342"/>
    </row>
    <row r="184" spans="22:32">
      <c r="AC184" s="53">
        <v>2019</v>
      </c>
    </row>
    <row r="185" spans="22:32">
      <c r="Z185" s="53">
        <f>42/4.2</f>
        <v>10</v>
      </c>
      <c r="AC185" s="53">
        <f>111.3/4.2</f>
        <v>26.499999999999996</v>
      </c>
      <c r="AF185" s="109"/>
    </row>
  </sheetData>
  <mergeCells count="15">
    <mergeCell ref="E100:H100"/>
    <mergeCell ref="Y100:AB100"/>
    <mergeCell ref="T100:W100"/>
    <mergeCell ref="O100:R100"/>
    <mergeCell ref="J100:M100"/>
    <mergeCell ref="BW100:BZ100"/>
    <mergeCell ref="BR100:BU100"/>
    <mergeCell ref="BM100:BP100"/>
    <mergeCell ref="BH100:BK100"/>
    <mergeCell ref="AD100:AG100"/>
    <mergeCell ref="BC100:BF100"/>
    <mergeCell ref="AX100:BA100"/>
    <mergeCell ref="AS100:AV100"/>
    <mergeCell ref="AN100:AQ100"/>
    <mergeCell ref="AI100:AL100"/>
  </mergeCells>
  <pageMargins left="0.17" right="0.17" top="0.75" bottom="0.75" header="0.3" footer="0.3"/>
  <pageSetup scale="55" orientation="landscape" r:id="rId1"/>
  <ignoredErrors>
    <ignoredError sqref="S30 X30 AC30 AC28 X28 S28 AY143 BG33:BG45 BB33 AW19:AW30 AW77:BL78 AW81:BE81 BG79 AW79:BC80 BG80 AW82:BC82 BG82 BB108:BD108 BL20 BK33:BL34 BL32 BB19:BB32 BG5:BG32 BG108 BL31 BL30 BL29 BL28 BL19 BL27 BG47:BG56 AW84:BC87 AW83:BA83 BC83 BG84:BG87 BL83 BL80 BL79 BG81:BL81 BL82 BL84:BL87 BK22:BL25 BL21 BG58:BG61 BJ54" formula="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B1:CA81"/>
  <sheetViews>
    <sheetView showGridLines="0" zoomScaleNormal="100" workbookViewId="0">
      <pane xSplit="3" ySplit="4" topLeftCell="BK5" activePane="bottomRight" state="frozen"/>
      <selection activeCell="B4" sqref="B4:BV87"/>
      <selection pane="topRight" activeCell="B4" sqref="B4:BV87"/>
      <selection pane="bottomLeft" activeCell="B4" sqref="B4:BV87"/>
      <selection pane="bottomRight" activeCell="BM19" sqref="BM19"/>
    </sheetView>
  </sheetViews>
  <sheetFormatPr defaultColWidth="10.0625" defaultRowHeight="12.75" outlineLevelCol="2"/>
  <cols>
    <col min="1" max="1" width="1.5625" style="81" customWidth="1"/>
    <col min="2" max="2" width="2.0625" style="81" customWidth="1"/>
    <col min="3" max="3" width="30.0625" style="81" customWidth="1"/>
    <col min="4" max="4" width="7.5625" style="81" hidden="1" customWidth="1"/>
    <col min="5" max="8" width="10.0625" style="81" hidden="1" customWidth="1" outlineLevel="1"/>
    <col min="9" max="9" width="7.5625" style="81" hidden="1" customWidth="1"/>
    <col min="10" max="13" width="10.0625" style="81" hidden="1" customWidth="1" outlineLevel="1"/>
    <col min="14" max="14" width="7.5625" style="81" hidden="1" customWidth="1"/>
    <col min="15" max="18" width="10.0625" style="81" hidden="1" customWidth="1" outlineLevel="1"/>
    <col min="19" max="19" width="7.5625" style="81" hidden="1" customWidth="1" outlineLevel="1" collapsed="1"/>
    <col min="20" max="22" width="7.5625" style="81" hidden="1" customWidth="1" outlineLevel="2"/>
    <col min="23" max="23" width="8" style="81" hidden="1" customWidth="1" outlineLevel="2"/>
    <col min="24" max="24" width="8" style="81" hidden="1" customWidth="1" outlineLevel="1"/>
    <col min="25" max="26" width="7.5625" style="81" hidden="1" customWidth="1" outlineLevel="2"/>
    <col min="27" max="28" width="8" style="81" hidden="1" customWidth="1" outlineLevel="1"/>
    <col min="29" max="29" width="9.5625" style="81" hidden="1" customWidth="1" collapsed="1"/>
    <col min="30" max="33" width="9.5625" style="81" hidden="1" customWidth="1" outlineLevel="1"/>
    <col min="34" max="34" width="9.5625" style="81" customWidth="1" collapsed="1"/>
    <col min="35" max="38" width="9.5625" style="81" hidden="1" customWidth="1" outlineLevel="1"/>
    <col min="39" max="39" width="9.5625" style="81" customWidth="1" collapsed="1"/>
    <col min="40" max="43" width="9.5625" style="81" hidden="1" customWidth="1" outlineLevel="1"/>
    <col min="44" max="44" width="9.5625" style="81" customWidth="1" collapsed="1"/>
    <col min="45" max="48" width="9.5625" style="81" hidden="1" customWidth="1" outlineLevel="1"/>
    <col min="49" max="49" width="9.5625" style="81" customWidth="1" collapsed="1"/>
    <col min="50" max="53" width="9.5625" style="81" customWidth="1" outlineLevel="1"/>
    <col min="54" max="54" width="9.5625" style="81" customWidth="1"/>
    <col min="55" max="58" width="9.5625" style="81" customWidth="1" outlineLevel="1"/>
    <col min="59" max="59" width="9.5625" style="81" customWidth="1"/>
    <col min="60" max="63" width="9.5625" style="81" customWidth="1" outlineLevel="1"/>
    <col min="64" max="64" width="9.5625" style="81" customWidth="1"/>
    <col min="65" max="68" width="9.5625" style="81" customWidth="1" outlineLevel="1"/>
    <col min="69" max="69" width="9.5625" style="81" customWidth="1"/>
    <col min="70" max="73" width="9.5625" style="81" customWidth="1" outlineLevel="1"/>
    <col min="74" max="74" width="9.5625" style="81" customWidth="1"/>
    <col min="75" max="78" width="9.5625" style="81" customWidth="1" outlineLevel="1"/>
    <col min="79" max="79" width="9.5625" style="81" customWidth="1"/>
    <col min="80" max="16384" width="10.0625" style="81"/>
  </cols>
  <sheetData>
    <row r="1" spans="2:79" ht="10.5" customHeight="1">
      <c r="AE1" s="151"/>
      <c r="AF1" s="63"/>
      <c r="BH1" s="1186"/>
      <c r="BI1" s="1186"/>
      <c r="BJ1" s="1186"/>
      <c r="BK1" s="1186"/>
      <c r="BL1" s="1186"/>
      <c r="BM1" s="1186"/>
      <c r="BN1" s="1186"/>
      <c r="BO1" s="1186"/>
      <c r="BP1" s="1186"/>
      <c r="BQ1" s="1186"/>
      <c r="BR1" s="1186"/>
      <c r="BS1" s="1186"/>
      <c r="BT1" s="1186"/>
      <c r="BU1" s="1186"/>
      <c r="BV1" s="1186"/>
      <c r="BW1" s="1186"/>
      <c r="BX1" s="1186"/>
      <c r="BY1" s="1186"/>
      <c r="BZ1" s="1186"/>
      <c r="CA1" s="1186"/>
    </row>
    <row r="2" spans="2:79" ht="15">
      <c r="B2" s="134" t="str">
        <f>IS!B2</f>
        <v>DocuSign, Inc (DOCU)</v>
      </c>
      <c r="E2" s="134"/>
      <c r="F2" s="134"/>
      <c r="G2" s="134"/>
      <c r="H2" s="134"/>
      <c r="I2" s="134"/>
      <c r="J2" s="134"/>
      <c r="K2" s="134"/>
      <c r="L2" s="134"/>
      <c r="T2" s="103"/>
      <c r="Z2" s="103"/>
      <c r="AB2" s="285"/>
      <c r="AC2" s="103"/>
      <c r="AE2" s="63"/>
      <c r="AF2" s="63"/>
      <c r="BM2" s="103"/>
      <c r="BR2" s="103"/>
    </row>
    <row r="3" spans="2:79" ht="5.55" customHeight="1" thickBot="1">
      <c r="AD3" s="245"/>
      <c r="AE3" s="245"/>
      <c r="AF3" s="245"/>
      <c r="AG3" s="245"/>
      <c r="AH3" s="246"/>
      <c r="BF3" s="277"/>
    </row>
    <row r="4" spans="2:79" ht="13.5" thickBot="1">
      <c r="B4" s="1169" t="s">
        <v>405</v>
      </c>
      <c r="C4" s="1171"/>
      <c r="D4" s="1171">
        <v>2012</v>
      </c>
      <c r="E4" s="1171" t="s">
        <v>102</v>
      </c>
      <c r="F4" s="1171" t="s">
        <v>101</v>
      </c>
      <c r="G4" s="1171" t="s">
        <v>100</v>
      </c>
      <c r="H4" s="1171" t="s">
        <v>99</v>
      </c>
      <c r="I4" s="1171">
        <v>2013</v>
      </c>
      <c r="J4" s="1171" t="s">
        <v>67</v>
      </c>
      <c r="K4" s="1171" t="s">
        <v>66</v>
      </c>
      <c r="L4" s="1171" t="s">
        <v>65</v>
      </c>
      <c r="M4" s="1171" t="s">
        <v>64</v>
      </c>
      <c r="N4" s="1171">
        <v>2014</v>
      </c>
      <c r="O4" s="1171" t="s">
        <v>63</v>
      </c>
      <c r="P4" s="1171" t="s">
        <v>62</v>
      </c>
      <c r="Q4" s="1171" t="s">
        <v>61</v>
      </c>
      <c r="R4" s="1171" t="s">
        <v>140</v>
      </c>
      <c r="S4" s="1171">
        <v>2015</v>
      </c>
      <c r="T4" s="1171" t="s">
        <v>155</v>
      </c>
      <c r="U4" s="1171" t="s">
        <v>156</v>
      </c>
      <c r="V4" s="1171" t="s">
        <v>164</v>
      </c>
      <c r="W4" s="1171" t="s">
        <v>165</v>
      </c>
      <c r="X4" s="1171">
        <v>2016</v>
      </c>
      <c r="Y4" s="1171" t="s">
        <v>179</v>
      </c>
      <c r="Z4" s="1171" t="s">
        <v>183</v>
      </c>
      <c r="AA4" s="1171" t="s">
        <v>184</v>
      </c>
      <c r="AB4" s="1171" t="s">
        <v>185</v>
      </c>
      <c r="AC4" s="1171">
        <v>2017</v>
      </c>
      <c r="AD4" s="1174" t="s">
        <v>186</v>
      </c>
      <c r="AE4" s="1172" t="s">
        <v>187</v>
      </c>
      <c r="AF4" s="1172" t="s">
        <v>189</v>
      </c>
      <c r="AG4" s="1175" t="s">
        <v>207</v>
      </c>
      <c r="AH4" s="1171">
        <v>2018</v>
      </c>
      <c r="AI4" s="1174" t="s">
        <v>208</v>
      </c>
      <c r="AJ4" s="1172" t="s">
        <v>212</v>
      </c>
      <c r="AK4" s="1172" t="s">
        <v>226</v>
      </c>
      <c r="AL4" s="1175" t="s">
        <v>227</v>
      </c>
      <c r="AM4" s="1171">
        <v>2019</v>
      </c>
      <c r="AN4" s="1174" t="s">
        <v>241</v>
      </c>
      <c r="AO4" s="1172" t="s">
        <v>245</v>
      </c>
      <c r="AP4" s="1172" t="s">
        <v>246</v>
      </c>
      <c r="AQ4" s="1175" t="s">
        <v>247</v>
      </c>
      <c r="AR4" s="1171">
        <v>2020</v>
      </c>
      <c r="AS4" s="1174" t="s">
        <v>254</v>
      </c>
      <c r="AT4" s="1172" t="s">
        <v>255</v>
      </c>
      <c r="AU4" s="1172" t="s">
        <v>399</v>
      </c>
      <c r="AV4" s="1175" t="s">
        <v>400</v>
      </c>
      <c r="AW4" s="1171">
        <v>2021</v>
      </c>
      <c r="AX4" s="1174" t="s">
        <v>408</v>
      </c>
      <c r="AY4" s="1172" t="s">
        <v>417</v>
      </c>
      <c r="AZ4" s="1172" t="s">
        <v>475</v>
      </c>
      <c r="BA4" s="1175" t="s">
        <v>569</v>
      </c>
      <c r="BB4" s="1171">
        <v>2022</v>
      </c>
      <c r="BC4" s="1174" t="s">
        <v>570</v>
      </c>
      <c r="BD4" s="1172" t="s">
        <v>579</v>
      </c>
      <c r="BE4" s="1172" t="s">
        <v>582</v>
      </c>
      <c r="BF4" s="1175" t="s">
        <v>589</v>
      </c>
      <c r="BG4" s="1171">
        <v>2023</v>
      </c>
      <c r="BH4" s="1174" t="str">
        <f>IS!BH4</f>
        <v>1Q24</v>
      </c>
      <c r="BI4" s="1174" t="str">
        <f>IS!BI4</f>
        <v>2Q24</v>
      </c>
      <c r="BJ4" s="1174" t="str">
        <f>IS!BJ4</f>
        <v>3Q24</v>
      </c>
      <c r="BK4" s="1174" t="str">
        <f>IS!BK4</f>
        <v>4Q24</v>
      </c>
      <c r="BL4" s="1182" t="str">
        <f>IS!BL4</f>
        <v>FY24</v>
      </c>
      <c r="BM4" s="1174" t="str">
        <f>IS!BM4</f>
        <v>1Q25</v>
      </c>
      <c r="BN4" s="1174" t="str">
        <f>IS!BN4</f>
        <v>2Q25</v>
      </c>
      <c r="BO4" s="1174" t="str">
        <f>IS!BO4</f>
        <v>3Q25</v>
      </c>
      <c r="BP4" s="1174" t="str">
        <f>IS!BP4</f>
        <v>4Q25</v>
      </c>
      <c r="BQ4" s="1182" t="str">
        <f>IS!BQ4</f>
        <v>FY25</v>
      </c>
      <c r="BR4" s="1174" t="str">
        <f>IS!BR4</f>
        <v>1Q26</v>
      </c>
      <c r="BS4" s="1174" t="str">
        <f>IS!BS4</f>
        <v>2Q26</v>
      </c>
      <c r="BT4" s="1174" t="str">
        <f>IS!BT4</f>
        <v>3Q26</v>
      </c>
      <c r="BU4" s="1174" t="str">
        <f>IS!BU4</f>
        <v>4Q26E</v>
      </c>
      <c r="BV4" s="1182" t="str">
        <f>IS!BV4</f>
        <v>FY26E</v>
      </c>
      <c r="BW4" s="1174" t="str">
        <f>IS!BW4</f>
        <v>1Q27E</v>
      </c>
      <c r="BX4" s="1174" t="str">
        <f>IS!BX4</f>
        <v>2Q27E</v>
      </c>
      <c r="BY4" s="1174" t="str">
        <f>IS!BY4</f>
        <v>3Q27E</v>
      </c>
      <c r="BZ4" s="1174" t="str">
        <f>IS!BZ4</f>
        <v>4Q27E</v>
      </c>
      <c r="CA4" s="1182" t="str">
        <f>IS!CA4</f>
        <v>FY27E</v>
      </c>
    </row>
    <row r="5" spans="2:79" ht="20.25" customHeight="1">
      <c r="B5" s="226" t="s">
        <v>117</v>
      </c>
      <c r="C5" s="186"/>
      <c r="D5" s="185"/>
      <c r="H5" s="72"/>
      <c r="I5" s="180"/>
      <c r="M5" s="72"/>
      <c r="N5" s="180"/>
      <c r="O5" s="72"/>
      <c r="P5" s="72"/>
      <c r="Q5" s="72"/>
      <c r="R5" s="72"/>
      <c r="S5" s="180"/>
      <c r="T5" s="72"/>
      <c r="U5" s="72"/>
      <c r="V5" s="72"/>
      <c r="W5" s="72"/>
      <c r="X5" s="180"/>
      <c r="Y5" s="72"/>
      <c r="Z5" s="72"/>
      <c r="AA5" s="72"/>
      <c r="AB5" s="72"/>
      <c r="AC5" s="180"/>
      <c r="AD5" s="72"/>
      <c r="AE5" s="72"/>
      <c r="AF5" s="72"/>
      <c r="AG5" s="72"/>
      <c r="AH5" s="180"/>
      <c r="AI5" s="72"/>
      <c r="AJ5" s="72"/>
      <c r="AK5" s="72"/>
      <c r="AL5" s="72"/>
      <c r="AM5" s="180"/>
      <c r="AN5" s="72"/>
      <c r="AO5" s="72"/>
      <c r="AP5" s="72"/>
      <c r="AQ5" s="72"/>
      <c r="AR5" s="180"/>
      <c r="AS5" s="72"/>
      <c r="AT5" s="72"/>
      <c r="AU5" s="72"/>
      <c r="AV5" s="72"/>
      <c r="AW5" s="180"/>
      <c r="AX5" s="72"/>
      <c r="AY5" s="72"/>
      <c r="AZ5" s="72"/>
      <c r="BA5" s="72"/>
      <c r="BB5" s="180"/>
      <c r="BC5" s="72"/>
      <c r="BD5" s="72"/>
      <c r="BE5" s="72"/>
      <c r="BF5" s="72"/>
      <c r="BG5" s="180"/>
      <c r="BH5" s="72"/>
      <c r="BI5" s="72"/>
      <c r="BJ5" s="72"/>
      <c r="BK5" s="72"/>
      <c r="BL5" s="180"/>
      <c r="BM5" s="72"/>
      <c r="BN5" s="72"/>
      <c r="BO5" s="72"/>
      <c r="BP5" s="72">
        <v>0</v>
      </c>
      <c r="BQ5" s="180"/>
      <c r="BR5" s="72"/>
      <c r="BS5" s="72"/>
      <c r="BT5" s="72"/>
      <c r="BU5" s="72"/>
      <c r="BV5" s="180"/>
      <c r="BW5" s="72"/>
      <c r="BX5" s="72"/>
      <c r="BY5" s="72"/>
      <c r="BZ5" s="72"/>
      <c r="CA5" s="180"/>
    </row>
    <row r="6" spans="2:79">
      <c r="B6" s="92"/>
      <c r="C6" s="137" t="s">
        <v>180</v>
      </c>
      <c r="D6" s="71"/>
      <c r="E6" s="72"/>
      <c r="F6" s="72"/>
      <c r="G6" s="72"/>
      <c r="H6" s="270"/>
      <c r="I6" s="71"/>
      <c r="J6" s="72"/>
      <c r="K6" s="72"/>
      <c r="L6" s="72"/>
      <c r="M6" s="270"/>
      <c r="N6" s="71"/>
      <c r="O6" s="270"/>
      <c r="P6" s="270"/>
      <c r="Q6" s="270"/>
      <c r="R6" s="72"/>
      <c r="S6" s="71">
        <f>R6</f>
        <v>0</v>
      </c>
      <c r="T6" s="270"/>
      <c r="U6" s="270"/>
      <c r="V6" s="270"/>
      <c r="W6" s="72"/>
      <c r="X6" s="71">
        <v>228523</v>
      </c>
      <c r="Y6" s="72"/>
      <c r="Z6" s="72"/>
      <c r="AA6" s="72"/>
      <c r="AB6" s="72"/>
      <c r="AC6" s="71">
        <v>190556</v>
      </c>
      <c r="AD6" s="72"/>
      <c r="AE6" s="72"/>
      <c r="AF6" s="72"/>
      <c r="AG6" s="72">
        <v>256867</v>
      </c>
      <c r="AH6" s="71">
        <f t="shared" ref="AH6:AH11" si="0">AG6</f>
        <v>256867</v>
      </c>
      <c r="AI6" s="72">
        <v>269429</v>
      </c>
      <c r="AJ6" s="72">
        <v>818795</v>
      </c>
      <c r="AK6" s="72">
        <v>1094133</v>
      </c>
      <c r="AL6" s="72">
        <v>517811</v>
      </c>
      <c r="AM6" s="71">
        <f t="shared" ref="AM6:AM11" si="1">AL6</f>
        <v>517811</v>
      </c>
      <c r="AN6" s="72">
        <v>236476</v>
      </c>
      <c r="AO6" s="72">
        <v>224290</v>
      </c>
      <c r="AP6" s="72">
        <v>197697</v>
      </c>
      <c r="AQ6" s="72">
        <v>241203</v>
      </c>
      <c r="AR6" s="71">
        <f t="shared" ref="AR6:AR11" si="2">AQ6</f>
        <v>241203</v>
      </c>
      <c r="AS6" s="72">
        <v>442237</v>
      </c>
      <c r="AT6" s="72">
        <v>404262</v>
      </c>
      <c r="AU6" s="72">
        <v>374984</v>
      </c>
      <c r="AV6" s="72">
        <v>566055</v>
      </c>
      <c r="AW6" s="71">
        <f t="shared" ref="AW6:AW11" si="3">AV6</f>
        <v>566055</v>
      </c>
      <c r="AX6" s="72">
        <v>518972</v>
      </c>
      <c r="AY6" s="72">
        <v>518577</v>
      </c>
      <c r="AZ6" s="72">
        <v>503884</v>
      </c>
      <c r="BA6" s="72">
        <v>509059</v>
      </c>
      <c r="BB6" s="71">
        <f t="shared" ref="BB6:BB11" si="4">BA6</f>
        <v>509059</v>
      </c>
      <c r="BC6" s="72">
        <v>638190</v>
      </c>
      <c r="BD6" s="72">
        <v>637186</v>
      </c>
      <c r="BE6" s="72">
        <v>632620</v>
      </c>
      <c r="BF6" s="72">
        <v>721895</v>
      </c>
      <c r="BG6" s="71">
        <f t="shared" ref="BG6:BG11" si="5">BF6</f>
        <v>721895</v>
      </c>
      <c r="BH6" s="72">
        <v>940494</v>
      </c>
      <c r="BI6" s="72">
        <v>1017778</v>
      </c>
      <c r="BJ6" s="72">
        <v>1188578</v>
      </c>
      <c r="BK6" s="72">
        <v>797060</v>
      </c>
      <c r="BL6" s="71">
        <f t="shared" ref="BL6:BL11" si="6">BK6</f>
        <v>797060</v>
      </c>
      <c r="BM6" s="72">
        <v>817388</v>
      </c>
      <c r="BN6" s="72">
        <v>619064</v>
      </c>
      <c r="BO6" s="72">
        <v>610870</v>
      </c>
      <c r="BP6" s="72">
        <v>648623</v>
      </c>
      <c r="BQ6" s="71">
        <f t="shared" ref="BQ6:BQ11" si="7">BP6</f>
        <v>648623</v>
      </c>
      <c r="BR6" s="72">
        <v>657399</v>
      </c>
      <c r="BS6" s="72">
        <v>599986</v>
      </c>
      <c r="BT6" s="72">
        <v>583291</v>
      </c>
      <c r="BU6" s="72">
        <f>BT6+CF!BU70</f>
        <v>855072.32637919998</v>
      </c>
      <c r="BV6" s="71">
        <f t="shared" ref="BV6:BV11" si="8">BU6</f>
        <v>855072.32637919998</v>
      </c>
      <c r="BW6" s="72">
        <f>BV6+CF!BW70</f>
        <v>1218625.5886301319</v>
      </c>
      <c r="BX6" s="72">
        <f>BW6+CF!BX70</f>
        <v>1487879.2868251931</v>
      </c>
      <c r="BY6" s="72">
        <f>BX6+CF!BY70</f>
        <v>1644676.1360114089</v>
      </c>
      <c r="BZ6" s="72">
        <f>BY6+CF!BZ70</f>
        <v>1939958.4911440576</v>
      </c>
      <c r="CA6" s="71">
        <f t="shared" ref="CA6:CA11" si="9">BZ6</f>
        <v>1939958.4911440576</v>
      </c>
    </row>
    <row r="7" spans="2:79">
      <c r="B7" s="92"/>
      <c r="C7" s="137" t="s">
        <v>257</v>
      </c>
      <c r="D7" s="71"/>
      <c r="E7" s="72"/>
      <c r="F7" s="72"/>
      <c r="G7" s="72"/>
      <c r="H7" s="270"/>
      <c r="I7" s="71"/>
      <c r="J7" s="72"/>
      <c r="K7" s="72"/>
      <c r="L7" s="72"/>
      <c r="M7" s="270"/>
      <c r="N7" s="71"/>
      <c r="O7" s="270"/>
      <c r="P7" s="270"/>
      <c r="Q7" s="270"/>
      <c r="R7" s="72"/>
      <c r="S7" s="71"/>
      <c r="T7" s="270"/>
      <c r="U7" s="270"/>
      <c r="V7" s="270"/>
      <c r="W7" s="72"/>
      <c r="X7" s="71"/>
      <c r="Y7" s="72"/>
      <c r="Z7" s="72"/>
      <c r="AA7" s="72"/>
      <c r="AB7" s="72"/>
      <c r="AC7" s="71"/>
      <c r="AD7" s="72"/>
      <c r="AE7" s="72"/>
      <c r="AF7" s="72"/>
      <c r="AG7" s="72">
        <v>0</v>
      </c>
      <c r="AH7" s="71">
        <f t="shared" si="0"/>
        <v>0</v>
      </c>
      <c r="AI7" s="72"/>
      <c r="AJ7" s="72"/>
      <c r="AK7" s="72">
        <v>0</v>
      </c>
      <c r="AL7" s="72">
        <v>251203</v>
      </c>
      <c r="AM7" s="71">
        <f t="shared" si="1"/>
        <v>251203</v>
      </c>
      <c r="AN7" s="72">
        <v>515648</v>
      </c>
      <c r="AO7" s="72">
        <v>525963</v>
      </c>
      <c r="AP7" s="72">
        <v>456080</v>
      </c>
      <c r="AQ7" s="72">
        <v>414939</v>
      </c>
      <c r="AR7" s="71">
        <f>AQ7</f>
        <v>414939</v>
      </c>
      <c r="AS7" s="72">
        <v>315712</v>
      </c>
      <c r="AT7" s="72">
        <v>269777</v>
      </c>
      <c r="AU7" s="72">
        <v>223590</v>
      </c>
      <c r="AV7" s="72">
        <v>207450</v>
      </c>
      <c r="AW7" s="71">
        <f t="shared" si="3"/>
        <v>207450</v>
      </c>
      <c r="AX7" s="72">
        <v>261660</v>
      </c>
      <c r="AY7" s="72">
        <v>304292</v>
      </c>
      <c r="AZ7" s="72">
        <v>314574</v>
      </c>
      <c r="BA7" s="72">
        <v>293763</v>
      </c>
      <c r="BB7" s="71">
        <f t="shared" si="4"/>
        <v>293763</v>
      </c>
      <c r="BC7" s="72">
        <v>329425</v>
      </c>
      <c r="BD7" s="72">
        <v>357539</v>
      </c>
      <c r="BE7" s="72">
        <v>342730</v>
      </c>
      <c r="BF7" s="72">
        <v>309771</v>
      </c>
      <c r="BG7" s="71">
        <f t="shared" si="5"/>
        <v>309771</v>
      </c>
      <c r="BH7" s="72">
        <v>350763</v>
      </c>
      <c r="BI7" s="72">
        <v>426271</v>
      </c>
      <c r="BJ7" s="72">
        <v>401639</v>
      </c>
      <c r="BK7" s="72">
        <v>248402</v>
      </c>
      <c r="BL7" s="71">
        <f t="shared" si="6"/>
        <v>248402</v>
      </c>
      <c r="BM7" s="72">
        <v>269400</v>
      </c>
      <c r="BN7" s="72">
        <v>319289</v>
      </c>
      <c r="BO7" s="72">
        <v>331506</v>
      </c>
      <c r="BP7" s="72">
        <v>314924</v>
      </c>
      <c r="BQ7" s="71">
        <f t="shared" si="7"/>
        <v>314924</v>
      </c>
      <c r="BR7" s="72">
        <v>291293</v>
      </c>
      <c r="BS7" s="72">
        <v>244469</v>
      </c>
      <c r="BT7" s="72">
        <v>256580</v>
      </c>
      <c r="BU7" s="72">
        <f>BT7</f>
        <v>256580</v>
      </c>
      <c r="BV7" s="71">
        <f t="shared" si="8"/>
        <v>256580</v>
      </c>
      <c r="BW7" s="72">
        <f>BV7</f>
        <v>256580</v>
      </c>
      <c r="BX7" s="72">
        <f>BW7</f>
        <v>256580</v>
      </c>
      <c r="BY7" s="72">
        <f>BX7</f>
        <v>256580</v>
      </c>
      <c r="BZ7" s="72">
        <f>BY7</f>
        <v>256580</v>
      </c>
      <c r="CA7" s="71">
        <f t="shared" si="9"/>
        <v>256580</v>
      </c>
    </row>
    <row r="8" spans="2:79">
      <c r="B8" s="92"/>
      <c r="C8" s="137" t="s">
        <v>154</v>
      </c>
      <c r="D8" s="71"/>
      <c r="E8" s="72"/>
      <c r="F8" s="72"/>
      <c r="G8" s="72"/>
      <c r="H8" s="270"/>
      <c r="I8" s="71"/>
      <c r="J8" s="72"/>
      <c r="K8" s="72"/>
      <c r="L8" s="72"/>
      <c r="M8" s="270"/>
      <c r="N8" s="71"/>
      <c r="O8" s="270"/>
      <c r="P8" s="270"/>
      <c r="Q8" s="270"/>
      <c r="R8" s="72"/>
      <c r="S8" s="71">
        <f>R8</f>
        <v>0</v>
      </c>
      <c r="T8" s="270"/>
      <c r="U8" s="270"/>
      <c r="V8" s="270"/>
      <c r="W8" s="72"/>
      <c r="X8" s="71">
        <f>W8</f>
        <v>0</v>
      </c>
      <c r="Y8" s="72"/>
      <c r="Z8" s="72"/>
      <c r="AA8" s="72"/>
      <c r="AB8" s="72"/>
      <c r="AC8" s="71"/>
      <c r="AD8" s="72"/>
      <c r="AE8" s="72"/>
      <c r="AF8" s="72"/>
      <c r="AG8" s="72">
        <v>123750</v>
      </c>
      <c r="AH8" s="71">
        <f t="shared" si="0"/>
        <v>123750</v>
      </c>
      <c r="AI8" s="72">
        <v>104128</v>
      </c>
      <c r="AJ8" s="72">
        <v>108365</v>
      </c>
      <c r="AK8" s="72">
        <v>130611</v>
      </c>
      <c r="AL8" s="72">
        <v>174548</v>
      </c>
      <c r="AM8" s="71">
        <f t="shared" si="1"/>
        <v>174548</v>
      </c>
      <c r="AN8" s="72">
        <v>117134</v>
      </c>
      <c r="AO8" s="72">
        <v>138652</v>
      </c>
      <c r="AP8" s="72">
        <v>159464</v>
      </c>
      <c r="AQ8" s="72">
        <v>237841</v>
      </c>
      <c r="AR8" s="71">
        <f t="shared" si="2"/>
        <v>237841</v>
      </c>
      <c r="AS8" s="72">
        <v>220602</v>
      </c>
      <c r="AT8" s="72">
        <v>224502</v>
      </c>
      <c r="AU8" s="72">
        <v>261085</v>
      </c>
      <c r="AV8" s="72">
        <v>323570</v>
      </c>
      <c r="AW8" s="71">
        <f t="shared" si="3"/>
        <v>323570</v>
      </c>
      <c r="AX8" s="72">
        <v>250365</v>
      </c>
      <c r="AY8" s="72">
        <v>284730</v>
      </c>
      <c r="AZ8" s="72">
        <v>305599</v>
      </c>
      <c r="BA8" s="72">
        <v>440950</v>
      </c>
      <c r="BB8" s="71">
        <f t="shared" si="4"/>
        <v>440950</v>
      </c>
      <c r="BC8" s="72">
        <v>300872</v>
      </c>
      <c r="BD8" s="72">
        <v>339528</v>
      </c>
      <c r="BE8" s="72">
        <v>422612</v>
      </c>
      <c r="BF8" s="72">
        <v>516914</v>
      </c>
      <c r="BG8" s="71">
        <f t="shared" si="5"/>
        <v>516914</v>
      </c>
      <c r="BH8" s="72">
        <v>408632</v>
      </c>
      <c r="BI8" s="72">
        <v>414740</v>
      </c>
      <c r="BJ8" s="72">
        <v>360456</v>
      </c>
      <c r="BK8" s="72">
        <v>439299</v>
      </c>
      <c r="BL8" s="71">
        <f t="shared" si="6"/>
        <v>439299</v>
      </c>
      <c r="BM8" s="72">
        <v>306152</v>
      </c>
      <c r="BN8" s="83">
        <v>309885</v>
      </c>
      <c r="BO8" s="72">
        <v>300444</v>
      </c>
      <c r="BP8" s="72">
        <v>429582</v>
      </c>
      <c r="BQ8" s="71">
        <f t="shared" si="7"/>
        <v>429582</v>
      </c>
      <c r="BR8" s="72">
        <v>307597</v>
      </c>
      <c r="BS8" s="72">
        <v>356943</v>
      </c>
      <c r="BT8" s="72">
        <v>354978</v>
      </c>
      <c r="BU8" s="72">
        <f>BU54*IS!BU13</f>
        <v>488055.38272899995</v>
      </c>
      <c r="BV8" s="71">
        <f t="shared" si="8"/>
        <v>488055.38272899995</v>
      </c>
      <c r="BW8" s="72">
        <f>BW54*IS!BW13</f>
        <v>362849.34600000002</v>
      </c>
      <c r="BX8" s="72">
        <f>BX54*IS!BX13</f>
        <v>380587.28400000004</v>
      </c>
      <c r="BY8" s="72">
        <f>BY54*IS!BY13</f>
        <v>466733.03760000004</v>
      </c>
      <c r="BZ8" s="72">
        <f>BZ54*IS!BZ13</f>
        <v>524278.47425159998</v>
      </c>
      <c r="CA8" s="71">
        <f t="shared" si="9"/>
        <v>524278.47425159998</v>
      </c>
    </row>
    <row r="9" spans="2:79">
      <c r="B9" s="92"/>
      <c r="C9" s="137" t="s">
        <v>213</v>
      </c>
      <c r="D9" s="71"/>
      <c r="E9" s="72"/>
      <c r="F9" s="72"/>
      <c r="G9" s="72"/>
      <c r="H9" s="270"/>
      <c r="I9" s="71"/>
      <c r="J9" s="72"/>
      <c r="K9" s="72"/>
      <c r="L9" s="72"/>
      <c r="M9" s="270"/>
      <c r="N9" s="71"/>
      <c r="O9" s="270"/>
      <c r="P9" s="270"/>
      <c r="Q9" s="270"/>
      <c r="R9" s="72"/>
      <c r="S9" s="71"/>
      <c r="T9" s="270"/>
      <c r="U9" s="270"/>
      <c r="V9" s="270"/>
      <c r="W9" s="72"/>
      <c r="X9" s="71"/>
      <c r="Y9" s="72"/>
      <c r="Z9" s="72"/>
      <c r="AA9" s="72"/>
      <c r="AB9" s="72"/>
      <c r="AC9" s="71"/>
      <c r="AD9" s="72"/>
      <c r="AE9" s="72"/>
      <c r="AF9" s="72"/>
      <c r="AG9" s="72">
        <v>569</v>
      </c>
      <c r="AH9" s="71">
        <f t="shared" si="0"/>
        <v>569</v>
      </c>
      <c r="AI9" s="72">
        <v>367</v>
      </c>
      <c r="AJ9" s="72">
        <v>367</v>
      </c>
      <c r="AK9" s="72">
        <v>367</v>
      </c>
      <c r="AL9" s="72">
        <v>367</v>
      </c>
      <c r="AM9" s="71">
        <f t="shared" si="1"/>
        <v>367</v>
      </c>
      <c r="AN9" s="72">
        <v>167</v>
      </c>
      <c r="AO9" s="72">
        <v>133</v>
      </c>
      <c r="AP9" s="72">
        <v>414</v>
      </c>
      <c r="AQ9" s="72">
        <v>280</v>
      </c>
      <c r="AR9" s="71">
        <f t="shared" si="2"/>
        <v>280</v>
      </c>
      <c r="AS9" s="72">
        <v>280</v>
      </c>
      <c r="AT9" s="72">
        <v>280</v>
      </c>
      <c r="AU9" s="72">
        <v>281</v>
      </c>
      <c r="AV9" s="72">
        <v>0</v>
      </c>
      <c r="AW9" s="71">
        <f t="shared" si="3"/>
        <v>0</v>
      </c>
      <c r="AX9" s="72">
        <f>AW9</f>
        <v>0</v>
      </c>
      <c r="AY9" s="72">
        <f>AX9</f>
        <v>0</v>
      </c>
      <c r="AZ9" s="72">
        <f>AY9</f>
        <v>0</v>
      </c>
      <c r="BA9" s="72">
        <f>AZ9</f>
        <v>0</v>
      </c>
      <c r="BB9" s="71">
        <f t="shared" si="4"/>
        <v>0</v>
      </c>
      <c r="BC9" s="72">
        <f>BB9</f>
        <v>0</v>
      </c>
      <c r="BD9" s="72">
        <f>BC9</f>
        <v>0</v>
      </c>
      <c r="BE9" s="72">
        <f>BD9</f>
        <v>0</v>
      </c>
      <c r="BF9" s="72">
        <f>BE9</f>
        <v>0</v>
      </c>
      <c r="BG9" s="71">
        <f t="shared" si="5"/>
        <v>0</v>
      </c>
      <c r="BH9" s="72">
        <f>BG9</f>
        <v>0</v>
      </c>
      <c r="BI9" s="72">
        <f>BH9</f>
        <v>0</v>
      </c>
      <c r="BJ9" s="72">
        <f>BI9</f>
        <v>0</v>
      </c>
      <c r="BK9" s="72">
        <f>BJ9</f>
        <v>0</v>
      </c>
      <c r="BL9" s="71">
        <f t="shared" si="6"/>
        <v>0</v>
      </c>
      <c r="BM9" s="72">
        <f>BL9</f>
        <v>0</v>
      </c>
      <c r="BN9" s="72"/>
      <c r="BO9" s="72"/>
      <c r="BP9" s="72">
        <f>BO9</f>
        <v>0</v>
      </c>
      <c r="BQ9" s="71">
        <f t="shared" si="7"/>
        <v>0</v>
      </c>
      <c r="BR9" s="72"/>
      <c r="BS9" s="72">
        <f>BR9</f>
        <v>0</v>
      </c>
      <c r="BT9" s="72">
        <f>BS9</f>
        <v>0</v>
      </c>
      <c r="BU9" s="72">
        <f>BT9</f>
        <v>0</v>
      </c>
      <c r="BV9" s="71">
        <f t="shared" si="8"/>
        <v>0</v>
      </c>
      <c r="BW9" s="72">
        <f>BV9</f>
        <v>0</v>
      </c>
      <c r="BX9" s="72">
        <f>BW9</f>
        <v>0</v>
      </c>
      <c r="BY9" s="72">
        <f>BX9</f>
        <v>0</v>
      </c>
      <c r="BZ9" s="72">
        <f>BY9</f>
        <v>0</v>
      </c>
      <c r="CA9" s="71">
        <f t="shared" si="9"/>
        <v>0</v>
      </c>
    </row>
    <row r="10" spans="2:79">
      <c r="B10" s="92"/>
      <c r="C10" s="137" t="s">
        <v>258</v>
      </c>
      <c r="D10" s="71"/>
      <c r="E10" s="72"/>
      <c r="F10" s="72"/>
      <c r="G10" s="72"/>
      <c r="H10" s="270"/>
      <c r="I10" s="71"/>
      <c r="J10" s="72"/>
      <c r="K10" s="72"/>
      <c r="L10" s="72"/>
      <c r="M10" s="270"/>
      <c r="N10" s="71"/>
      <c r="O10" s="270"/>
      <c r="P10" s="270"/>
      <c r="Q10" s="270"/>
      <c r="R10" s="72"/>
      <c r="S10" s="71"/>
      <c r="T10" s="270"/>
      <c r="U10" s="270"/>
      <c r="V10" s="270"/>
      <c r="W10" s="72"/>
      <c r="X10" s="71"/>
      <c r="Y10" s="72"/>
      <c r="Z10" s="72"/>
      <c r="AA10" s="72"/>
      <c r="AB10" s="72"/>
      <c r="AC10" s="71"/>
      <c r="AD10" s="72"/>
      <c r="AE10" s="72"/>
      <c r="AF10" s="72"/>
      <c r="AG10" s="72">
        <v>14260</v>
      </c>
      <c r="AH10" s="71">
        <f t="shared" si="0"/>
        <v>14260</v>
      </c>
      <c r="AI10" s="72">
        <v>12030</v>
      </c>
      <c r="AJ10" s="72">
        <v>13760</v>
      </c>
      <c r="AK10" s="72">
        <v>12056</v>
      </c>
      <c r="AL10" s="72">
        <v>10616</v>
      </c>
      <c r="AM10" s="71">
        <f t="shared" si="1"/>
        <v>10616</v>
      </c>
      <c r="AN10" s="72">
        <v>13360</v>
      </c>
      <c r="AO10" s="72">
        <v>15548</v>
      </c>
      <c r="AP10" s="72">
        <v>17921</v>
      </c>
      <c r="AQ10" s="72">
        <v>12502</v>
      </c>
      <c r="AR10" s="71">
        <f t="shared" si="2"/>
        <v>12502</v>
      </c>
      <c r="AS10" s="72">
        <v>13236</v>
      </c>
      <c r="AT10" s="72">
        <v>17044</v>
      </c>
      <c r="AU10" s="72">
        <v>22477</v>
      </c>
      <c r="AV10" s="72">
        <v>16883</v>
      </c>
      <c r="AW10" s="71">
        <f t="shared" si="3"/>
        <v>16883</v>
      </c>
      <c r="AX10" s="72">
        <v>15267</v>
      </c>
      <c r="AY10" s="72">
        <v>13993</v>
      </c>
      <c r="AZ10" s="72">
        <v>14690</v>
      </c>
      <c r="BA10" s="72">
        <v>12588</v>
      </c>
      <c r="BB10" s="71">
        <f t="shared" si="4"/>
        <v>12588</v>
      </c>
      <c r="BC10" s="72">
        <v>13368</v>
      </c>
      <c r="BD10" s="72">
        <v>9387</v>
      </c>
      <c r="BE10" s="72">
        <v>13609</v>
      </c>
      <c r="BF10" s="72">
        <v>12437</v>
      </c>
      <c r="BG10" s="71">
        <f t="shared" si="5"/>
        <v>12437</v>
      </c>
      <c r="BH10" s="72">
        <v>17454</v>
      </c>
      <c r="BI10" s="72">
        <v>16188</v>
      </c>
      <c r="BJ10" s="72">
        <v>19381</v>
      </c>
      <c r="BK10" s="72">
        <v>15922</v>
      </c>
      <c r="BL10" s="71">
        <f t="shared" si="6"/>
        <v>15922</v>
      </c>
      <c r="BM10" s="72">
        <v>12319</v>
      </c>
      <c r="BN10" s="72">
        <v>13449</v>
      </c>
      <c r="BO10" s="72">
        <v>13645</v>
      </c>
      <c r="BP10" s="72">
        <v>13764</v>
      </c>
      <c r="BQ10" s="71">
        <f t="shared" si="7"/>
        <v>13764</v>
      </c>
      <c r="BR10" s="72">
        <v>9585</v>
      </c>
      <c r="BS10" s="72">
        <v>9892</v>
      </c>
      <c r="BT10" s="72">
        <v>8978</v>
      </c>
      <c r="BU10" s="72">
        <f>BU55*IS!BU13</f>
        <v>16544.250262000001</v>
      </c>
      <c r="BV10" s="71">
        <f t="shared" si="8"/>
        <v>16544.250262000001</v>
      </c>
      <c r="BW10" s="72">
        <f>BW55*IS!BW13</f>
        <v>16126.6376</v>
      </c>
      <c r="BX10" s="72">
        <f>BX55*IS!BX13</f>
        <v>16914.990400000002</v>
      </c>
      <c r="BY10" s="72">
        <f>BY55*IS!BY13</f>
        <v>17286.408800000001</v>
      </c>
      <c r="BZ10" s="72">
        <f>BZ55*IS!BZ13</f>
        <v>17475.949141720001</v>
      </c>
      <c r="CA10" s="71">
        <f t="shared" si="9"/>
        <v>17475.949141720001</v>
      </c>
    </row>
    <row r="11" spans="2:79">
      <c r="B11" s="92"/>
      <c r="C11" s="137" t="s">
        <v>169</v>
      </c>
      <c r="D11" s="71"/>
      <c r="E11" s="72"/>
      <c r="F11" s="72"/>
      <c r="G11" s="72"/>
      <c r="H11" s="270"/>
      <c r="I11" s="71"/>
      <c r="J11" s="72"/>
      <c r="K11" s="72"/>
      <c r="L11" s="72"/>
      <c r="M11" s="270"/>
      <c r="N11" s="71"/>
      <c r="O11" s="270"/>
      <c r="P11" s="270"/>
      <c r="Q11" s="270"/>
      <c r="R11" s="72"/>
      <c r="S11" s="71">
        <f>R11</f>
        <v>0</v>
      </c>
      <c r="T11" s="270"/>
      <c r="U11" s="270"/>
      <c r="V11" s="270"/>
      <c r="W11" s="72"/>
      <c r="X11" s="71">
        <f>W11</f>
        <v>0</v>
      </c>
      <c r="Y11" s="72"/>
      <c r="Z11" s="72"/>
      <c r="AA11" s="72"/>
      <c r="AB11" s="72"/>
      <c r="AC11" s="71"/>
      <c r="AD11" s="72"/>
      <c r="AE11" s="72"/>
      <c r="AF11" s="72"/>
      <c r="AG11" s="72">
        <v>23349</v>
      </c>
      <c r="AH11" s="71">
        <f t="shared" si="0"/>
        <v>23349</v>
      </c>
      <c r="AI11" s="72">
        <v>29779</v>
      </c>
      <c r="AJ11" s="72">
        <v>26776</v>
      </c>
      <c r="AK11" s="72">
        <v>28344</v>
      </c>
      <c r="AL11" s="72">
        <v>29976</v>
      </c>
      <c r="AM11" s="71">
        <f t="shared" si="1"/>
        <v>29976</v>
      </c>
      <c r="AN11" s="72">
        <v>39341</v>
      </c>
      <c r="AO11" s="72">
        <v>38907</v>
      </c>
      <c r="AP11" s="72">
        <v>37814</v>
      </c>
      <c r="AQ11" s="72">
        <v>37125</v>
      </c>
      <c r="AR11" s="71">
        <f t="shared" si="2"/>
        <v>37125</v>
      </c>
      <c r="AS11" s="72">
        <v>51176</v>
      </c>
      <c r="AT11" s="72">
        <v>52158</v>
      </c>
      <c r="AU11" s="72">
        <v>47343</v>
      </c>
      <c r="AV11" s="72">
        <v>48390</v>
      </c>
      <c r="AW11" s="71">
        <f t="shared" si="3"/>
        <v>48390</v>
      </c>
      <c r="AX11" s="72">
        <v>65172</v>
      </c>
      <c r="AY11" s="72">
        <v>61197</v>
      </c>
      <c r="AZ11" s="72">
        <v>67842</v>
      </c>
      <c r="BA11" s="72">
        <v>63236</v>
      </c>
      <c r="BB11" s="71">
        <f t="shared" si="4"/>
        <v>63236</v>
      </c>
      <c r="BC11" s="72">
        <v>80669</v>
      </c>
      <c r="BD11" s="72">
        <v>79142</v>
      </c>
      <c r="BE11" s="72">
        <v>68814</v>
      </c>
      <c r="BF11" s="72">
        <v>69987</v>
      </c>
      <c r="BG11" s="71">
        <f t="shared" si="5"/>
        <v>69987</v>
      </c>
      <c r="BH11" s="72">
        <v>86719</v>
      </c>
      <c r="BI11" s="72">
        <v>81492</v>
      </c>
      <c r="BJ11" s="72">
        <v>72629</v>
      </c>
      <c r="BK11" s="72">
        <v>66984</v>
      </c>
      <c r="BL11" s="71">
        <f t="shared" si="6"/>
        <v>66984</v>
      </c>
      <c r="BM11" s="72">
        <v>84540</v>
      </c>
      <c r="BN11" s="72">
        <v>81693</v>
      </c>
      <c r="BO11" s="72">
        <v>75412</v>
      </c>
      <c r="BP11" s="72">
        <v>82368</v>
      </c>
      <c r="BQ11" s="71">
        <f t="shared" si="7"/>
        <v>82368</v>
      </c>
      <c r="BR11" s="72">
        <v>111204</v>
      </c>
      <c r="BS11" s="72">
        <v>107760</v>
      </c>
      <c r="BT11" s="72">
        <v>103328</v>
      </c>
      <c r="BU11" s="72">
        <f>BU56*IS!BU13</f>
        <v>107537.626703</v>
      </c>
      <c r="BV11" s="71">
        <f t="shared" si="8"/>
        <v>107537.626703</v>
      </c>
      <c r="BW11" s="72">
        <f>BW56*IS!BW13</f>
        <v>104823.1444</v>
      </c>
      <c r="BX11" s="72">
        <f>BX56*IS!BX13</f>
        <v>101489.9424</v>
      </c>
      <c r="BY11" s="72">
        <f>BY56*IS!BY13</f>
        <v>95075.248400000011</v>
      </c>
      <c r="BZ11" s="72">
        <f>BZ56*IS!BZ13</f>
        <v>96117.720279460002</v>
      </c>
      <c r="CA11" s="71">
        <f t="shared" si="9"/>
        <v>96117.720279460002</v>
      </c>
    </row>
    <row r="12" spans="2:79" s="128" customFormat="1" ht="13.15">
      <c r="B12" s="120" t="s">
        <v>7</v>
      </c>
      <c r="C12" s="138"/>
      <c r="D12" s="336">
        <f t="shared" ref="D12:AI12" si="10">SUM(D6:D11)</f>
        <v>0</v>
      </c>
      <c r="E12" s="119">
        <f t="shared" si="10"/>
        <v>0</v>
      </c>
      <c r="F12" s="119">
        <f t="shared" si="10"/>
        <v>0</v>
      </c>
      <c r="G12" s="119">
        <f t="shared" si="10"/>
        <v>0</v>
      </c>
      <c r="H12" s="119">
        <f t="shared" si="10"/>
        <v>0</v>
      </c>
      <c r="I12" s="336">
        <f t="shared" si="10"/>
        <v>0</v>
      </c>
      <c r="J12" s="119">
        <f t="shared" si="10"/>
        <v>0</v>
      </c>
      <c r="K12" s="119">
        <f t="shared" si="10"/>
        <v>0</v>
      </c>
      <c r="L12" s="119">
        <f t="shared" si="10"/>
        <v>0</v>
      </c>
      <c r="M12" s="119">
        <f t="shared" si="10"/>
        <v>0</v>
      </c>
      <c r="N12" s="336">
        <f t="shared" si="10"/>
        <v>0</v>
      </c>
      <c r="O12" s="119">
        <f t="shared" si="10"/>
        <v>0</v>
      </c>
      <c r="P12" s="119">
        <f t="shared" si="10"/>
        <v>0</v>
      </c>
      <c r="Q12" s="119">
        <f t="shared" si="10"/>
        <v>0</v>
      </c>
      <c r="R12" s="119">
        <f t="shared" si="10"/>
        <v>0</v>
      </c>
      <c r="S12" s="336">
        <f t="shared" si="10"/>
        <v>0</v>
      </c>
      <c r="T12" s="119">
        <f t="shared" si="10"/>
        <v>0</v>
      </c>
      <c r="U12" s="119">
        <f t="shared" si="10"/>
        <v>0</v>
      </c>
      <c r="V12" s="119">
        <f t="shared" si="10"/>
        <v>0</v>
      </c>
      <c r="W12" s="119">
        <f t="shared" si="10"/>
        <v>0</v>
      </c>
      <c r="X12" s="336">
        <f t="shared" si="10"/>
        <v>228523</v>
      </c>
      <c r="Y12" s="119">
        <f t="shared" si="10"/>
        <v>0</v>
      </c>
      <c r="Z12" s="119">
        <f t="shared" si="10"/>
        <v>0</v>
      </c>
      <c r="AA12" s="119">
        <f t="shared" si="10"/>
        <v>0</v>
      </c>
      <c r="AB12" s="119">
        <f t="shared" si="10"/>
        <v>0</v>
      </c>
      <c r="AC12" s="336">
        <f t="shared" si="10"/>
        <v>190556</v>
      </c>
      <c r="AD12" s="119">
        <f t="shared" si="10"/>
        <v>0</v>
      </c>
      <c r="AE12" s="119">
        <f t="shared" si="10"/>
        <v>0</v>
      </c>
      <c r="AF12" s="119">
        <f t="shared" si="10"/>
        <v>0</v>
      </c>
      <c r="AG12" s="119">
        <f t="shared" si="10"/>
        <v>418795</v>
      </c>
      <c r="AH12" s="336">
        <f t="shared" si="10"/>
        <v>418795</v>
      </c>
      <c r="AI12" s="119">
        <f t="shared" si="10"/>
        <v>415733</v>
      </c>
      <c r="AJ12" s="119">
        <f t="shared" ref="AJ12:BO12" si="11">SUM(AJ6:AJ11)</f>
        <v>968063</v>
      </c>
      <c r="AK12" s="119">
        <f t="shared" si="11"/>
        <v>1265511</v>
      </c>
      <c r="AL12" s="119">
        <f t="shared" si="11"/>
        <v>984521</v>
      </c>
      <c r="AM12" s="336">
        <f t="shared" si="11"/>
        <v>984521</v>
      </c>
      <c r="AN12" s="119">
        <f t="shared" si="11"/>
        <v>922126</v>
      </c>
      <c r="AO12" s="119">
        <f t="shared" si="11"/>
        <v>943493</v>
      </c>
      <c r="AP12" s="119">
        <f t="shared" si="11"/>
        <v>869390</v>
      </c>
      <c r="AQ12" s="119">
        <f t="shared" si="11"/>
        <v>943890</v>
      </c>
      <c r="AR12" s="336">
        <f t="shared" si="11"/>
        <v>943890</v>
      </c>
      <c r="AS12" s="119">
        <f t="shared" si="11"/>
        <v>1043243</v>
      </c>
      <c r="AT12" s="119">
        <f t="shared" si="11"/>
        <v>968023</v>
      </c>
      <c r="AU12" s="119">
        <f t="shared" si="11"/>
        <v>929760</v>
      </c>
      <c r="AV12" s="119">
        <f t="shared" si="11"/>
        <v>1162348</v>
      </c>
      <c r="AW12" s="336">
        <f t="shared" si="11"/>
        <v>1162348</v>
      </c>
      <c r="AX12" s="119">
        <f t="shared" si="11"/>
        <v>1111436</v>
      </c>
      <c r="AY12" s="119">
        <f t="shared" si="11"/>
        <v>1182789</v>
      </c>
      <c r="AZ12" s="119">
        <f t="shared" si="11"/>
        <v>1206589</v>
      </c>
      <c r="BA12" s="119">
        <f t="shared" si="11"/>
        <v>1319596</v>
      </c>
      <c r="BB12" s="336">
        <f t="shared" si="11"/>
        <v>1319596</v>
      </c>
      <c r="BC12" s="119">
        <f t="shared" si="11"/>
        <v>1362524</v>
      </c>
      <c r="BD12" s="119">
        <f t="shared" si="11"/>
        <v>1422782</v>
      </c>
      <c r="BE12" s="119">
        <f t="shared" si="11"/>
        <v>1480385</v>
      </c>
      <c r="BF12" s="119">
        <f t="shared" si="11"/>
        <v>1631004</v>
      </c>
      <c r="BG12" s="336">
        <f t="shared" si="11"/>
        <v>1631004</v>
      </c>
      <c r="BH12" s="119">
        <f t="shared" si="11"/>
        <v>1804062</v>
      </c>
      <c r="BI12" s="119">
        <f t="shared" si="11"/>
        <v>1956469</v>
      </c>
      <c r="BJ12" s="119">
        <f t="shared" si="11"/>
        <v>2042683</v>
      </c>
      <c r="BK12" s="119">
        <f t="shared" si="11"/>
        <v>1567667</v>
      </c>
      <c r="BL12" s="336">
        <f t="shared" si="11"/>
        <v>1567667</v>
      </c>
      <c r="BM12" s="119">
        <f t="shared" si="11"/>
        <v>1489799</v>
      </c>
      <c r="BN12" s="119">
        <f t="shared" si="11"/>
        <v>1343380</v>
      </c>
      <c r="BO12" s="119">
        <f t="shared" si="11"/>
        <v>1331877</v>
      </c>
      <c r="BP12" s="119">
        <f t="shared" ref="BP12:BV12" si="12">SUM(BP6:BP11)</f>
        <v>1489261</v>
      </c>
      <c r="BQ12" s="336">
        <f t="shared" si="12"/>
        <v>1489261</v>
      </c>
      <c r="BR12" s="119">
        <f t="shared" si="12"/>
        <v>1377078</v>
      </c>
      <c r="BS12" s="119">
        <f t="shared" si="12"/>
        <v>1319050</v>
      </c>
      <c r="BT12" s="119">
        <f t="shared" si="12"/>
        <v>1307155</v>
      </c>
      <c r="BU12" s="119">
        <f t="shared" si="12"/>
        <v>1723789.5860731998</v>
      </c>
      <c r="BV12" s="336">
        <f t="shared" si="12"/>
        <v>1723789.5860731998</v>
      </c>
      <c r="BW12" s="119">
        <f>SUM(BW6:BW11)</f>
        <v>1959004.7166301319</v>
      </c>
      <c r="BX12" s="119">
        <f>SUM(BX6:BX11)</f>
        <v>2243451.5036251931</v>
      </c>
      <c r="BY12" s="119">
        <f>SUM(BY6:BY11)</f>
        <v>2480350.8308114088</v>
      </c>
      <c r="BZ12" s="119">
        <f>SUM(BZ6:BZ11)</f>
        <v>2834410.634816837</v>
      </c>
      <c r="CA12" s="336">
        <f>SUM(CA6:CA11)</f>
        <v>2834410.634816837</v>
      </c>
    </row>
    <row r="13" spans="2:79" s="128" customFormat="1" ht="13.15">
      <c r="B13" s="120"/>
      <c r="C13" s="137" t="s">
        <v>260</v>
      </c>
      <c r="D13" s="291"/>
      <c r="E13" s="72"/>
      <c r="F13" s="72"/>
      <c r="G13" s="72"/>
      <c r="H13" s="270"/>
      <c r="I13" s="71"/>
      <c r="J13" s="72"/>
      <c r="K13" s="72"/>
      <c r="L13" s="72"/>
      <c r="M13" s="270"/>
      <c r="N13" s="71"/>
      <c r="O13" s="270"/>
      <c r="P13" s="270"/>
      <c r="Q13" s="270"/>
      <c r="R13" s="270"/>
      <c r="S13" s="71"/>
      <c r="T13" s="270"/>
      <c r="U13" s="276"/>
      <c r="V13" s="270"/>
      <c r="W13" s="270"/>
      <c r="X13" s="71"/>
      <c r="Y13" s="72"/>
      <c r="Z13" s="72"/>
      <c r="AA13" s="72"/>
      <c r="AB13" s="72"/>
      <c r="AC13" s="71"/>
      <c r="AD13" s="72"/>
      <c r="AE13" s="72"/>
      <c r="AF13" s="72"/>
      <c r="AG13" s="72">
        <v>0</v>
      </c>
      <c r="AH13" s="71">
        <f>AG13</f>
        <v>0</v>
      </c>
      <c r="AI13" s="72"/>
      <c r="AJ13" s="72">
        <v>0</v>
      </c>
      <c r="AK13" s="72">
        <v>0</v>
      </c>
      <c r="AL13" s="72">
        <v>164220</v>
      </c>
      <c r="AM13" s="71">
        <f>AL13</f>
        <v>164220</v>
      </c>
      <c r="AN13" s="72">
        <v>184683</v>
      </c>
      <c r="AO13" s="72">
        <v>180146</v>
      </c>
      <c r="AP13" s="72">
        <v>257783</v>
      </c>
      <c r="AQ13" s="72">
        <v>239729</v>
      </c>
      <c r="AR13" s="71">
        <f>AQ13</f>
        <v>239729</v>
      </c>
      <c r="AS13" s="72">
        <v>140117</v>
      </c>
      <c r="AT13" s="72">
        <v>66265</v>
      </c>
      <c r="AU13" s="72">
        <v>76782</v>
      </c>
      <c r="AV13" s="72">
        <v>92717</v>
      </c>
      <c r="AW13" s="71">
        <f>AV13</f>
        <v>92717</v>
      </c>
      <c r="AX13" s="72">
        <v>94930</v>
      </c>
      <c r="AY13" s="72">
        <v>64088</v>
      </c>
      <c r="AZ13" s="72">
        <v>89455</v>
      </c>
      <c r="BA13" s="72">
        <v>94938</v>
      </c>
      <c r="BB13" s="71">
        <f>BA13</f>
        <v>94938</v>
      </c>
      <c r="BC13" s="72">
        <v>94751</v>
      </c>
      <c r="BD13" s="72">
        <v>133238</v>
      </c>
      <c r="BE13" s="72">
        <v>129783</v>
      </c>
      <c r="BF13" s="72">
        <v>186049</v>
      </c>
      <c r="BG13" s="71">
        <f>BF13</f>
        <v>186049</v>
      </c>
      <c r="BH13" s="72">
        <v>206026</v>
      </c>
      <c r="BI13" s="72">
        <v>85202</v>
      </c>
      <c r="BJ13" s="72">
        <v>55448</v>
      </c>
      <c r="BK13" s="72">
        <v>121977</v>
      </c>
      <c r="BL13" s="71">
        <f>BK13</f>
        <v>121977</v>
      </c>
      <c r="BM13" s="72">
        <v>139108</v>
      </c>
      <c r="BN13" s="72">
        <v>102537</v>
      </c>
      <c r="BO13" s="72">
        <v>112805</v>
      </c>
      <c r="BP13" s="72">
        <v>134105</v>
      </c>
      <c r="BQ13" s="71">
        <f>BP13</f>
        <v>134105</v>
      </c>
      <c r="BR13" s="72">
        <v>160139</v>
      </c>
      <c r="BS13" s="72">
        <v>208864</v>
      </c>
      <c r="BT13" s="72">
        <v>208529</v>
      </c>
      <c r="BU13" s="72">
        <f t="shared" ref="BU13:CA13" si="13">BT13</f>
        <v>208529</v>
      </c>
      <c r="BV13" s="71">
        <f t="shared" si="13"/>
        <v>208529</v>
      </c>
      <c r="BW13" s="72">
        <f t="shared" si="13"/>
        <v>208529</v>
      </c>
      <c r="BX13" s="72">
        <f t="shared" si="13"/>
        <v>208529</v>
      </c>
      <c r="BY13" s="72">
        <f t="shared" si="13"/>
        <v>208529</v>
      </c>
      <c r="BZ13" s="72">
        <f t="shared" si="13"/>
        <v>208529</v>
      </c>
      <c r="CA13" s="71">
        <f t="shared" si="13"/>
        <v>208529</v>
      </c>
    </row>
    <row r="14" spans="2:79" s="128" customFormat="1" ht="13.15">
      <c r="B14" s="120"/>
      <c r="C14" s="137" t="s">
        <v>214</v>
      </c>
      <c r="D14" s="291"/>
      <c r="E14" s="72"/>
      <c r="F14" s="72"/>
      <c r="G14" s="72"/>
      <c r="H14" s="270"/>
      <c r="I14" s="71"/>
      <c r="J14" s="72"/>
      <c r="K14" s="72"/>
      <c r="L14" s="72"/>
      <c r="M14" s="270"/>
      <c r="N14" s="71"/>
      <c r="O14" s="270"/>
      <c r="P14" s="270"/>
      <c r="Q14" s="270"/>
      <c r="R14" s="270"/>
      <c r="S14" s="71">
        <f>R14</f>
        <v>0</v>
      </c>
      <c r="T14" s="270"/>
      <c r="U14" s="276"/>
      <c r="V14" s="270"/>
      <c r="W14" s="270"/>
      <c r="X14" s="71">
        <f>W14</f>
        <v>0</v>
      </c>
      <c r="Y14" s="72"/>
      <c r="Z14" s="72"/>
      <c r="AA14" s="72"/>
      <c r="AB14" s="72"/>
      <c r="AC14" s="71"/>
      <c r="AD14" s="72"/>
      <c r="AE14" s="72"/>
      <c r="AF14" s="72"/>
      <c r="AG14" s="72">
        <v>63019</v>
      </c>
      <c r="AH14" s="71">
        <f t="shared" ref="AH14:AH20" si="14">AG14</f>
        <v>63019</v>
      </c>
      <c r="AI14" s="72">
        <v>60095</v>
      </c>
      <c r="AJ14" s="72">
        <v>60415</v>
      </c>
      <c r="AK14" s="72">
        <v>73965</v>
      </c>
      <c r="AL14" s="72">
        <v>75832</v>
      </c>
      <c r="AM14" s="71">
        <f t="shared" ref="AM14:AM20" si="15">AL14</f>
        <v>75832</v>
      </c>
      <c r="AN14" s="72">
        <v>84094</v>
      </c>
      <c r="AO14" s="72">
        <v>92078</v>
      </c>
      <c r="AP14" s="72">
        <v>105917</v>
      </c>
      <c r="AQ14" s="72">
        <v>128293</v>
      </c>
      <c r="AR14" s="71">
        <f t="shared" ref="AR14:AR20" si="16">AQ14</f>
        <v>128293</v>
      </c>
      <c r="AS14" s="72">
        <v>134811</v>
      </c>
      <c r="AT14" s="72">
        <v>150646</v>
      </c>
      <c r="AU14" s="72">
        <v>159652</v>
      </c>
      <c r="AV14" s="72">
        <v>165039</v>
      </c>
      <c r="AW14" s="71">
        <f t="shared" ref="AW14:AW20" si="17">AV14</f>
        <v>165039</v>
      </c>
      <c r="AX14" s="72">
        <v>164128</v>
      </c>
      <c r="AY14" s="72">
        <v>173983</v>
      </c>
      <c r="AZ14" s="72">
        <v>177832</v>
      </c>
      <c r="BA14" s="72">
        <v>184664</v>
      </c>
      <c r="BB14" s="71">
        <f t="shared" ref="BB14:BB20" si="18">BA14</f>
        <v>184664</v>
      </c>
      <c r="BC14" s="72">
        <v>183704</v>
      </c>
      <c r="BD14" s="72">
        <v>186229</v>
      </c>
      <c r="BE14" s="72">
        <v>196127</v>
      </c>
      <c r="BF14" s="72">
        <v>199892</v>
      </c>
      <c r="BG14" s="71">
        <f t="shared" ref="BG14:BG20" si="19">BF14</f>
        <v>199892</v>
      </c>
      <c r="BH14" s="72">
        <v>120803</v>
      </c>
      <c r="BI14" s="72">
        <v>220916</v>
      </c>
      <c r="BJ14" s="72">
        <v>230963</v>
      </c>
      <c r="BK14" s="72">
        <v>245173</v>
      </c>
      <c r="BL14" s="71">
        <f t="shared" ref="BL14:BL20" si="20">BK14</f>
        <v>245173</v>
      </c>
      <c r="BM14" s="72">
        <v>255736</v>
      </c>
      <c r="BN14" s="72">
        <v>265544</v>
      </c>
      <c r="BO14" s="72">
        <v>278623</v>
      </c>
      <c r="BP14" s="72">
        <v>299370</v>
      </c>
      <c r="BQ14" s="71">
        <f t="shared" ref="BQ14:BQ20" si="21">BP14</f>
        <v>299370</v>
      </c>
      <c r="BR14" s="72">
        <v>310150</v>
      </c>
      <c r="BS14" s="72">
        <v>327953</v>
      </c>
      <c r="BT14" s="72">
        <v>343636</v>
      </c>
      <c r="BU14" s="72">
        <f>BT14-CF!BU37-CF!BU8</f>
        <v>328416.05599999998</v>
      </c>
      <c r="BV14" s="71">
        <f t="shared" ref="BV14:BV20" si="22">BU14</f>
        <v>328416.05599999998</v>
      </c>
      <c r="BW14" s="72">
        <f>BV14-CF!BW37-CF!BW8</f>
        <v>310684.44985296798</v>
      </c>
      <c r="BX14" s="72">
        <f>BW14-CF!BX37-CF!BX8</f>
        <v>294152.77717790683</v>
      </c>
      <c r="BY14" s="72">
        <f>BX14-CF!BY37-CF!BY8</f>
        <v>279796.234431691</v>
      </c>
      <c r="BZ14" s="72">
        <f>BY14-CF!BZ37-CF!BZ8</f>
        <v>271483.33003210218</v>
      </c>
      <c r="CA14" s="71">
        <f>BZ14</f>
        <v>271483.33003210218</v>
      </c>
    </row>
    <row r="15" spans="2:79" s="128" customFormat="1" ht="13.15">
      <c r="B15" s="120"/>
      <c r="C15" s="137" t="s">
        <v>259</v>
      </c>
      <c r="D15" s="291"/>
      <c r="E15" s="72"/>
      <c r="F15" s="72"/>
      <c r="G15" s="72"/>
      <c r="H15" s="270"/>
      <c r="I15" s="71"/>
      <c r="J15" s="72"/>
      <c r="K15" s="72"/>
      <c r="L15" s="72"/>
      <c r="M15" s="270"/>
      <c r="N15" s="71"/>
      <c r="O15" s="270"/>
      <c r="P15" s="270"/>
      <c r="Q15" s="270"/>
      <c r="R15" s="270"/>
      <c r="S15" s="71"/>
      <c r="T15" s="270"/>
      <c r="U15" s="276"/>
      <c r="V15" s="270"/>
      <c r="W15" s="270"/>
      <c r="X15" s="71"/>
      <c r="Y15" s="72"/>
      <c r="Z15" s="72"/>
      <c r="AA15" s="72"/>
      <c r="AB15" s="72"/>
      <c r="AC15" s="71"/>
      <c r="AD15" s="72"/>
      <c r="AE15" s="72"/>
      <c r="AF15" s="72"/>
      <c r="AG15" s="72">
        <v>75535</v>
      </c>
      <c r="AH15" s="71">
        <f t="shared" si="14"/>
        <v>75535</v>
      </c>
      <c r="AI15" s="72">
        <v>78401</v>
      </c>
      <c r="AJ15" s="72">
        <v>86199</v>
      </c>
      <c r="AK15" s="72">
        <v>97091</v>
      </c>
      <c r="AL15" s="72">
        <v>112583</v>
      </c>
      <c r="AM15" s="71">
        <f t="shared" si="15"/>
        <v>112583</v>
      </c>
      <c r="AN15" s="72">
        <v>115924</v>
      </c>
      <c r="AO15" s="72">
        <v>124434</v>
      </c>
      <c r="AP15" s="72">
        <v>136248</v>
      </c>
      <c r="AQ15" s="72">
        <v>153333</v>
      </c>
      <c r="AR15" s="71">
        <f t="shared" si="16"/>
        <v>153333</v>
      </c>
      <c r="AS15" s="72">
        <v>169686</v>
      </c>
      <c r="AT15" s="72">
        <v>198325</v>
      </c>
      <c r="AU15" s="72">
        <v>225115</v>
      </c>
      <c r="AV15" s="72">
        <v>260130</v>
      </c>
      <c r="AW15" s="71">
        <f t="shared" si="17"/>
        <v>260130</v>
      </c>
      <c r="AX15" s="72">
        <v>274039</v>
      </c>
      <c r="AY15" s="72">
        <v>289636</v>
      </c>
      <c r="AZ15" s="72">
        <v>300073</v>
      </c>
      <c r="BA15" s="72">
        <v>311835</v>
      </c>
      <c r="BB15" s="71">
        <f t="shared" si="18"/>
        <v>311835</v>
      </c>
      <c r="BC15" s="72">
        <v>313760</v>
      </c>
      <c r="BD15" s="72">
        <v>322695</v>
      </c>
      <c r="BE15" s="72">
        <v>329958</v>
      </c>
      <c r="BF15" s="72">
        <v>350899</v>
      </c>
      <c r="BG15" s="71">
        <f t="shared" si="19"/>
        <v>350899</v>
      </c>
      <c r="BH15" s="72">
        <v>135403</v>
      </c>
      <c r="BI15" s="72">
        <v>369749</v>
      </c>
      <c r="BJ15" s="72">
        <v>383205</v>
      </c>
      <c r="BK15" s="72">
        <v>409627</v>
      </c>
      <c r="BL15" s="71">
        <f t="shared" si="20"/>
        <v>409627</v>
      </c>
      <c r="BM15" s="72">
        <v>415739</v>
      </c>
      <c r="BN15" s="72">
        <v>427599</v>
      </c>
      <c r="BO15" s="72">
        <v>445987</v>
      </c>
      <c r="BP15" s="72">
        <v>467201</v>
      </c>
      <c r="BQ15" s="71">
        <f t="shared" si="21"/>
        <v>467201</v>
      </c>
      <c r="BR15" s="72">
        <v>461969</v>
      </c>
      <c r="BS15" s="72">
        <v>462928</v>
      </c>
      <c r="BT15" s="72">
        <v>462552</v>
      </c>
      <c r="BU15" s="72">
        <f>BU57*IS!BU13</f>
        <v>537688.13351499999</v>
      </c>
      <c r="BV15" s="71">
        <f t="shared" si="22"/>
        <v>537688.13351499999</v>
      </c>
      <c r="BW15" s="72">
        <f>BW57*IS!BW13</f>
        <v>483799.12799999997</v>
      </c>
      <c r="BX15" s="72">
        <f>BX57*IS!BX13</f>
        <v>507449.712</v>
      </c>
      <c r="BY15" s="72">
        <f>BY57*IS!BY13</f>
        <v>535878.67280000006</v>
      </c>
      <c r="BZ15" s="72">
        <f>BZ57*IS!BZ13</f>
        <v>567968.34710590006</v>
      </c>
      <c r="CA15" s="71">
        <f>BZ15</f>
        <v>567968.34710590006</v>
      </c>
    </row>
    <row r="16" spans="2:79" s="128" customFormat="1" ht="13.15">
      <c r="B16" s="120"/>
      <c r="C16" s="137" t="s">
        <v>242</v>
      </c>
      <c r="D16" s="291"/>
      <c r="E16" s="72"/>
      <c r="F16" s="72"/>
      <c r="G16" s="72"/>
      <c r="H16" s="270"/>
      <c r="I16" s="71"/>
      <c r="J16" s="72"/>
      <c r="K16" s="72"/>
      <c r="L16" s="72"/>
      <c r="M16" s="270"/>
      <c r="N16" s="71"/>
      <c r="O16" s="270"/>
      <c r="P16" s="270"/>
      <c r="Q16" s="270"/>
      <c r="R16" s="270"/>
      <c r="S16" s="71"/>
      <c r="T16" s="270"/>
      <c r="U16" s="276"/>
      <c r="V16" s="270"/>
      <c r="W16" s="270"/>
      <c r="X16" s="71"/>
      <c r="Y16" s="72"/>
      <c r="Z16" s="72"/>
      <c r="AA16" s="72"/>
      <c r="AB16" s="72"/>
      <c r="AC16" s="71"/>
      <c r="AD16" s="72"/>
      <c r="AE16" s="72"/>
      <c r="AF16" s="72"/>
      <c r="AG16" s="72">
        <v>0</v>
      </c>
      <c r="AH16" s="71">
        <f>AG16</f>
        <v>0</v>
      </c>
      <c r="AI16" s="72">
        <v>0</v>
      </c>
      <c r="AJ16" s="72">
        <v>0</v>
      </c>
      <c r="AK16" s="72">
        <v>0</v>
      </c>
      <c r="AL16" s="72">
        <v>0</v>
      </c>
      <c r="AM16" s="71">
        <f t="shared" si="15"/>
        <v>0</v>
      </c>
      <c r="AN16" s="72">
        <v>143361</v>
      </c>
      <c r="AO16" s="72">
        <v>137292</v>
      </c>
      <c r="AP16" s="72">
        <v>136627</v>
      </c>
      <c r="AQ16" s="72">
        <v>149833</v>
      </c>
      <c r="AR16" s="71">
        <f t="shared" si="16"/>
        <v>149833</v>
      </c>
      <c r="AS16" s="72">
        <v>161484</v>
      </c>
      <c r="AT16" s="72">
        <v>168313</v>
      </c>
      <c r="AU16" s="72">
        <v>160362</v>
      </c>
      <c r="AV16" s="72">
        <v>159352</v>
      </c>
      <c r="AW16" s="71">
        <f t="shared" si="17"/>
        <v>159352</v>
      </c>
      <c r="AX16" s="72">
        <v>152185</v>
      </c>
      <c r="AY16" s="72">
        <v>140589</v>
      </c>
      <c r="AZ16" s="72">
        <v>132608</v>
      </c>
      <c r="BA16" s="72">
        <v>126021</v>
      </c>
      <c r="BB16" s="71">
        <f t="shared" si="18"/>
        <v>126021</v>
      </c>
      <c r="BC16" s="72">
        <v>116589</v>
      </c>
      <c r="BD16" s="72">
        <v>100481</v>
      </c>
      <c r="BE16" s="72">
        <v>92155</v>
      </c>
      <c r="BF16" s="72">
        <v>141493</v>
      </c>
      <c r="BG16" s="71">
        <f t="shared" si="19"/>
        <v>141493</v>
      </c>
      <c r="BH16" s="72">
        <v>353308</v>
      </c>
      <c r="BI16" s="72">
        <v>131341</v>
      </c>
      <c r="BJ16" s="72">
        <v>126198</v>
      </c>
      <c r="BK16" s="72">
        <v>123188</v>
      </c>
      <c r="BL16" s="71">
        <f t="shared" si="20"/>
        <v>123188</v>
      </c>
      <c r="BM16" s="72">
        <v>119997</v>
      </c>
      <c r="BN16" s="72">
        <v>117877</v>
      </c>
      <c r="BO16" s="72">
        <v>113365</v>
      </c>
      <c r="BP16" s="72">
        <v>109630</v>
      </c>
      <c r="BQ16" s="71">
        <f t="shared" si="21"/>
        <v>109630</v>
      </c>
      <c r="BR16" s="72">
        <v>115412</v>
      </c>
      <c r="BS16" s="72">
        <v>109953</v>
      </c>
      <c r="BT16" s="72">
        <v>133183</v>
      </c>
      <c r="BU16" s="72">
        <f>BU58*IS!BU13</f>
        <v>132354.00209600001</v>
      </c>
      <c r="BV16" s="71">
        <f t="shared" si="22"/>
        <v>132354.00209600001</v>
      </c>
      <c r="BW16" s="72">
        <f>BW58*IS!BW13</f>
        <v>129013.1008</v>
      </c>
      <c r="BX16" s="72">
        <f>BX58*IS!BX13</f>
        <v>135319.92320000002</v>
      </c>
      <c r="BY16" s="72">
        <f>BY58*IS!BY13</f>
        <v>138291.27040000001</v>
      </c>
      <c r="BZ16" s="72">
        <f>BZ58*IS!BZ13</f>
        <v>139807.59313376001</v>
      </c>
      <c r="CA16" s="71">
        <f>BZ16</f>
        <v>139807.59313376001</v>
      </c>
    </row>
    <row r="17" spans="2:79" s="128" customFormat="1" ht="13.15">
      <c r="B17" s="120"/>
      <c r="C17" s="137" t="s">
        <v>215</v>
      </c>
      <c r="D17" s="291"/>
      <c r="E17" s="72"/>
      <c r="F17" s="72"/>
      <c r="G17" s="72"/>
      <c r="H17" s="270"/>
      <c r="I17" s="71"/>
      <c r="J17" s="72"/>
      <c r="K17" s="72"/>
      <c r="L17" s="72"/>
      <c r="M17" s="270"/>
      <c r="N17" s="71"/>
      <c r="O17" s="270"/>
      <c r="P17" s="270"/>
      <c r="Q17" s="270"/>
      <c r="R17" s="270"/>
      <c r="S17" s="71">
        <f>R17</f>
        <v>0</v>
      </c>
      <c r="T17" s="270"/>
      <c r="U17" s="276"/>
      <c r="V17" s="270"/>
      <c r="W17" s="270"/>
      <c r="X17" s="71">
        <f>W17</f>
        <v>0</v>
      </c>
      <c r="Y17" s="72"/>
      <c r="Z17" s="72"/>
      <c r="AA17" s="72"/>
      <c r="AB17" s="72"/>
      <c r="AC17" s="71"/>
      <c r="AD17" s="72"/>
      <c r="AE17" s="72"/>
      <c r="AF17" s="72"/>
      <c r="AG17" s="72">
        <v>14148</v>
      </c>
      <c r="AH17" s="71">
        <f t="shared" si="14"/>
        <v>14148</v>
      </c>
      <c r="AI17" s="72">
        <v>11278</v>
      </c>
      <c r="AJ17" s="72">
        <v>10139</v>
      </c>
      <c r="AK17" s="72">
        <v>79161</v>
      </c>
      <c r="AL17" s="72">
        <v>74203</v>
      </c>
      <c r="AM17" s="71">
        <f t="shared" si="15"/>
        <v>74203</v>
      </c>
      <c r="AN17" s="72">
        <v>69490</v>
      </c>
      <c r="AO17" s="72">
        <v>65070</v>
      </c>
      <c r="AP17" s="72">
        <v>60759</v>
      </c>
      <c r="AQ17" s="72">
        <v>56500</v>
      </c>
      <c r="AR17" s="71">
        <f t="shared" si="16"/>
        <v>56500</v>
      </c>
      <c r="AS17" s="72">
        <v>52241</v>
      </c>
      <c r="AT17" s="72">
        <v>135825</v>
      </c>
      <c r="AU17" s="72">
        <v>128414</v>
      </c>
      <c r="AV17" s="72">
        <v>121828</v>
      </c>
      <c r="AW17" s="71">
        <f t="shared" si="17"/>
        <v>121828</v>
      </c>
      <c r="AX17" s="72">
        <v>115009</v>
      </c>
      <c r="AY17" s="72">
        <v>110327</v>
      </c>
      <c r="AZ17" s="72">
        <v>102802</v>
      </c>
      <c r="BA17" s="72">
        <v>98816</v>
      </c>
      <c r="BB17" s="71">
        <f t="shared" si="18"/>
        <v>98816</v>
      </c>
      <c r="BC17" s="72">
        <v>87277</v>
      </c>
      <c r="BD17" s="72">
        <v>81246</v>
      </c>
      <c r="BE17" s="72">
        <v>75232</v>
      </c>
      <c r="BF17" s="72">
        <v>70280</v>
      </c>
      <c r="BG17" s="71">
        <f t="shared" si="19"/>
        <v>70280</v>
      </c>
      <c r="BH17" s="72">
        <v>65247</v>
      </c>
      <c r="BI17" s="72">
        <v>60304</v>
      </c>
      <c r="BJ17" s="72">
        <v>55605</v>
      </c>
      <c r="BK17" s="72">
        <v>50905</v>
      </c>
      <c r="BL17" s="71">
        <f t="shared" si="20"/>
        <v>50905</v>
      </c>
      <c r="BM17" s="72">
        <v>46206</v>
      </c>
      <c r="BN17" s="72">
        <v>90227</v>
      </c>
      <c r="BO17" s="72">
        <v>83307</v>
      </c>
      <c r="BP17" s="72">
        <v>76388</v>
      </c>
      <c r="BQ17" s="71">
        <f t="shared" si="21"/>
        <v>76388</v>
      </c>
      <c r="BR17" s="72">
        <v>69469</v>
      </c>
      <c r="BS17" s="72">
        <v>64553</v>
      </c>
      <c r="BT17" s="72">
        <v>60816</v>
      </c>
      <c r="BU17" s="72">
        <f>BT17</f>
        <v>60816</v>
      </c>
      <c r="BV17" s="71">
        <f t="shared" si="22"/>
        <v>60816</v>
      </c>
      <c r="BW17" s="72">
        <f t="shared" ref="BW17:BZ18" si="23">BV17</f>
        <v>60816</v>
      </c>
      <c r="BX17" s="72">
        <f t="shared" si="23"/>
        <v>60816</v>
      </c>
      <c r="BY17" s="72">
        <f t="shared" si="23"/>
        <v>60816</v>
      </c>
      <c r="BZ17" s="72">
        <f t="shared" si="23"/>
        <v>60816</v>
      </c>
      <c r="CA17" s="71">
        <f>BZ17</f>
        <v>60816</v>
      </c>
    </row>
    <row r="18" spans="2:79" s="128" customFormat="1" ht="13.15">
      <c r="B18" s="120"/>
      <c r="C18" s="137" t="s">
        <v>174</v>
      </c>
      <c r="D18" s="291"/>
      <c r="E18" s="72"/>
      <c r="F18" s="72"/>
      <c r="G18" s="72"/>
      <c r="H18" s="270"/>
      <c r="I18" s="71"/>
      <c r="J18" s="72"/>
      <c r="K18" s="72"/>
      <c r="L18" s="72"/>
      <c r="M18" s="270"/>
      <c r="N18" s="71"/>
      <c r="O18" s="270"/>
      <c r="P18" s="270"/>
      <c r="Q18" s="270"/>
      <c r="R18" s="270"/>
      <c r="S18" s="71">
        <f>R18</f>
        <v>0</v>
      </c>
      <c r="T18" s="270"/>
      <c r="U18" s="276"/>
      <c r="V18" s="270"/>
      <c r="W18" s="270"/>
      <c r="X18" s="71">
        <f>W18</f>
        <v>0</v>
      </c>
      <c r="Y18" s="72"/>
      <c r="Z18" s="72"/>
      <c r="AA18" s="72"/>
      <c r="AB18" s="72"/>
      <c r="AC18" s="71"/>
      <c r="AD18" s="72"/>
      <c r="AE18" s="72"/>
      <c r="AF18" s="72"/>
      <c r="AG18" s="72">
        <v>37306</v>
      </c>
      <c r="AH18" s="71">
        <f t="shared" si="14"/>
        <v>37306</v>
      </c>
      <c r="AI18" s="72">
        <v>36074</v>
      </c>
      <c r="AJ18" s="72">
        <v>35369</v>
      </c>
      <c r="AK18" s="72">
        <v>194533</v>
      </c>
      <c r="AL18" s="72">
        <v>195225</v>
      </c>
      <c r="AM18" s="71">
        <f t="shared" si="15"/>
        <v>195225</v>
      </c>
      <c r="AN18" s="72">
        <v>194775</v>
      </c>
      <c r="AO18" s="72">
        <v>195427</v>
      </c>
      <c r="AP18" s="72">
        <v>195024</v>
      </c>
      <c r="AQ18" s="72">
        <v>194882</v>
      </c>
      <c r="AR18" s="71">
        <f t="shared" si="16"/>
        <v>194882</v>
      </c>
      <c r="AS18" s="72">
        <v>193594</v>
      </c>
      <c r="AT18" s="72">
        <v>349254</v>
      </c>
      <c r="AU18" s="72">
        <v>348504</v>
      </c>
      <c r="AV18" s="72">
        <v>350151</v>
      </c>
      <c r="AW18" s="71">
        <f t="shared" si="17"/>
        <v>350151</v>
      </c>
      <c r="AX18" s="72">
        <v>351511</v>
      </c>
      <c r="AY18" s="72">
        <v>355595</v>
      </c>
      <c r="AZ18" s="72">
        <v>355353</v>
      </c>
      <c r="BA18" s="72">
        <v>355058</v>
      </c>
      <c r="BB18" s="71">
        <f t="shared" si="18"/>
        <v>355058</v>
      </c>
      <c r="BC18" s="72">
        <v>354056</v>
      </c>
      <c r="BD18" s="72">
        <v>353326</v>
      </c>
      <c r="BE18" s="72">
        <v>352423</v>
      </c>
      <c r="BF18" s="72">
        <v>353619</v>
      </c>
      <c r="BG18" s="71">
        <f t="shared" si="19"/>
        <v>353619</v>
      </c>
      <c r="BH18" s="72">
        <v>359255</v>
      </c>
      <c r="BI18" s="72">
        <v>353345</v>
      </c>
      <c r="BJ18" s="72">
        <v>351493</v>
      </c>
      <c r="BK18" s="72">
        <v>353138</v>
      </c>
      <c r="BL18" s="71">
        <f t="shared" si="20"/>
        <v>353138</v>
      </c>
      <c r="BM18" s="72">
        <v>352450</v>
      </c>
      <c r="BN18" s="72">
        <v>455519</v>
      </c>
      <c r="BO18" s="72">
        <v>455678</v>
      </c>
      <c r="BP18" s="72">
        <v>454477</v>
      </c>
      <c r="BQ18" s="71">
        <f t="shared" si="21"/>
        <v>454477</v>
      </c>
      <c r="BR18" s="72">
        <v>455276</v>
      </c>
      <c r="BS18" s="72">
        <v>456368</v>
      </c>
      <c r="BT18" s="72">
        <v>457247</v>
      </c>
      <c r="BU18" s="72">
        <f>BT18</f>
        <v>457247</v>
      </c>
      <c r="BV18" s="71">
        <f t="shared" si="22"/>
        <v>457247</v>
      </c>
      <c r="BW18" s="72">
        <f t="shared" si="23"/>
        <v>457247</v>
      </c>
      <c r="BX18" s="72">
        <f t="shared" si="23"/>
        <v>457247</v>
      </c>
      <c r="BY18" s="72">
        <f t="shared" si="23"/>
        <v>457247</v>
      </c>
      <c r="BZ18" s="72">
        <f t="shared" si="23"/>
        <v>457247</v>
      </c>
      <c r="CA18" s="71">
        <f>BZ18</f>
        <v>457247</v>
      </c>
    </row>
    <row r="19" spans="2:79" s="128" customFormat="1" ht="13.15">
      <c r="B19" s="120"/>
      <c r="C19" s="137" t="s">
        <v>611</v>
      </c>
      <c r="D19" s="291"/>
      <c r="E19" s="72"/>
      <c r="F19" s="72"/>
      <c r="G19" s="72"/>
      <c r="H19" s="270"/>
      <c r="I19" s="71"/>
      <c r="J19" s="72"/>
      <c r="K19" s="72"/>
      <c r="L19" s="72"/>
      <c r="M19" s="270"/>
      <c r="N19" s="71"/>
      <c r="O19" s="270"/>
      <c r="P19" s="270"/>
      <c r="Q19" s="270"/>
      <c r="R19" s="270"/>
      <c r="S19" s="71"/>
      <c r="T19" s="270"/>
      <c r="U19" s="276"/>
      <c r="V19" s="270"/>
      <c r="W19" s="270"/>
      <c r="X19" s="71"/>
      <c r="Y19" s="72"/>
      <c r="Z19" s="72"/>
      <c r="AA19" s="72"/>
      <c r="AB19" s="72"/>
      <c r="AC19" s="71"/>
      <c r="AD19" s="72"/>
      <c r="AE19" s="72"/>
      <c r="AF19" s="72"/>
      <c r="AG19" s="72"/>
      <c r="AH19" s="71"/>
      <c r="AI19" s="72"/>
      <c r="AJ19" s="72"/>
      <c r="AK19" s="72"/>
      <c r="AL19" s="72"/>
      <c r="AM19" s="71"/>
      <c r="AN19" s="72"/>
      <c r="AO19" s="72"/>
      <c r="AP19" s="72"/>
      <c r="AQ19" s="72"/>
      <c r="AR19" s="71"/>
      <c r="AS19" s="72"/>
      <c r="AT19" s="72"/>
      <c r="AU19" s="72"/>
      <c r="AV19" s="72"/>
      <c r="AW19" s="71"/>
      <c r="AX19" s="72"/>
      <c r="AY19" s="72"/>
      <c r="AZ19" s="72"/>
      <c r="BA19" s="72"/>
      <c r="BB19" s="71"/>
      <c r="BC19" s="72"/>
      <c r="BD19" s="72"/>
      <c r="BE19" s="72"/>
      <c r="BF19" s="72"/>
      <c r="BG19" s="71"/>
      <c r="BH19" s="72"/>
      <c r="BI19" s="72"/>
      <c r="BJ19" s="72"/>
      <c r="BK19" s="72"/>
      <c r="BL19" s="71"/>
      <c r="BM19" s="72"/>
      <c r="BN19" s="72">
        <v>822026</v>
      </c>
      <c r="BO19" s="72">
        <v>816538</v>
      </c>
      <c r="BP19" s="72">
        <v>840470</v>
      </c>
      <c r="BQ19" s="71">
        <f t="shared" si="21"/>
        <v>840470</v>
      </c>
      <c r="BR19" s="72">
        <v>844837</v>
      </c>
      <c r="BS19" s="72">
        <v>836641</v>
      </c>
      <c r="BT19" s="72">
        <v>838694</v>
      </c>
      <c r="BU19" s="72">
        <f>BS19-IS!BU66*0.1</f>
        <v>828143.14673169004</v>
      </c>
      <c r="BV19" s="71"/>
      <c r="BW19" s="72">
        <f>BU19-IS!BW66*0.1</f>
        <v>821253.83570369007</v>
      </c>
      <c r="BX19" s="72">
        <f>BV19-IS!BX66*0.1</f>
        <v>-8700.7681279999906</v>
      </c>
      <c r="BY19" s="72">
        <f>BW19-IS!BY66*0.1</f>
        <v>811447.09112369013</v>
      </c>
      <c r="BZ19" s="72">
        <f>BX19-IS!BZ66*0.1</f>
        <v>-13420.726261248976</v>
      </c>
      <c r="CA19" s="71"/>
    </row>
    <row r="20" spans="2:79">
      <c r="B20" s="92"/>
      <c r="C20" s="137" t="s">
        <v>170</v>
      </c>
      <c r="D20" s="291"/>
      <c r="E20" s="72"/>
      <c r="F20" s="72"/>
      <c r="G20" s="72"/>
      <c r="H20" s="270"/>
      <c r="I20" s="71"/>
      <c r="J20" s="72"/>
      <c r="K20" s="72"/>
      <c r="L20" s="72"/>
      <c r="M20" s="270"/>
      <c r="N20" s="71"/>
      <c r="O20" s="270"/>
      <c r="P20" s="270"/>
      <c r="Q20" s="270"/>
      <c r="R20" s="270"/>
      <c r="S20" s="71">
        <f>R20</f>
        <v>0</v>
      </c>
      <c r="T20" s="270"/>
      <c r="U20" s="270"/>
      <c r="V20" s="270"/>
      <c r="W20" s="270"/>
      <c r="X20" s="71">
        <f>W20</f>
        <v>0</v>
      </c>
      <c r="Y20" s="72"/>
      <c r="Z20" s="72"/>
      <c r="AA20" s="72"/>
      <c r="AB20" s="72"/>
      <c r="AC20" s="71"/>
      <c r="AD20" s="72"/>
      <c r="AE20" s="72"/>
      <c r="AF20" s="72"/>
      <c r="AG20" s="72">
        <v>11170</v>
      </c>
      <c r="AH20" s="71">
        <f t="shared" si="14"/>
        <v>11170</v>
      </c>
      <c r="AI20" s="72">
        <v>12891</v>
      </c>
      <c r="AJ20" s="72">
        <v>9513</v>
      </c>
      <c r="AK20" s="72">
        <v>9175</v>
      </c>
      <c r="AL20" s="72">
        <v>8833</v>
      </c>
      <c r="AM20" s="71">
        <f t="shared" si="15"/>
        <v>8833</v>
      </c>
      <c r="AN20" s="72">
        <v>23947</v>
      </c>
      <c r="AO20" s="72">
        <v>23896</v>
      </c>
      <c r="AP20" s="72">
        <v>24617</v>
      </c>
      <c r="AQ20" s="72">
        <v>24678</v>
      </c>
      <c r="AR20" s="71">
        <f t="shared" si="16"/>
        <v>24678</v>
      </c>
      <c r="AS20" s="72">
        <v>26312</v>
      </c>
      <c r="AT20" s="72">
        <v>16659</v>
      </c>
      <c r="AU20" s="72">
        <v>22530</v>
      </c>
      <c r="AV20" s="72">
        <v>24942</v>
      </c>
      <c r="AW20" s="71">
        <f t="shared" si="17"/>
        <v>24942</v>
      </c>
      <c r="AX20" s="72">
        <v>33882</v>
      </c>
      <c r="AY20" s="72">
        <v>38680</v>
      </c>
      <c r="AZ20" s="72">
        <v>45791</v>
      </c>
      <c r="BA20" s="72">
        <v>50337</v>
      </c>
      <c r="BB20" s="71">
        <f t="shared" si="18"/>
        <v>50337</v>
      </c>
      <c r="BC20" s="72">
        <v>61470</v>
      </c>
      <c r="BD20" s="72">
        <v>67349</v>
      </c>
      <c r="BE20" s="72">
        <v>75521</v>
      </c>
      <c r="BF20" s="72">
        <v>79484</v>
      </c>
      <c r="BG20" s="71">
        <f t="shared" si="19"/>
        <v>79484</v>
      </c>
      <c r="BH20" s="72">
        <v>85795</v>
      </c>
      <c r="BI20" s="72">
        <v>90079</v>
      </c>
      <c r="BJ20" s="72">
        <v>92032</v>
      </c>
      <c r="BK20" s="72">
        <v>99615</v>
      </c>
      <c r="BL20" s="71">
        <f t="shared" si="20"/>
        <v>99615</v>
      </c>
      <c r="BM20" s="72">
        <v>107654</v>
      </c>
      <c r="BN20" s="72">
        <v>129232</v>
      </c>
      <c r="BO20" s="72">
        <v>132028</v>
      </c>
      <c r="BP20" s="72">
        <v>141803</v>
      </c>
      <c r="BQ20" s="71">
        <f t="shared" si="21"/>
        <v>141803</v>
      </c>
      <c r="BR20" s="72">
        <v>153073</v>
      </c>
      <c r="BS20" s="72">
        <v>163613</v>
      </c>
      <c r="BT20" s="72">
        <v>170227</v>
      </c>
      <c r="BU20" s="72">
        <f>BU59*IS!BU13</f>
        <v>157170.37748900001</v>
      </c>
      <c r="BV20" s="71">
        <f t="shared" si="22"/>
        <v>157170.37748900001</v>
      </c>
      <c r="BW20" s="72">
        <f>BW59*IS!BW13</f>
        <v>161266.37600000002</v>
      </c>
      <c r="BX20" s="72">
        <f>BX59*IS!BX13</f>
        <v>153080.66312000001</v>
      </c>
      <c r="BY20" s="72">
        <f>BY59*IS!BY13</f>
        <v>155577.67920000001</v>
      </c>
      <c r="BZ20" s="72">
        <f>BZ59*IS!BZ13</f>
        <v>157283.54227547999</v>
      </c>
      <c r="CA20" s="71">
        <f>BZ20</f>
        <v>157283.54227547999</v>
      </c>
    </row>
    <row r="21" spans="2:79" s="128" customFormat="1" ht="13.15">
      <c r="B21" s="120" t="s">
        <v>8</v>
      </c>
      <c r="C21" s="138"/>
      <c r="D21" s="336">
        <f t="shared" ref="D21:W21" si="24">D12+SUM(D13:D20)</f>
        <v>0</v>
      </c>
      <c r="E21" s="119">
        <f t="shared" si="24"/>
        <v>0</v>
      </c>
      <c r="F21" s="119">
        <f t="shared" si="24"/>
        <v>0</v>
      </c>
      <c r="G21" s="119">
        <f t="shared" si="24"/>
        <v>0</v>
      </c>
      <c r="H21" s="119">
        <f t="shared" si="24"/>
        <v>0</v>
      </c>
      <c r="I21" s="336">
        <f t="shared" si="24"/>
        <v>0</v>
      </c>
      <c r="J21" s="119">
        <f t="shared" si="24"/>
        <v>0</v>
      </c>
      <c r="K21" s="119">
        <f t="shared" si="24"/>
        <v>0</v>
      </c>
      <c r="L21" s="119">
        <f t="shared" si="24"/>
        <v>0</v>
      </c>
      <c r="M21" s="119">
        <f t="shared" si="24"/>
        <v>0</v>
      </c>
      <c r="N21" s="336">
        <f t="shared" si="24"/>
        <v>0</v>
      </c>
      <c r="O21" s="119">
        <f t="shared" si="24"/>
        <v>0</v>
      </c>
      <c r="P21" s="119">
        <f t="shared" si="24"/>
        <v>0</v>
      </c>
      <c r="Q21" s="119">
        <f t="shared" si="24"/>
        <v>0</v>
      </c>
      <c r="R21" s="119">
        <f t="shared" si="24"/>
        <v>0</v>
      </c>
      <c r="S21" s="336">
        <f t="shared" si="24"/>
        <v>0</v>
      </c>
      <c r="T21" s="119">
        <f t="shared" si="24"/>
        <v>0</v>
      </c>
      <c r="U21" s="119">
        <f t="shared" si="24"/>
        <v>0</v>
      </c>
      <c r="V21" s="119">
        <f t="shared" si="24"/>
        <v>0</v>
      </c>
      <c r="W21" s="119">
        <f t="shared" si="24"/>
        <v>0</v>
      </c>
      <c r="X21" s="336">
        <v>486487</v>
      </c>
      <c r="Y21" s="119">
        <f>Y12+SUM(Y13:Y20)</f>
        <v>0</v>
      </c>
      <c r="Z21" s="119">
        <f>Z12+SUM(Z13:Z20)</f>
        <v>0</v>
      </c>
      <c r="AA21" s="119">
        <f>AA12+SUM(AA13:AA20)</f>
        <v>0</v>
      </c>
      <c r="AB21" s="119">
        <f>AB12+SUM(AB13:AB20)</f>
        <v>0</v>
      </c>
      <c r="AC21" s="336">
        <v>499638</v>
      </c>
      <c r="AD21" s="119">
        <f t="shared" ref="AD21:BI21" si="25">AD12+SUM(AD13:AD20)</f>
        <v>0</v>
      </c>
      <c r="AE21" s="119">
        <f t="shared" si="25"/>
        <v>0</v>
      </c>
      <c r="AF21" s="119">
        <f t="shared" si="25"/>
        <v>0</v>
      </c>
      <c r="AG21" s="119">
        <f t="shared" si="25"/>
        <v>619973</v>
      </c>
      <c r="AH21" s="336">
        <f t="shared" si="25"/>
        <v>619973</v>
      </c>
      <c r="AI21" s="119">
        <f t="shared" si="25"/>
        <v>614472</v>
      </c>
      <c r="AJ21" s="119">
        <f t="shared" si="25"/>
        <v>1169698</v>
      </c>
      <c r="AK21" s="119">
        <f t="shared" si="25"/>
        <v>1719436</v>
      </c>
      <c r="AL21" s="119">
        <f t="shared" si="25"/>
        <v>1615417</v>
      </c>
      <c r="AM21" s="336">
        <f t="shared" si="25"/>
        <v>1615417</v>
      </c>
      <c r="AN21" s="119">
        <f t="shared" si="25"/>
        <v>1738400</v>
      </c>
      <c r="AO21" s="119">
        <f t="shared" si="25"/>
        <v>1761836</v>
      </c>
      <c r="AP21" s="119">
        <f t="shared" si="25"/>
        <v>1786365</v>
      </c>
      <c r="AQ21" s="119">
        <f t="shared" si="25"/>
        <v>1891138</v>
      </c>
      <c r="AR21" s="336">
        <f t="shared" si="25"/>
        <v>1891138</v>
      </c>
      <c r="AS21" s="119">
        <f t="shared" si="25"/>
        <v>1921488</v>
      </c>
      <c r="AT21" s="119">
        <f t="shared" si="25"/>
        <v>2053310</v>
      </c>
      <c r="AU21" s="119">
        <f t="shared" si="25"/>
        <v>2051119</v>
      </c>
      <c r="AV21" s="119">
        <f t="shared" si="25"/>
        <v>2336507</v>
      </c>
      <c r="AW21" s="336">
        <f t="shared" si="25"/>
        <v>2336507</v>
      </c>
      <c r="AX21" s="119">
        <f t="shared" si="25"/>
        <v>2297120</v>
      </c>
      <c r="AY21" s="119">
        <f t="shared" si="25"/>
        <v>2355687</v>
      </c>
      <c r="AZ21" s="119">
        <f t="shared" si="25"/>
        <v>2410503</v>
      </c>
      <c r="BA21" s="119">
        <f t="shared" si="25"/>
        <v>2541265</v>
      </c>
      <c r="BB21" s="336">
        <f t="shared" si="25"/>
        <v>2541265</v>
      </c>
      <c r="BC21" s="119">
        <f t="shared" si="25"/>
        <v>2574131</v>
      </c>
      <c r="BD21" s="119">
        <f t="shared" si="25"/>
        <v>2667346</v>
      </c>
      <c r="BE21" s="119">
        <f t="shared" si="25"/>
        <v>2731584</v>
      </c>
      <c r="BF21" s="119">
        <f t="shared" si="25"/>
        <v>3012720</v>
      </c>
      <c r="BG21" s="336">
        <f t="shared" si="25"/>
        <v>3012720</v>
      </c>
      <c r="BH21" s="119">
        <f t="shared" si="25"/>
        <v>3129899</v>
      </c>
      <c r="BI21" s="119">
        <f t="shared" si="25"/>
        <v>3267405</v>
      </c>
      <c r="BJ21" s="119">
        <f t="shared" ref="BJ21:CA21" si="26">BJ12+SUM(BJ13:BJ20)</f>
        <v>3337627</v>
      </c>
      <c r="BK21" s="119">
        <f t="shared" si="26"/>
        <v>2971290</v>
      </c>
      <c r="BL21" s="336">
        <f t="shared" si="26"/>
        <v>2971290</v>
      </c>
      <c r="BM21" s="119">
        <f t="shared" si="26"/>
        <v>2926689</v>
      </c>
      <c r="BN21" s="119">
        <f t="shared" si="26"/>
        <v>3753941</v>
      </c>
      <c r="BO21" s="119">
        <f t="shared" si="26"/>
        <v>3770208</v>
      </c>
      <c r="BP21" s="119">
        <f t="shared" si="26"/>
        <v>4012705</v>
      </c>
      <c r="BQ21" s="336">
        <f t="shared" si="26"/>
        <v>4012705</v>
      </c>
      <c r="BR21" s="119">
        <f t="shared" si="26"/>
        <v>3947403</v>
      </c>
      <c r="BS21" s="119">
        <f t="shared" si="26"/>
        <v>3949923</v>
      </c>
      <c r="BT21" s="119">
        <f t="shared" si="26"/>
        <v>3982039</v>
      </c>
      <c r="BU21" s="119">
        <f t="shared" si="26"/>
        <v>4434153.3019048898</v>
      </c>
      <c r="BV21" s="336">
        <f t="shared" si="26"/>
        <v>3606010.1551731997</v>
      </c>
      <c r="BW21" s="119">
        <f t="shared" si="26"/>
        <v>4591613.60698679</v>
      </c>
      <c r="BX21" s="119">
        <f t="shared" si="26"/>
        <v>4051345.8109951001</v>
      </c>
      <c r="BY21" s="119">
        <f t="shared" si="26"/>
        <v>5127933.7787667904</v>
      </c>
      <c r="BZ21" s="119">
        <f t="shared" si="26"/>
        <v>4684124.72110283</v>
      </c>
      <c r="CA21" s="336">
        <f t="shared" si="26"/>
        <v>4697545.4473640788</v>
      </c>
    </row>
    <row r="22" spans="2:79">
      <c r="B22" s="92"/>
      <c r="C22" s="137"/>
      <c r="D22" s="71"/>
      <c r="E22" s="72"/>
      <c r="F22" s="72"/>
      <c r="G22" s="72"/>
      <c r="H22" s="72"/>
      <c r="I22" s="71"/>
      <c r="J22" s="72"/>
      <c r="K22" s="72"/>
      <c r="L22" s="72"/>
      <c r="M22" s="72"/>
      <c r="N22" s="71"/>
      <c r="O22" s="72"/>
      <c r="P22" s="72"/>
      <c r="Q22" s="72"/>
      <c r="R22" s="72"/>
      <c r="S22" s="71"/>
      <c r="T22" s="72"/>
      <c r="U22" s="72"/>
      <c r="V22" s="72"/>
      <c r="W22" s="72"/>
      <c r="X22" s="71"/>
      <c r="Y22" s="72"/>
      <c r="Z22" s="72"/>
      <c r="AA22" s="72"/>
      <c r="AB22" s="72"/>
      <c r="AC22" s="71"/>
      <c r="AD22" s="72"/>
      <c r="AE22" s="72"/>
      <c r="AF22" s="72"/>
      <c r="AG22" s="72"/>
      <c r="AH22" s="71"/>
      <c r="AI22" s="72"/>
      <c r="AJ22" s="72"/>
      <c r="AK22" s="72"/>
      <c r="AL22" s="72"/>
      <c r="AM22" s="71"/>
      <c r="AN22" s="72"/>
      <c r="AO22" s="72"/>
      <c r="AP22" s="72"/>
      <c r="AQ22" s="72"/>
      <c r="AR22" s="71"/>
      <c r="AS22" s="72"/>
      <c r="AT22" s="72"/>
      <c r="AU22" s="72"/>
      <c r="AV22" s="72"/>
      <c r="AW22" s="71"/>
      <c r="AX22" s="72"/>
      <c r="AY22" s="72"/>
      <c r="AZ22" s="72"/>
      <c r="BA22" s="72"/>
      <c r="BB22" s="71"/>
      <c r="BC22" s="72"/>
      <c r="BD22" s="72"/>
      <c r="BE22" s="72"/>
      <c r="BF22" s="72"/>
      <c r="BG22" s="71"/>
      <c r="BH22" s="72"/>
      <c r="BI22" s="72"/>
      <c r="BJ22" s="72"/>
      <c r="BK22" s="72"/>
      <c r="BL22" s="71"/>
      <c r="BM22" s="72"/>
      <c r="BN22" s="72"/>
      <c r="BO22" s="72"/>
      <c r="BP22" s="72"/>
      <c r="BQ22" s="71"/>
      <c r="BR22" s="72"/>
      <c r="BS22" s="72"/>
      <c r="BT22" s="72"/>
      <c r="BU22" s="72"/>
      <c r="BV22" s="71"/>
      <c r="BW22" s="72"/>
      <c r="BX22" s="72"/>
      <c r="BY22" s="72"/>
      <c r="BZ22" s="72"/>
      <c r="CA22" s="71"/>
    </row>
    <row r="23" spans="2:79" ht="13.15">
      <c r="B23" s="120" t="s">
        <v>118</v>
      </c>
      <c r="C23" s="137"/>
      <c r="D23" s="71"/>
      <c r="E23" s="72"/>
      <c r="F23" s="72"/>
      <c r="G23" s="72"/>
      <c r="H23" s="72"/>
      <c r="I23" s="71"/>
      <c r="J23" s="72"/>
      <c r="K23" s="72"/>
      <c r="L23" s="72"/>
      <c r="M23" s="72"/>
      <c r="N23" s="71"/>
      <c r="O23" s="72"/>
      <c r="P23" s="72"/>
      <c r="Q23" s="72"/>
      <c r="R23" s="72"/>
      <c r="S23" s="71"/>
      <c r="T23" s="72"/>
      <c r="U23" s="72"/>
      <c r="V23" s="72"/>
      <c r="W23" s="72"/>
      <c r="X23" s="71"/>
      <c r="Y23" s="72"/>
      <c r="Z23" s="72"/>
      <c r="AA23" s="72"/>
      <c r="AB23" s="72"/>
      <c r="AC23" s="71"/>
      <c r="AD23" s="72"/>
      <c r="AE23" s="72"/>
      <c r="AF23" s="72"/>
      <c r="AG23" s="72"/>
      <c r="AH23" s="71"/>
      <c r="AI23" s="72"/>
      <c r="AJ23" s="72"/>
      <c r="AK23" s="72"/>
      <c r="AL23" s="72"/>
      <c r="AM23" s="71"/>
      <c r="AN23" s="72"/>
      <c r="AO23" s="72"/>
      <c r="AP23" s="72"/>
      <c r="AQ23" s="72"/>
      <c r="AR23" s="71"/>
      <c r="AS23" s="72"/>
      <c r="AT23" s="72"/>
      <c r="AU23" s="72"/>
      <c r="AV23" s="72"/>
      <c r="AW23" s="71"/>
      <c r="AX23" s="72"/>
      <c r="AY23" s="72"/>
      <c r="AZ23" s="72"/>
      <c r="BA23" s="72"/>
      <c r="BB23" s="71"/>
      <c r="BC23" s="72"/>
      <c r="BD23" s="72"/>
      <c r="BE23" s="72"/>
      <c r="BF23" s="72"/>
      <c r="BG23" s="71"/>
      <c r="BH23" s="72"/>
      <c r="BI23" s="72"/>
      <c r="BJ23" s="72"/>
      <c r="BK23" s="72"/>
      <c r="BL23" s="71"/>
      <c r="BM23" s="72"/>
      <c r="BN23" s="72"/>
      <c r="BO23" s="72"/>
      <c r="BP23" s="72"/>
      <c r="BQ23" s="71"/>
      <c r="BR23" s="72"/>
      <c r="BS23" s="72"/>
      <c r="BT23" s="72"/>
      <c r="BU23" s="72"/>
      <c r="BV23" s="71"/>
      <c r="BW23" s="72"/>
      <c r="BX23" s="72"/>
      <c r="BY23" s="72"/>
      <c r="BZ23" s="72"/>
      <c r="CA23" s="71"/>
    </row>
    <row r="24" spans="2:79" ht="13.15">
      <c r="B24" s="120"/>
      <c r="C24" s="137" t="s">
        <v>157</v>
      </c>
      <c r="D24" s="71"/>
      <c r="E24" s="72"/>
      <c r="F24" s="72"/>
      <c r="G24" s="72"/>
      <c r="H24" s="271"/>
      <c r="I24" s="71"/>
      <c r="J24" s="72"/>
      <c r="K24" s="72"/>
      <c r="L24" s="72"/>
      <c r="M24" s="271"/>
      <c r="N24" s="71"/>
      <c r="O24" s="270"/>
      <c r="P24" s="271"/>
      <c r="Q24" s="270"/>
      <c r="R24" s="72"/>
      <c r="S24" s="71">
        <f>R24</f>
        <v>0</v>
      </c>
      <c r="T24" s="270"/>
      <c r="U24" s="271"/>
      <c r="V24" s="271"/>
      <c r="W24" s="271"/>
      <c r="X24" s="71">
        <f>W24</f>
        <v>0</v>
      </c>
      <c r="Y24" s="72"/>
      <c r="Z24" s="72"/>
      <c r="AA24" s="72"/>
      <c r="AB24" s="72"/>
      <c r="AC24" s="71"/>
      <c r="AD24" s="72"/>
      <c r="AE24" s="72"/>
      <c r="AF24" s="72"/>
      <c r="AG24" s="72">
        <v>23713</v>
      </c>
      <c r="AH24" s="71">
        <f t="shared" ref="AH24:AH30" si="27">AG24</f>
        <v>23713</v>
      </c>
      <c r="AI24" s="72">
        <v>13269</v>
      </c>
      <c r="AJ24" s="72">
        <v>16653</v>
      </c>
      <c r="AK24" s="72">
        <v>22059</v>
      </c>
      <c r="AL24" s="72">
        <v>19590</v>
      </c>
      <c r="AM24" s="71">
        <f t="shared" ref="AM24:AM30" si="28">AL24</f>
        <v>19590</v>
      </c>
      <c r="AN24" s="72">
        <v>21436</v>
      </c>
      <c r="AO24" s="72">
        <v>23452</v>
      </c>
      <c r="AP24" s="72">
        <v>29099</v>
      </c>
      <c r="AQ24" s="72">
        <v>28144</v>
      </c>
      <c r="AR24" s="71">
        <f>AQ24</f>
        <v>28144</v>
      </c>
      <c r="AS24" s="72">
        <v>21504</v>
      </c>
      <c r="AT24" s="72">
        <v>33053</v>
      </c>
      <c r="AU24" s="72">
        <v>32309</v>
      </c>
      <c r="AV24" s="72">
        <v>37367</v>
      </c>
      <c r="AW24" s="71">
        <f>AV24</f>
        <v>37367</v>
      </c>
      <c r="AX24" s="72">
        <v>14870</v>
      </c>
      <c r="AY24" s="72">
        <v>33612</v>
      </c>
      <c r="AZ24" s="72">
        <v>47712</v>
      </c>
      <c r="BA24" s="72">
        <v>52804</v>
      </c>
      <c r="BB24" s="71">
        <f>BA24</f>
        <v>52804</v>
      </c>
      <c r="BC24" s="72">
        <v>26213</v>
      </c>
      <c r="BD24" s="72">
        <v>44449</v>
      </c>
      <c r="BE24" s="72">
        <v>47176</v>
      </c>
      <c r="BF24" s="72">
        <v>24393</v>
      </c>
      <c r="BG24" s="71">
        <f>BF24</f>
        <v>24393</v>
      </c>
      <c r="BH24" s="72">
        <v>14688</v>
      </c>
      <c r="BI24" s="72">
        <v>5803</v>
      </c>
      <c r="BJ24" s="72">
        <v>14787</v>
      </c>
      <c r="BK24" s="72">
        <v>19029</v>
      </c>
      <c r="BL24" s="71">
        <f>BK24</f>
        <v>19029</v>
      </c>
      <c r="BM24" s="72">
        <v>17700</v>
      </c>
      <c r="BN24" s="72">
        <v>8116</v>
      </c>
      <c r="BO24" s="72">
        <v>18144</v>
      </c>
      <c r="BP24" s="72">
        <v>30697</v>
      </c>
      <c r="BQ24" s="71">
        <f>BP24</f>
        <v>30697</v>
      </c>
      <c r="BR24" s="72">
        <v>24583</v>
      </c>
      <c r="BS24" s="72">
        <v>10643</v>
      </c>
      <c r="BT24" s="72">
        <v>22482</v>
      </c>
      <c r="BU24" s="72">
        <f>BU62*IS!BU13</f>
        <v>24816.375392999998</v>
      </c>
      <c r="BV24" s="71">
        <f>BU24</f>
        <v>24816.375392999998</v>
      </c>
      <c r="BW24" s="72">
        <f>BW62*IS!BW13</f>
        <v>24189.956399999999</v>
      </c>
      <c r="BX24" s="72">
        <f>BX62*IS!BX13</f>
        <v>25372.4856</v>
      </c>
      <c r="BY24" s="72">
        <f>BY62*IS!BY13</f>
        <v>25929.6132</v>
      </c>
      <c r="BZ24" s="72">
        <f>BZ62*IS!BZ13</f>
        <v>26213.923712579999</v>
      </c>
      <c r="CA24" s="71">
        <f>BZ24</f>
        <v>26213.923712579999</v>
      </c>
    </row>
    <row r="25" spans="2:79" ht="13.15">
      <c r="B25" s="120"/>
      <c r="C25" s="137" t="s">
        <v>261</v>
      </c>
      <c r="D25" s="71"/>
      <c r="E25" s="72"/>
      <c r="F25" s="72"/>
      <c r="G25" s="72"/>
      <c r="H25" s="271"/>
      <c r="I25" s="71"/>
      <c r="J25" s="72"/>
      <c r="K25" s="72"/>
      <c r="L25" s="72"/>
      <c r="M25" s="271"/>
      <c r="N25" s="71"/>
      <c r="O25" s="270"/>
      <c r="P25" s="271"/>
      <c r="Q25" s="270"/>
      <c r="R25" s="72"/>
      <c r="S25" s="71">
        <f>R25</f>
        <v>0</v>
      </c>
      <c r="T25" s="270"/>
      <c r="U25" s="271"/>
      <c r="V25" s="271"/>
      <c r="W25" s="271"/>
      <c r="X25" s="71">
        <f>W25</f>
        <v>0</v>
      </c>
      <c r="Y25" s="72"/>
      <c r="Z25" s="72"/>
      <c r="AA25" s="72"/>
      <c r="AB25" s="72"/>
      <c r="AC25" s="71"/>
      <c r="AD25" s="72"/>
      <c r="AE25" s="72"/>
      <c r="AF25" s="72"/>
      <c r="AG25" s="72">
        <f>15734+11574</f>
        <v>27308</v>
      </c>
      <c r="AH25" s="71">
        <f t="shared" si="27"/>
        <v>27308</v>
      </c>
      <c r="AI25" s="72">
        <f>19023+12017</f>
        <v>31040</v>
      </c>
      <c r="AJ25" s="72">
        <f>18368+11761</f>
        <v>30129</v>
      </c>
      <c r="AK25" s="72">
        <v>22669</v>
      </c>
      <c r="AL25" s="72">
        <v>35658</v>
      </c>
      <c r="AM25" s="71">
        <f t="shared" si="28"/>
        <v>35658</v>
      </c>
      <c r="AN25" s="72">
        <f>28133+12973</f>
        <v>41106</v>
      </c>
      <c r="AO25" s="72">
        <f>34227+16563</f>
        <v>50790</v>
      </c>
      <c r="AP25" s="72">
        <f>33094+12956</f>
        <v>46050</v>
      </c>
      <c r="AQ25" s="72">
        <v>54344</v>
      </c>
      <c r="AR25" s="71">
        <f t="shared" ref="AR25:AR30" si="29">AQ25</f>
        <v>54344</v>
      </c>
      <c r="AS25" s="72">
        <v>46475</v>
      </c>
      <c r="AT25" s="72">
        <v>54916</v>
      </c>
      <c r="AU25" s="72">
        <v>59752</v>
      </c>
      <c r="AV25" s="72">
        <v>66566</v>
      </c>
      <c r="AW25" s="71">
        <f t="shared" ref="AW25:AW30" si="30">AV25</f>
        <v>66566</v>
      </c>
      <c r="AX25" s="72">
        <v>75438</v>
      </c>
      <c r="AY25" s="72">
        <v>81817</v>
      </c>
      <c r="AZ25" s="72">
        <v>81065</v>
      </c>
      <c r="BA25" s="72">
        <v>91377</v>
      </c>
      <c r="BB25" s="71">
        <f t="shared" ref="BB25:BB30" si="31">BA25</f>
        <v>91377</v>
      </c>
      <c r="BC25" s="72">
        <v>92936</v>
      </c>
      <c r="BD25" s="72">
        <v>90756</v>
      </c>
      <c r="BE25" s="72">
        <v>96227</v>
      </c>
      <c r="BF25" s="72">
        <v>100987</v>
      </c>
      <c r="BG25" s="71">
        <f t="shared" ref="BG25:BG30" si="32">BF25</f>
        <v>100987</v>
      </c>
      <c r="BH25" s="72">
        <v>101685</v>
      </c>
      <c r="BI25" s="72">
        <v>109349</v>
      </c>
      <c r="BJ25" s="72">
        <v>99642</v>
      </c>
      <c r="BK25" s="72">
        <v>104037</v>
      </c>
      <c r="BL25" s="71">
        <f t="shared" ref="BL25:BL30" si="33">BK25</f>
        <v>104037</v>
      </c>
      <c r="BM25" s="72">
        <v>99177</v>
      </c>
      <c r="BN25" s="72">
        <v>93251</v>
      </c>
      <c r="BO25" s="72">
        <v>94591</v>
      </c>
      <c r="BP25" s="72">
        <v>99579</v>
      </c>
      <c r="BQ25" s="71">
        <f t="shared" ref="BQ25:BQ30" si="34">BP25</f>
        <v>99579</v>
      </c>
      <c r="BR25" s="72">
        <v>101182</v>
      </c>
      <c r="BS25" s="72">
        <v>100579</v>
      </c>
      <c r="BT25" s="72">
        <v>119841</v>
      </c>
      <c r="BU25" s="72">
        <f>BU63*IS!BU13</f>
        <v>107537.626703</v>
      </c>
      <c r="BV25" s="71">
        <f t="shared" ref="BV25:BV30" si="35">BU25</f>
        <v>107537.626703</v>
      </c>
      <c r="BW25" s="72">
        <f>BW63*IS!BW13</f>
        <v>129013.1008</v>
      </c>
      <c r="BX25" s="72">
        <f>BX63*IS!BX13</f>
        <v>135319.92320000002</v>
      </c>
      <c r="BY25" s="72">
        <f>BY63*IS!BY13</f>
        <v>121004.86160000002</v>
      </c>
      <c r="BZ25" s="72">
        <f>BZ63*IS!BZ13</f>
        <v>122331.64399204002</v>
      </c>
      <c r="CA25" s="71">
        <f t="shared" ref="CA25:CA30" si="36">BZ25</f>
        <v>122331.64399204002</v>
      </c>
    </row>
    <row r="26" spans="2:79" ht="13.15">
      <c r="B26" s="120"/>
      <c r="C26" s="137" t="s">
        <v>221</v>
      </c>
      <c r="D26" s="71"/>
      <c r="E26" s="72"/>
      <c r="F26" s="72"/>
      <c r="G26" s="72"/>
      <c r="H26" s="271"/>
      <c r="I26" s="71"/>
      <c r="J26" s="72"/>
      <c r="K26" s="72"/>
      <c r="L26" s="72"/>
      <c r="M26" s="271"/>
      <c r="N26" s="71"/>
      <c r="O26" s="270"/>
      <c r="P26" s="271"/>
      <c r="Q26" s="270"/>
      <c r="R26" s="72"/>
      <c r="S26" s="71"/>
      <c r="T26" s="270"/>
      <c r="U26" s="271"/>
      <c r="V26" s="271"/>
      <c r="W26" s="271"/>
      <c r="X26" s="71"/>
      <c r="Y26" s="72"/>
      <c r="Z26" s="72"/>
      <c r="AA26" s="72"/>
      <c r="AB26" s="72"/>
      <c r="AC26" s="71"/>
      <c r="AD26" s="72"/>
      <c r="AE26" s="72"/>
      <c r="AF26" s="72"/>
      <c r="AG26" s="72">
        <v>50852</v>
      </c>
      <c r="AH26" s="71">
        <f t="shared" si="27"/>
        <v>50852</v>
      </c>
      <c r="AI26" s="72">
        <v>33905</v>
      </c>
      <c r="AJ26" s="72">
        <v>51212</v>
      </c>
      <c r="AK26" s="72">
        <v>53686</v>
      </c>
      <c r="AL26" s="72">
        <v>77553</v>
      </c>
      <c r="AM26" s="71">
        <f t="shared" si="28"/>
        <v>77553</v>
      </c>
      <c r="AN26" s="72">
        <v>57684</v>
      </c>
      <c r="AO26" s="72">
        <v>79980</v>
      </c>
      <c r="AP26" s="72">
        <v>70860</v>
      </c>
      <c r="AQ26" s="72">
        <v>83189</v>
      </c>
      <c r="AR26" s="71">
        <f t="shared" si="29"/>
        <v>83189</v>
      </c>
      <c r="AS26" s="72">
        <v>81653</v>
      </c>
      <c r="AT26" s="72">
        <v>111623</v>
      </c>
      <c r="AU26" s="72">
        <v>114221</v>
      </c>
      <c r="AV26" s="72">
        <v>156158</v>
      </c>
      <c r="AW26" s="71">
        <f t="shared" si="30"/>
        <v>156158</v>
      </c>
      <c r="AX26" s="72">
        <v>129640</v>
      </c>
      <c r="AY26" s="72">
        <v>142599</v>
      </c>
      <c r="AZ26" s="72">
        <v>144741</v>
      </c>
      <c r="BA26" s="72">
        <v>160163</v>
      </c>
      <c r="BB26" s="71">
        <f t="shared" si="31"/>
        <v>160163</v>
      </c>
      <c r="BC26" s="72">
        <v>137724</v>
      </c>
      <c r="BD26" s="72">
        <v>149761</v>
      </c>
      <c r="BE26" s="72">
        <v>146297</v>
      </c>
      <c r="BF26" s="72">
        <v>163133</v>
      </c>
      <c r="BG26" s="71">
        <f t="shared" si="32"/>
        <v>163133</v>
      </c>
      <c r="BH26" s="72">
        <v>141990</v>
      </c>
      <c r="BI26" s="72">
        <v>162243</v>
      </c>
      <c r="BJ26" s="72">
        <v>159381</v>
      </c>
      <c r="BK26" s="72">
        <v>195266</v>
      </c>
      <c r="BL26" s="71">
        <f t="shared" si="33"/>
        <v>195266</v>
      </c>
      <c r="BM26" s="72">
        <v>153932</v>
      </c>
      <c r="BN26" s="72">
        <v>178603</v>
      </c>
      <c r="BO26" s="72">
        <v>158779</v>
      </c>
      <c r="BP26" s="72">
        <v>227115</v>
      </c>
      <c r="BQ26" s="71">
        <f t="shared" si="34"/>
        <v>227115</v>
      </c>
      <c r="BR26" s="72">
        <v>170976</v>
      </c>
      <c r="BS26" s="72">
        <v>208005</v>
      </c>
      <c r="BT26" s="72">
        <v>180982</v>
      </c>
      <c r="BU26" s="72">
        <f>BU64*IS!BU13</f>
        <v>248163.75392999998</v>
      </c>
      <c r="BV26" s="71">
        <f t="shared" si="35"/>
        <v>248163.75392999998</v>
      </c>
      <c r="BW26" s="72">
        <f>BW64*IS!BW13</f>
        <v>209646.28880000001</v>
      </c>
      <c r="BX26" s="72">
        <f>BX64*IS!BX13</f>
        <v>219894.87520000001</v>
      </c>
      <c r="BY26" s="72">
        <f>BY64*IS!BY13</f>
        <v>233366.51880000002</v>
      </c>
      <c r="BZ26" s="72">
        <f>BZ64*IS!BZ13</f>
        <v>244663.28798408003</v>
      </c>
      <c r="CA26" s="71">
        <f t="shared" si="36"/>
        <v>244663.28798408003</v>
      </c>
    </row>
    <row r="27" spans="2:79" ht="13.15">
      <c r="B27" s="120"/>
      <c r="C27" s="137" t="s">
        <v>262</v>
      </c>
      <c r="D27" s="71"/>
      <c r="E27" s="72"/>
      <c r="F27" s="72"/>
      <c r="G27" s="72"/>
      <c r="H27" s="271"/>
      <c r="I27" s="71"/>
      <c r="J27" s="72"/>
      <c r="K27" s="72"/>
      <c r="L27" s="72"/>
      <c r="M27" s="271"/>
      <c r="N27" s="71"/>
      <c r="O27" s="270"/>
      <c r="P27" s="271"/>
      <c r="Q27" s="270"/>
      <c r="R27" s="72"/>
      <c r="S27" s="71"/>
      <c r="T27" s="270"/>
      <c r="U27" s="271"/>
      <c r="V27" s="271"/>
      <c r="W27" s="271"/>
      <c r="X27" s="71"/>
      <c r="Y27" s="72"/>
      <c r="Z27" s="72"/>
      <c r="AA27" s="72"/>
      <c r="AB27" s="72"/>
      <c r="AC27" s="71"/>
      <c r="AD27" s="72"/>
      <c r="AE27" s="72"/>
      <c r="AF27" s="72"/>
      <c r="AG27" s="72"/>
      <c r="AH27" s="71"/>
      <c r="AI27" s="72"/>
      <c r="AJ27" s="72"/>
      <c r="AK27" s="72"/>
      <c r="AL27" s="72"/>
      <c r="AM27" s="71"/>
      <c r="AN27" s="72"/>
      <c r="AO27" s="72"/>
      <c r="AP27" s="72"/>
      <c r="AQ27" s="72"/>
      <c r="AR27" s="71">
        <f t="shared" si="29"/>
        <v>0</v>
      </c>
      <c r="AS27" s="72"/>
      <c r="AT27" s="72"/>
      <c r="AU27" s="72"/>
      <c r="AV27" s="72">
        <v>20469</v>
      </c>
      <c r="AW27" s="71">
        <f t="shared" si="30"/>
        <v>20469</v>
      </c>
      <c r="AX27" s="72">
        <v>13343</v>
      </c>
      <c r="AY27" s="72">
        <v>2032</v>
      </c>
      <c r="AZ27" s="72">
        <v>11510</v>
      </c>
      <c r="BA27" s="72">
        <v>0</v>
      </c>
      <c r="BB27" s="71">
        <f t="shared" si="31"/>
        <v>0</v>
      </c>
      <c r="BC27" s="72">
        <v>16</v>
      </c>
      <c r="BD27" s="72"/>
      <c r="BE27" s="72">
        <v>36921</v>
      </c>
      <c r="BF27" s="72">
        <v>722887</v>
      </c>
      <c r="BG27" s="71">
        <f t="shared" si="32"/>
        <v>722887</v>
      </c>
      <c r="BH27" s="72">
        <v>723995</v>
      </c>
      <c r="BI27" s="72">
        <v>725105</v>
      </c>
      <c r="BJ27" s="72">
        <v>689111</v>
      </c>
      <c r="BK27" s="72">
        <v>0</v>
      </c>
      <c r="BL27" s="71">
        <f t="shared" si="33"/>
        <v>0</v>
      </c>
      <c r="BM27" s="72">
        <f>BL27</f>
        <v>0</v>
      </c>
      <c r="BN27" s="72"/>
      <c r="BO27" s="72"/>
      <c r="BP27" s="72">
        <f>BO27</f>
        <v>0</v>
      </c>
      <c r="BQ27" s="71">
        <f t="shared" si="34"/>
        <v>0</v>
      </c>
      <c r="BR27" s="72"/>
      <c r="BS27" s="72">
        <f>BR27</f>
        <v>0</v>
      </c>
      <c r="BT27" s="72">
        <f>BS27</f>
        <v>0</v>
      </c>
      <c r="BU27" s="72">
        <f>BT27</f>
        <v>0</v>
      </c>
      <c r="BV27" s="71">
        <f t="shared" si="35"/>
        <v>0</v>
      </c>
      <c r="BW27" s="72">
        <f>BV27</f>
        <v>0</v>
      </c>
      <c r="BX27" s="72">
        <f>BW27</f>
        <v>0</v>
      </c>
      <c r="BY27" s="72">
        <f>BX27</f>
        <v>0</v>
      </c>
      <c r="BZ27" s="72">
        <f>BY27</f>
        <v>0</v>
      </c>
      <c r="CA27" s="71">
        <f t="shared" si="36"/>
        <v>0</v>
      </c>
    </row>
    <row r="28" spans="2:79" ht="13.15">
      <c r="B28" s="120"/>
      <c r="C28" s="137" t="s">
        <v>243</v>
      </c>
      <c r="D28" s="71"/>
      <c r="E28" s="72"/>
      <c r="F28" s="72"/>
      <c r="G28" s="72"/>
      <c r="H28" s="271"/>
      <c r="I28" s="71"/>
      <c r="J28" s="72"/>
      <c r="K28" s="72"/>
      <c r="L28" s="72"/>
      <c r="M28" s="271"/>
      <c r="N28" s="71"/>
      <c r="O28" s="270"/>
      <c r="P28" s="271"/>
      <c r="Q28" s="270"/>
      <c r="R28" s="72"/>
      <c r="S28" s="71"/>
      <c r="T28" s="270"/>
      <c r="U28" s="271"/>
      <c r="V28" s="271"/>
      <c r="W28" s="271"/>
      <c r="X28" s="71"/>
      <c r="Y28" s="72"/>
      <c r="Z28" s="72"/>
      <c r="AA28" s="72"/>
      <c r="AB28" s="72"/>
      <c r="AC28" s="71"/>
      <c r="AD28" s="72"/>
      <c r="AE28" s="72"/>
      <c r="AF28" s="72"/>
      <c r="AG28" s="72">
        <v>0</v>
      </c>
      <c r="AH28" s="71">
        <f t="shared" si="27"/>
        <v>0</v>
      </c>
      <c r="AI28" s="72">
        <v>0</v>
      </c>
      <c r="AJ28" s="72">
        <v>0</v>
      </c>
      <c r="AK28" s="72">
        <v>17574</v>
      </c>
      <c r="AL28" s="72">
        <v>0</v>
      </c>
      <c r="AM28" s="71">
        <f t="shared" si="28"/>
        <v>0</v>
      </c>
      <c r="AN28" s="72">
        <f>16921</f>
        <v>16921</v>
      </c>
      <c r="AO28" s="72">
        <v>17193</v>
      </c>
      <c r="AP28" s="72">
        <v>18743</v>
      </c>
      <c r="AQ28" s="72">
        <v>20728</v>
      </c>
      <c r="AR28" s="71">
        <f t="shared" si="29"/>
        <v>20728</v>
      </c>
      <c r="AS28" s="72">
        <v>27613</v>
      </c>
      <c r="AT28" s="72">
        <v>30415</v>
      </c>
      <c r="AU28" s="72">
        <v>30633</v>
      </c>
      <c r="AV28" s="72">
        <v>32971</v>
      </c>
      <c r="AW28" s="71">
        <f t="shared" si="30"/>
        <v>32971</v>
      </c>
      <c r="AX28" s="72">
        <v>34777</v>
      </c>
      <c r="AY28" s="72">
        <v>34951</v>
      </c>
      <c r="AZ28" s="72">
        <v>35228</v>
      </c>
      <c r="BA28" s="72">
        <v>37404</v>
      </c>
      <c r="BB28" s="71">
        <f t="shared" si="31"/>
        <v>37404</v>
      </c>
      <c r="BC28" s="72">
        <v>37293</v>
      </c>
      <c r="BD28" s="72">
        <v>43479</v>
      </c>
      <c r="BE28" s="72">
        <v>34713</v>
      </c>
      <c r="BF28" s="72">
        <v>24055</v>
      </c>
      <c r="BG28" s="71">
        <f t="shared" si="32"/>
        <v>24055</v>
      </c>
      <c r="BH28" s="72">
        <v>22742</v>
      </c>
      <c r="BI28" s="72">
        <v>23053</v>
      </c>
      <c r="BJ28" s="72">
        <v>21701</v>
      </c>
      <c r="BK28" s="72">
        <v>22230</v>
      </c>
      <c r="BL28" s="71">
        <f t="shared" si="33"/>
        <v>22230</v>
      </c>
      <c r="BM28" s="72">
        <v>20925</v>
      </c>
      <c r="BN28" s="72">
        <v>19769</v>
      </c>
      <c r="BO28" s="72">
        <v>19507</v>
      </c>
      <c r="BP28" s="72">
        <v>19077</v>
      </c>
      <c r="BQ28" s="71">
        <f t="shared" si="34"/>
        <v>19077</v>
      </c>
      <c r="BR28" s="72">
        <v>21815</v>
      </c>
      <c r="BS28" s="72">
        <v>21185</v>
      </c>
      <c r="BT28" s="72">
        <v>15840</v>
      </c>
      <c r="BU28" s="72">
        <f>BU65*IS!BU13</f>
        <v>20680.312827500002</v>
      </c>
      <c r="BV28" s="71">
        <f t="shared" si="35"/>
        <v>20680.312827500002</v>
      </c>
      <c r="BW28" s="72">
        <f>BW65*IS!BW13</f>
        <v>24189.956399999999</v>
      </c>
      <c r="BX28" s="72">
        <f>BX65*IS!BX13</f>
        <v>25372.4856</v>
      </c>
      <c r="BY28" s="72">
        <f>BY65*IS!BY13</f>
        <v>25929.6132</v>
      </c>
      <c r="BZ28" s="72">
        <f>BZ65*IS!BZ13</f>
        <v>26213.923712579999</v>
      </c>
      <c r="CA28" s="71">
        <f t="shared" si="36"/>
        <v>26213.923712579999</v>
      </c>
    </row>
    <row r="29" spans="2:79" ht="13.15">
      <c r="B29" s="120"/>
      <c r="C29" s="137" t="s">
        <v>282</v>
      </c>
      <c r="D29" s="71"/>
      <c r="E29" s="72"/>
      <c r="F29" s="72"/>
      <c r="G29" s="72"/>
      <c r="H29" s="271"/>
      <c r="I29" s="71"/>
      <c r="J29" s="72"/>
      <c r="K29" s="72"/>
      <c r="L29" s="72"/>
      <c r="M29" s="271"/>
      <c r="N29" s="71"/>
      <c r="O29" s="270"/>
      <c r="P29" s="271"/>
      <c r="Q29" s="270"/>
      <c r="R29" s="72"/>
      <c r="S29" s="71"/>
      <c r="T29" s="270"/>
      <c r="U29" s="271"/>
      <c r="V29" s="271"/>
      <c r="W29" s="271"/>
      <c r="X29" s="71"/>
      <c r="Y29" s="72"/>
      <c r="Z29" s="72"/>
      <c r="AA29" s="72"/>
      <c r="AB29" s="72"/>
      <c r="AC29" s="71"/>
      <c r="AD29" s="72"/>
      <c r="AE29" s="72"/>
      <c r="AF29" s="72"/>
      <c r="AG29" s="72">
        <v>1758</v>
      </c>
      <c r="AH29" s="71">
        <f t="shared" si="27"/>
        <v>1758</v>
      </c>
      <c r="AI29" s="72">
        <f>1811</f>
        <v>1811</v>
      </c>
      <c r="AJ29" s="72">
        <v>1872</v>
      </c>
      <c r="AK29" s="72">
        <v>2029</v>
      </c>
      <c r="AL29" s="72">
        <v>2452</v>
      </c>
      <c r="AM29" s="71">
        <f t="shared" si="28"/>
        <v>2452</v>
      </c>
      <c r="AN29" s="72">
        <v>0</v>
      </c>
      <c r="AO29" s="72">
        <v>0</v>
      </c>
      <c r="AP29" s="72">
        <v>0</v>
      </c>
      <c r="AQ29" s="72"/>
      <c r="AR29" s="71">
        <f t="shared" si="29"/>
        <v>0</v>
      </c>
      <c r="AS29" s="72"/>
      <c r="AT29" s="72"/>
      <c r="AU29" s="72"/>
      <c r="AV29" s="72"/>
      <c r="AW29" s="71">
        <f t="shared" si="30"/>
        <v>0</v>
      </c>
      <c r="AX29" s="72"/>
      <c r="AY29" s="72"/>
      <c r="AZ29" s="72"/>
      <c r="BA29" s="72"/>
      <c r="BB29" s="71">
        <f t="shared" si="31"/>
        <v>0</v>
      </c>
      <c r="BC29" s="72">
        <v>0</v>
      </c>
      <c r="BD29" s="72"/>
      <c r="BE29" s="72"/>
      <c r="BF29" s="72"/>
      <c r="BG29" s="71">
        <f t="shared" si="32"/>
        <v>0</v>
      </c>
      <c r="BH29" s="72"/>
      <c r="BI29" s="72"/>
      <c r="BJ29" s="72"/>
      <c r="BK29" s="72"/>
      <c r="BL29" s="71">
        <f t="shared" si="33"/>
        <v>0</v>
      </c>
      <c r="BM29" s="72"/>
      <c r="BN29" s="72"/>
      <c r="BO29" s="72"/>
      <c r="BP29" s="72"/>
      <c r="BQ29" s="71">
        <f t="shared" si="34"/>
        <v>0</v>
      </c>
      <c r="BR29" s="72"/>
      <c r="BS29" s="72"/>
      <c r="BT29" s="72"/>
      <c r="BU29" s="72"/>
      <c r="BV29" s="71">
        <f t="shared" si="35"/>
        <v>0</v>
      </c>
      <c r="BW29" s="72"/>
      <c r="BX29" s="72"/>
      <c r="BY29" s="72"/>
      <c r="BZ29" s="72"/>
      <c r="CA29" s="71">
        <f t="shared" si="36"/>
        <v>0</v>
      </c>
    </row>
    <row r="30" spans="2:79">
      <c r="B30" s="92"/>
      <c r="C30" s="137" t="s">
        <v>264</v>
      </c>
      <c r="D30" s="71"/>
      <c r="E30" s="72"/>
      <c r="F30" s="72"/>
      <c r="G30" s="72"/>
      <c r="H30" s="271"/>
      <c r="I30" s="71"/>
      <c r="J30" s="72"/>
      <c r="K30" s="72"/>
      <c r="L30" s="72"/>
      <c r="M30" s="271"/>
      <c r="N30" s="71"/>
      <c r="O30" s="270"/>
      <c r="P30" s="271"/>
      <c r="Q30" s="270"/>
      <c r="R30" s="72"/>
      <c r="S30" s="71">
        <f>R30</f>
        <v>0</v>
      </c>
      <c r="T30" s="270"/>
      <c r="U30" s="271"/>
      <c r="V30" s="271"/>
      <c r="W30" s="271"/>
      <c r="X30" s="71">
        <v>130713</v>
      </c>
      <c r="Y30" s="72"/>
      <c r="Z30" s="72"/>
      <c r="AA30" s="72"/>
      <c r="AB30" s="72"/>
      <c r="AC30" s="71">
        <v>190151</v>
      </c>
      <c r="AD30" s="72"/>
      <c r="AE30" s="72"/>
      <c r="AF30" s="72"/>
      <c r="AG30" s="72">
        <v>270188</v>
      </c>
      <c r="AH30" s="71">
        <f t="shared" si="27"/>
        <v>270188</v>
      </c>
      <c r="AI30" s="72">
        <v>282470</v>
      </c>
      <c r="AJ30" s="72">
        <v>289724</v>
      </c>
      <c r="AK30" s="72">
        <v>316619</v>
      </c>
      <c r="AL30" s="72">
        <v>381060</v>
      </c>
      <c r="AM30" s="71">
        <f t="shared" si="28"/>
        <v>381060</v>
      </c>
      <c r="AN30" s="72">
        <v>385460</v>
      </c>
      <c r="AO30" s="72">
        <v>402734</v>
      </c>
      <c r="AP30" s="72">
        <v>423742</v>
      </c>
      <c r="AQ30" s="72">
        <v>507560</v>
      </c>
      <c r="AR30" s="71">
        <f t="shared" si="29"/>
        <v>507560</v>
      </c>
      <c r="AS30" s="72">
        <v>552345</v>
      </c>
      <c r="AT30" s="72">
        <v>624031</v>
      </c>
      <c r="AU30" s="72">
        <v>686185</v>
      </c>
      <c r="AV30" s="72">
        <v>779642</v>
      </c>
      <c r="AW30" s="71">
        <f t="shared" si="30"/>
        <v>779642</v>
      </c>
      <c r="AX30" s="72">
        <v>829844</v>
      </c>
      <c r="AY30" s="72">
        <v>914619</v>
      </c>
      <c r="AZ30" s="72">
        <v>940111</v>
      </c>
      <c r="BA30" s="72">
        <v>1029891</v>
      </c>
      <c r="BB30" s="71">
        <f t="shared" si="31"/>
        <v>1029891</v>
      </c>
      <c r="BC30" s="72">
        <v>1049534</v>
      </c>
      <c r="BD30" s="72">
        <v>1073800</v>
      </c>
      <c r="BE30" s="72">
        <v>1088197</v>
      </c>
      <c r="BF30" s="72">
        <v>1172867</v>
      </c>
      <c r="BG30" s="71">
        <f t="shared" si="32"/>
        <v>1172867</v>
      </c>
      <c r="BH30" s="72">
        <v>1190364</v>
      </c>
      <c r="BI30" s="72">
        <v>1208411</v>
      </c>
      <c r="BJ30" s="72">
        <v>1204599</v>
      </c>
      <c r="BK30" s="72">
        <v>1320059</v>
      </c>
      <c r="BL30" s="71">
        <f t="shared" si="33"/>
        <v>1320059</v>
      </c>
      <c r="BM30" s="72">
        <v>1313227</v>
      </c>
      <c r="BN30" s="72">
        <v>1307565</v>
      </c>
      <c r="BO30" s="72">
        <v>1307749</v>
      </c>
      <c r="BP30" s="72">
        <v>1455442</v>
      </c>
      <c r="BQ30" s="71">
        <f t="shared" si="34"/>
        <v>1455442</v>
      </c>
      <c r="BR30" s="72">
        <v>1422878</v>
      </c>
      <c r="BS30" s="72">
        <v>1436033</v>
      </c>
      <c r="BT30" s="72">
        <v>1444599</v>
      </c>
      <c r="BU30" s="72">
        <f>BU66*IS!BU13</f>
        <v>1604792.275414</v>
      </c>
      <c r="BV30" s="71">
        <f t="shared" si="35"/>
        <v>1604792.275414</v>
      </c>
      <c r="BW30" s="72">
        <f>BW66*IS!BW13</f>
        <v>1572347.166</v>
      </c>
      <c r="BX30" s="72">
        <f>BX66*IS!BX13</f>
        <v>1590009.0976</v>
      </c>
      <c r="BY30" s="72">
        <f>BY66*IS!BY13</f>
        <v>1581706.4052000002</v>
      </c>
      <c r="BZ30" s="72">
        <f>BZ66*IS!BZ13</f>
        <v>1738856.9396011401</v>
      </c>
      <c r="CA30" s="71">
        <f t="shared" si="36"/>
        <v>1738856.9396011401</v>
      </c>
    </row>
    <row r="31" spans="2:79" s="128" customFormat="1" ht="13.15">
      <c r="B31" s="120" t="s">
        <v>9</v>
      </c>
      <c r="C31" s="138"/>
      <c r="D31" s="336">
        <f>SUM(D24:D30)</f>
        <v>0</v>
      </c>
      <c r="E31" s="119">
        <f>SUM(E24:E30)</f>
        <v>0</v>
      </c>
      <c r="F31" s="119">
        <f>SUM(F24:F30)</f>
        <v>0</v>
      </c>
      <c r="G31" s="119">
        <f>SUM(G24:G30)</f>
        <v>0</v>
      </c>
      <c r="H31" s="119">
        <f>SUM(H24:H30)</f>
        <v>0</v>
      </c>
      <c r="I31" s="336">
        <f>H31</f>
        <v>0</v>
      </c>
      <c r="J31" s="119">
        <f t="shared" ref="J31:BA31" si="37">SUM(J24:J30)</f>
        <v>0</v>
      </c>
      <c r="K31" s="119">
        <f t="shared" si="37"/>
        <v>0</v>
      </c>
      <c r="L31" s="119">
        <f t="shared" si="37"/>
        <v>0</v>
      </c>
      <c r="M31" s="119">
        <f t="shared" si="37"/>
        <v>0</v>
      </c>
      <c r="N31" s="336">
        <f t="shared" si="37"/>
        <v>0</v>
      </c>
      <c r="O31" s="119">
        <f t="shared" si="37"/>
        <v>0</v>
      </c>
      <c r="P31" s="119">
        <f t="shared" si="37"/>
        <v>0</v>
      </c>
      <c r="Q31" s="119">
        <f t="shared" si="37"/>
        <v>0</v>
      </c>
      <c r="R31" s="119">
        <f t="shared" si="37"/>
        <v>0</v>
      </c>
      <c r="S31" s="336">
        <f t="shared" si="37"/>
        <v>0</v>
      </c>
      <c r="T31" s="119">
        <f t="shared" si="37"/>
        <v>0</v>
      </c>
      <c r="U31" s="119">
        <f t="shared" si="37"/>
        <v>0</v>
      </c>
      <c r="V31" s="119">
        <f t="shared" si="37"/>
        <v>0</v>
      </c>
      <c r="W31" s="119">
        <f t="shared" si="37"/>
        <v>0</v>
      </c>
      <c r="X31" s="336">
        <f t="shared" si="37"/>
        <v>130713</v>
      </c>
      <c r="Y31" s="119">
        <f t="shared" si="37"/>
        <v>0</v>
      </c>
      <c r="Z31" s="119">
        <f t="shared" si="37"/>
        <v>0</v>
      </c>
      <c r="AA31" s="119">
        <f t="shared" si="37"/>
        <v>0</v>
      </c>
      <c r="AB31" s="119">
        <f t="shared" si="37"/>
        <v>0</v>
      </c>
      <c r="AC31" s="336">
        <f t="shared" si="37"/>
        <v>190151</v>
      </c>
      <c r="AD31" s="119">
        <f t="shared" si="37"/>
        <v>0</v>
      </c>
      <c r="AE31" s="119">
        <f t="shared" si="37"/>
        <v>0</v>
      </c>
      <c r="AF31" s="119">
        <f t="shared" si="37"/>
        <v>0</v>
      </c>
      <c r="AG31" s="119">
        <f t="shared" si="37"/>
        <v>373819</v>
      </c>
      <c r="AH31" s="336">
        <f t="shared" si="37"/>
        <v>373819</v>
      </c>
      <c r="AI31" s="119">
        <f t="shared" si="37"/>
        <v>362495</v>
      </c>
      <c r="AJ31" s="119">
        <f t="shared" si="37"/>
        <v>389590</v>
      </c>
      <c r="AK31" s="119">
        <f t="shared" si="37"/>
        <v>434636</v>
      </c>
      <c r="AL31" s="119">
        <f t="shared" si="37"/>
        <v>516313</v>
      </c>
      <c r="AM31" s="336">
        <f t="shared" si="37"/>
        <v>516313</v>
      </c>
      <c r="AN31" s="119">
        <f t="shared" si="37"/>
        <v>522607</v>
      </c>
      <c r="AO31" s="119">
        <f t="shared" si="37"/>
        <v>574149</v>
      </c>
      <c r="AP31" s="119">
        <f t="shared" si="37"/>
        <v>588494</v>
      </c>
      <c r="AQ31" s="119">
        <f t="shared" si="37"/>
        <v>693965</v>
      </c>
      <c r="AR31" s="336">
        <f t="shared" si="37"/>
        <v>693965</v>
      </c>
      <c r="AS31" s="119">
        <f t="shared" si="37"/>
        <v>729590</v>
      </c>
      <c r="AT31" s="119">
        <f t="shared" si="37"/>
        <v>854038</v>
      </c>
      <c r="AU31" s="119">
        <f t="shared" si="37"/>
        <v>923100</v>
      </c>
      <c r="AV31" s="119">
        <f t="shared" si="37"/>
        <v>1093173</v>
      </c>
      <c r="AW31" s="336">
        <f>SUM(AW24:AW30)</f>
        <v>1093173</v>
      </c>
      <c r="AX31" s="119">
        <f t="shared" si="37"/>
        <v>1097912</v>
      </c>
      <c r="AY31" s="119">
        <f t="shared" si="37"/>
        <v>1209630</v>
      </c>
      <c r="AZ31" s="119">
        <f t="shared" si="37"/>
        <v>1260367</v>
      </c>
      <c r="BA31" s="119">
        <f t="shared" si="37"/>
        <v>1371639</v>
      </c>
      <c r="BB31" s="336">
        <f t="shared" ref="BB31:CA31" si="38">SUM(BB24:BB30)</f>
        <v>1371639</v>
      </c>
      <c r="BC31" s="119">
        <f t="shared" si="38"/>
        <v>1343716</v>
      </c>
      <c r="BD31" s="119">
        <f t="shared" si="38"/>
        <v>1402245</v>
      </c>
      <c r="BE31" s="119">
        <f t="shared" si="38"/>
        <v>1449531</v>
      </c>
      <c r="BF31" s="119">
        <f t="shared" si="38"/>
        <v>2208322</v>
      </c>
      <c r="BG31" s="336">
        <f t="shared" si="38"/>
        <v>2208322</v>
      </c>
      <c r="BH31" s="119">
        <f t="shared" si="38"/>
        <v>2195464</v>
      </c>
      <c r="BI31" s="119">
        <f t="shared" si="38"/>
        <v>2233964</v>
      </c>
      <c r="BJ31" s="119">
        <f t="shared" si="38"/>
        <v>2189221</v>
      </c>
      <c r="BK31" s="119">
        <f t="shared" si="38"/>
        <v>1660621</v>
      </c>
      <c r="BL31" s="336">
        <f t="shared" si="38"/>
        <v>1660621</v>
      </c>
      <c r="BM31" s="119">
        <f t="shared" si="38"/>
        <v>1604961</v>
      </c>
      <c r="BN31" s="119">
        <f t="shared" si="38"/>
        <v>1607304</v>
      </c>
      <c r="BO31" s="119">
        <f t="shared" si="38"/>
        <v>1598770</v>
      </c>
      <c r="BP31" s="119">
        <f t="shared" si="38"/>
        <v>1831910</v>
      </c>
      <c r="BQ31" s="336">
        <f t="shared" si="38"/>
        <v>1831910</v>
      </c>
      <c r="BR31" s="119">
        <f t="shared" si="38"/>
        <v>1741434</v>
      </c>
      <c r="BS31" s="119">
        <f t="shared" si="38"/>
        <v>1776445</v>
      </c>
      <c r="BT31" s="119">
        <f t="shared" si="38"/>
        <v>1783744</v>
      </c>
      <c r="BU31" s="119">
        <f t="shared" si="38"/>
        <v>2005990.3442675001</v>
      </c>
      <c r="BV31" s="336">
        <f t="shared" si="38"/>
        <v>2005990.3442675001</v>
      </c>
      <c r="BW31" s="119">
        <f t="shared" si="38"/>
        <v>1959386.4684000001</v>
      </c>
      <c r="BX31" s="119">
        <f t="shared" si="38"/>
        <v>1995968.8672</v>
      </c>
      <c r="BY31" s="119">
        <f t="shared" si="38"/>
        <v>1987937.0120000001</v>
      </c>
      <c r="BZ31" s="119">
        <f t="shared" si="38"/>
        <v>2158279.7190024201</v>
      </c>
      <c r="CA31" s="336">
        <f t="shared" si="38"/>
        <v>2158279.7190024201</v>
      </c>
    </row>
    <row r="32" spans="2:79">
      <c r="B32" s="92"/>
      <c r="C32" s="137" t="s">
        <v>244</v>
      </c>
      <c r="D32" s="71"/>
      <c r="E32" s="72"/>
      <c r="F32" s="72"/>
      <c r="G32" s="72"/>
      <c r="H32" s="72"/>
      <c r="I32" s="71"/>
      <c r="J32" s="72"/>
      <c r="K32" s="72"/>
      <c r="L32" s="72"/>
      <c r="M32" s="72"/>
      <c r="N32" s="71"/>
      <c r="O32" s="72"/>
      <c r="P32" s="72"/>
      <c r="Q32" s="72"/>
      <c r="R32" s="72"/>
      <c r="S32" s="71"/>
      <c r="T32" s="72"/>
      <c r="U32" s="72"/>
      <c r="V32" s="72"/>
      <c r="W32" s="72"/>
      <c r="X32" s="71"/>
      <c r="Y32" s="72"/>
      <c r="Z32" s="72"/>
      <c r="AA32" s="72"/>
      <c r="AB32" s="72"/>
      <c r="AC32" s="71"/>
      <c r="AD32" s="72"/>
      <c r="AE32" s="72"/>
      <c r="AF32" s="72"/>
      <c r="AG32" s="72"/>
      <c r="AH32" s="71">
        <f t="shared" ref="AH32:AH37" si="39">AG32</f>
        <v>0</v>
      </c>
      <c r="AI32" s="72">
        <v>0</v>
      </c>
      <c r="AJ32" s="72">
        <v>0</v>
      </c>
      <c r="AK32" s="72">
        <v>0</v>
      </c>
      <c r="AL32" s="72">
        <v>0</v>
      </c>
      <c r="AM32" s="71">
        <f t="shared" ref="AM32:AM37" si="40">AL32</f>
        <v>0</v>
      </c>
      <c r="AN32" s="72">
        <v>154778</v>
      </c>
      <c r="AO32" s="72">
        <v>150493</v>
      </c>
      <c r="AP32" s="72">
        <v>150362</v>
      </c>
      <c r="AQ32" s="72">
        <v>162432</v>
      </c>
      <c r="AR32" s="71">
        <f t="shared" ref="AR32:AR37" si="41">AQ32</f>
        <v>162432</v>
      </c>
      <c r="AS32" s="72">
        <v>173750</v>
      </c>
      <c r="AT32" s="72">
        <v>177862</v>
      </c>
      <c r="AU32" s="72">
        <v>169078</v>
      </c>
      <c r="AV32" s="72">
        <v>165704</v>
      </c>
      <c r="AW32" s="71">
        <f t="shared" ref="AW32:AW37" si="42">AV32</f>
        <v>165704</v>
      </c>
      <c r="AX32" s="72">
        <v>155998</v>
      </c>
      <c r="AY32" s="72">
        <v>146025</v>
      </c>
      <c r="AZ32" s="72">
        <v>136240</v>
      </c>
      <c r="BA32" s="72">
        <v>126340</v>
      </c>
      <c r="BB32" s="71">
        <f t="shared" ref="BB32:BB37" si="43">BA32</f>
        <v>126340</v>
      </c>
      <c r="BC32" s="72">
        <v>114976</v>
      </c>
      <c r="BD32" s="72">
        <v>90479</v>
      </c>
      <c r="BE32" s="72">
        <v>81237</v>
      </c>
      <c r="BF32" s="72">
        <v>141348</v>
      </c>
      <c r="BG32" s="71">
        <f t="shared" ref="BG32:BG37" si="44">BF32</f>
        <v>141348</v>
      </c>
      <c r="BH32" s="72">
        <v>136243</v>
      </c>
      <c r="BI32" s="72">
        <v>130746</v>
      </c>
      <c r="BJ32" s="72">
        <v>124551</v>
      </c>
      <c r="BK32" s="72">
        <v>120823</v>
      </c>
      <c r="BL32" s="71">
        <f t="shared" ref="BL32:BL37" si="45">BK32</f>
        <v>120823</v>
      </c>
      <c r="BM32" s="72">
        <v>117444</v>
      </c>
      <c r="BN32" s="72">
        <v>115832</v>
      </c>
      <c r="BO32" s="72">
        <v>111132</v>
      </c>
      <c r="BP32" s="72">
        <v>105350</v>
      </c>
      <c r="BQ32" s="71">
        <f t="shared" ref="BQ32:BQ37" si="46">BP32</f>
        <v>105350</v>
      </c>
      <c r="BR32" s="72">
        <v>111122</v>
      </c>
      <c r="BS32" s="72">
        <v>105757</v>
      </c>
      <c r="BT32" s="72">
        <v>134533</v>
      </c>
      <c r="BU32" s="72">
        <f t="shared" ref="BU32:CA32" si="47">BT32</f>
        <v>134533</v>
      </c>
      <c r="BV32" s="71">
        <f t="shared" si="47"/>
        <v>134533</v>
      </c>
      <c r="BW32" s="72">
        <f t="shared" si="47"/>
        <v>134533</v>
      </c>
      <c r="BX32" s="72">
        <f t="shared" si="47"/>
        <v>134533</v>
      </c>
      <c r="BY32" s="72">
        <f t="shared" si="47"/>
        <v>134533</v>
      </c>
      <c r="BZ32" s="72">
        <f t="shared" si="47"/>
        <v>134533</v>
      </c>
      <c r="CA32" s="71">
        <f t="shared" si="47"/>
        <v>134533</v>
      </c>
    </row>
    <row r="33" spans="2:79">
      <c r="B33" s="92"/>
      <c r="C33" s="137" t="s">
        <v>262</v>
      </c>
      <c r="D33" s="71"/>
      <c r="E33" s="72"/>
      <c r="F33" s="72"/>
      <c r="G33" s="72"/>
      <c r="H33" s="72"/>
      <c r="I33" s="71"/>
      <c r="J33" s="72"/>
      <c r="K33" s="72"/>
      <c r="L33" s="72"/>
      <c r="M33" s="72"/>
      <c r="N33" s="71"/>
      <c r="O33" s="72"/>
      <c r="P33" s="72"/>
      <c r="Q33" s="72"/>
      <c r="R33" s="72"/>
      <c r="S33" s="71"/>
      <c r="T33" s="72"/>
      <c r="U33" s="72"/>
      <c r="V33" s="72"/>
      <c r="W33" s="72"/>
      <c r="X33" s="71"/>
      <c r="Y33" s="72"/>
      <c r="Z33" s="72"/>
      <c r="AA33" s="72"/>
      <c r="AB33" s="72"/>
      <c r="AC33" s="71"/>
      <c r="AD33" s="72"/>
      <c r="AE33" s="72"/>
      <c r="AF33" s="72"/>
      <c r="AG33" s="72">
        <v>0</v>
      </c>
      <c r="AH33" s="71">
        <f t="shared" si="39"/>
        <v>0</v>
      </c>
      <c r="AI33" s="72"/>
      <c r="AJ33" s="72">
        <v>0</v>
      </c>
      <c r="AK33" s="72">
        <v>432572</v>
      </c>
      <c r="AL33" s="72">
        <v>438932</v>
      </c>
      <c r="AM33" s="71">
        <f t="shared" si="40"/>
        <v>438932</v>
      </c>
      <c r="AN33" s="72">
        <v>445385</v>
      </c>
      <c r="AO33" s="72">
        <v>451934</v>
      </c>
      <c r="AP33" s="72">
        <v>458578</v>
      </c>
      <c r="AQ33" s="72">
        <v>465321</v>
      </c>
      <c r="AR33" s="71">
        <f t="shared" si="41"/>
        <v>465321</v>
      </c>
      <c r="AS33" s="72">
        <v>472162</v>
      </c>
      <c r="AT33" s="72">
        <v>479105</v>
      </c>
      <c r="AU33" s="72">
        <v>486149</v>
      </c>
      <c r="AV33" s="72">
        <v>693219</v>
      </c>
      <c r="AW33" s="71">
        <f t="shared" si="42"/>
        <v>693219</v>
      </c>
      <c r="AX33" s="72">
        <v>742577</v>
      </c>
      <c r="AY33" s="72">
        <v>730272</v>
      </c>
      <c r="AZ33" s="72">
        <v>718821</v>
      </c>
      <c r="BA33" s="72">
        <v>718487</v>
      </c>
      <c r="BB33" s="71">
        <f t="shared" si="43"/>
        <v>718487</v>
      </c>
      <c r="BC33" s="72">
        <v>719616</v>
      </c>
      <c r="BD33" s="72">
        <v>720677</v>
      </c>
      <c r="BE33" s="72">
        <v>684861</v>
      </c>
      <c r="BF33" s="72"/>
      <c r="BG33" s="71">
        <f t="shared" si="44"/>
        <v>0</v>
      </c>
      <c r="BH33" s="72"/>
      <c r="BI33" s="72">
        <v>0</v>
      </c>
      <c r="BJ33" s="72"/>
      <c r="BK33" s="72">
        <v>0</v>
      </c>
      <c r="BL33" s="71">
        <f t="shared" si="45"/>
        <v>0</v>
      </c>
      <c r="BM33" s="72">
        <f>BL33-IS!BM50</f>
        <v>0</v>
      </c>
      <c r="BN33" s="72">
        <v>0</v>
      </c>
      <c r="BO33" s="72"/>
      <c r="BP33" s="72">
        <f>BO33-IS!BP50</f>
        <v>0</v>
      </c>
      <c r="BQ33" s="71">
        <f t="shared" si="46"/>
        <v>0</v>
      </c>
      <c r="BR33" s="72"/>
      <c r="BS33" s="72">
        <f>BR33-IS!BS50</f>
        <v>0</v>
      </c>
      <c r="BT33" s="72">
        <f>BS33-IS!BT50</f>
        <v>0</v>
      </c>
      <c r="BU33" s="72">
        <f>BT33-IS!BU50</f>
        <v>0</v>
      </c>
      <c r="BV33" s="71">
        <f>BU33</f>
        <v>0</v>
      </c>
      <c r="BW33" s="72">
        <f>BV33-IS!BW50</f>
        <v>0</v>
      </c>
      <c r="BX33" s="72">
        <f>BW33-IS!BX50</f>
        <v>0</v>
      </c>
      <c r="BY33" s="72">
        <f>BX33-IS!BY50</f>
        <v>0</v>
      </c>
      <c r="BZ33" s="72">
        <f>BY33-IS!BZ50</f>
        <v>0</v>
      </c>
      <c r="CA33" s="71">
        <f>BZ33</f>
        <v>0</v>
      </c>
    </row>
    <row r="34" spans="2:79">
      <c r="B34" s="92"/>
      <c r="C34" s="137" t="s">
        <v>263</v>
      </c>
      <c r="D34" s="71"/>
      <c r="E34" s="72"/>
      <c r="F34" s="72"/>
      <c r="G34" s="72"/>
      <c r="H34" s="271"/>
      <c r="I34" s="71"/>
      <c r="J34" s="72"/>
      <c r="K34" s="72"/>
      <c r="L34" s="72"/>
      <c r="M34" s="271"/>
      <c r="N34" s="71"/>
      <c r="O34" s="270"/>
      <c r="P34" s="270"/>
      <c r="Q34" s="270"/>
      <c r="R34" s="270"/>
      <c r="S34" s="71">
        <f>R34</f>
        <v>0</v>
      </c>
      <c r="T34" s="270"/>
      <c r="U34" s="271"/>
      <c r="V34" s="271"/>
      <c r="W34" s="271"/>
      <c r="X34" s="71">
        <f>W34</f>
        <v>0</v>
      </c>
      <c r="Y34" s="72"/>
      <c r="Z34" s="72"/>
      <c r="AA34" s="72"/>
      <c r="AB34" s="72"/>
      <c r="AC34" s="71"/>
      <c r="AD34" s="72"/>
      <c r="AE34" s="72"/>
      <c r="AF34" s="72"/>
      <c r="AG34" s="72">
        <v>7736</v>
      </c>
      <c r="AH34" s="71">
        <f t="shared" si="39"/>
        <v>7736</v>
      </c>
      <c r="AI34" s="72">
        <v>8065</v>
      </c>
      <c r="AJ34" s="72">
        <v>7703</v>
      </c>
      <c r="AK34" s="72">
        <v>7135</v>
      </c>
      <c r="AL34" s="72">
        <v>7712</v>
      </c>
      <c r="AM34" s="71">
        <f t="shared" si="40"/>
        <v>7712</v>
      </c>
      <c r="AN34" s="72">
        <v>7586</v>
      </c>
      <c r="AO34" s="72">
        <v>7784</v>
      </c>
      <c r="AP34" s="72">
        <v>9339</v>
      </c>
      <c r="AQ34" s="72">
        <v>11478</v>
      </c>
      <c r="AR34" s="71">
        <f t="shared" si="41"/>
        <v>11478</v>
      </c>
      <c r="AS34" s="72">
        <v>11287</v>
      </c>
      <c r="AT34" s="72">
        <v>11837</v>
      </c>
      <c r="AU34" s="72">
        <v>14717</v>
      </c>
      <c r="AV34" s="72">
        <v>16492</v>
      </c>
      <c r="AW34" s="71">
        <f t="shared" si="42"/>
        <v>16492</v>
      </c>
      <c r="AX34" s="72">
        <v>17938</v>
      </c>
      <c r="AY34" s="72">
        <v>18138</v>
      </c>
      <c r="AZ34" s="72">
        <v>17070</v>
      </c>
      <c r="BA34" s="72">
        <v>16725</v>
      </c>
      <c r="BB34" s="71">
        <f t="shared" si="43"/>
        <v>16725</v>
      </c>
      <c r="BC34" s="72">
        <v>15794</v>
      </c>
      <c r="BD34" s="72">
        <v>14630</v>
      </c>
      <c r="BE34" s="72">
        <v>15242</v>
      </c>
      <c r="BF34" s="72">
        <v>16925</v>
      </c>
      <c r="BG34" s="71">
        <f t="shared" si="44"/>
        <v>16925</v>
      </c>
      <c r="BH34" s="72">
        <v>17715</v>
      </c>
      <c r="BI34" s="72">
        <v>21839</v>
      </c>
      <c r="BJ34" s="72">
        <v>22069</v>
      </c>
      <c r="BK34" s="72">
        <v>21980</v>
      </c>
      <c r="BL34" s="71">
        <f t="shared" si="45"/>
        <v>21980</v>
      </c>
      <c r="BM34" s="72">
        <v>23840</v>
      </c>
      <c r="BN34" s="72">
        <v>23020</v>
      </c>
      <c r="BO34" s="72">
        <v>22931</v>
      </c>
      <c r="BP34" s="72">
        <v>21523</v>
      </c>
      <c r="BQ34" s="71">
        <f t="shared" si="46"/>
        <v>21523</v>
      </c>
      <c r="BR34" s="72">
        <v>24354</v>
      </c>
      <c r="BS34" s="72">
        <v>27428</v>
      </c>
      <c r="BT34" s="72">
        <v>28027</v>
      </c>
      <c r="BU34" s="72">
        <f>BU68*IS!BU13</f>
        <v>38051.775602599999</v>
      </c>
      <c r="BV34" s="71">
        <f>BU34</f>
        <v>38051.775602599999</v>
      </c>
      <c r="BW34" s="72">
        <f>BW68*IS!BW13</f>
        <v>27415.283920000002</v>
      </c>
      <c r="BX34" s="72">
        <f>BX68*IS!BX13</f>
        <v>28755.483680000001</v>
      </c>
      <c r="BY34" s="72">
        <f>BY68*IS!BY13</f>
        <v>34572.817600000002</v>
      </c>
      <c r="BZ34" s="72">
        <f>BZ68*IS!BZ13</f>
        <v>39320.885568869999</v>
      </c>
      <c r="CA34" s="71">
        <f>BZ34</f>
        <v>39320.885568869999</v>
      </c>
    </row>
    <row r="35" spans="2:79">
      <c r="B35" s="92"/>
      <c r="C35" s="137" t="s">
        <v>283</v>
      </c>
      <c r="D35" s="71"/>
      <c r="E35" s="72"/>
      <c r="F35" s="72"/>
      <c r="G35" s="72"/>
      <c r="H35" s="271"/>
      <c r="I35" s="71"/>
      <c r="J35" s="72"/>
      <c r="K35" s="72"/>
      <c r="L35" s="72"/>
      <c r="M35" s="271"/>
      <c r="N35" s="71"/>
      <c r="O35" s="270"/>
      <c r="P35" s="270"/>
      <c r="Q35" s="270"/>
      <c r="R35" s="270"/>
      <c r="S35" s="71"/>
      <c r="T35" s="270"/>
      <c r="U35" s="271"/>
      <c r="V35" s="271"/>
      <c r="W35" s="271"/>
      <c r="X35" s="71"/>
      <c r="Y35" s="72"/>
      <c r="Z35" s="72"/>
      <c r="AA35" s="72"/>
      <c r="AB35" s="72"/>
      <c r="AC35" s="71"/>
      <c r="AD35" s="72"/>
      <c r="AE35" s="72"/>
      <c r="AF35" s="72"/>
      <c r="AG35" s="72">
        <v>23044</v>
      </c>
      <c r="AH35" s="71">
        <f t="shared" si="39"/>
        <v>23044</v>
      </c>
      <c r="AI35" s="72">
        <v>22862</v>
      </c>
      <c r="AJ35" s="72">
        <v>22633</v>
      </c>
      <c r="AK35" s="72">
        <v>23050</v>
      </c>
      <c r="AL35" s="72">
        <v>24195</v>
      </c>
      <c r="AM35" s="71">
        <f t="shared" si="40"/>
        <v>24195</v>
      </c>
      <c r="AN35" s="72">
        <v>0</v>
      </c>
      <c r="AO35" s="72">
        <v>0</v>
      </c>
      <c r="AP35" s="72">
        <v>0</v>
      </c>
      <c r="AQ35" s="72"/>
      <c r="AR35" s="71">
        <f t="shared" si="41"/>
        <v>0</v>
      </c>
      <c r="AS35" s="72"/>
      <c r="AT35" s="72"/>
      <c r="AU35" s="72"/>
      <c r="AV35" s="72"/>
      <c r="AW35" s="71">
        <f t="shared" si="42"/>
        <v>0</v>
      </c>
      <c r="AX35" s="72"/>
      <c r="AY35" s="72"/>
      <c r="AZ35" s="72"/>
      <c r="BA35" s="72"/>
      <c r="BB35" s="71">
        <f t="shared" si="43"/>
        <v>0</v>
      </c>
      <c r="BC35" s="72"/>
      <c r="BD35" s="72"/>
      <c r="BE35" s="72"/>
      <c r="BF35" s="72"/>
      <c r="BG35" s="71">
        <f t="shared" si="44"/>
        <v>0</v>
      </c>
      <c r="BH35" s="72">
        <v>0</v>
      </c>
      <c r="BI35" s="72">
        <v>0</v>
      </c>
      <c r="BJ35" s="72">
        <v>0</v>
      </c>
      <c r="BK35" s="72">
        <v>0</v>
      </c>
      <c r="BL35" s="71">
        <f t="shared" si="45"/>
        <v>0</v>
      </c>
      <c r="BM35" s="72">
        <v>0</v>
      </c>
      <c r="BN35" s="72">
        <v>0</v>
      </c>
      <c r="BO35" s="72"/>
      <c r="BP35" s="72">
        <v>0</v>
      </c>
      <c r="BQ35" s="71">
        <f t="shared" si="46"/>
        <v>0</v>
      </c>
      <c r="BR35" s="72"/>
      <c r="BS35" s="72">
        <v>0</v>
      </c>
      <c r="BT35" s="72">
        <v>0</v>
      </c>
      <c r="BU35" s="72">
        <v>0</v>
      </c>
      <c r="BV35" s="71">
        <f>BU35</f>
        <v>0</v>
      </c>
      <c r="BW35" s="72">
        <v>0</v>
      </c>
      <c r="BX35" s="72">
        <v>0</v>
      </c>
      <c r="BY35" s="72">
        <v>0</v>
      </c>
      <c r="BZ35" s="72">
        <v>0</v>
      </c>
      <c r="CA35" s="71">
        <f>BZ35</f>
        <v>0</v>
      </c>
    </row>
    <row r="36" spans="2:79">
      <c r="B36" s="92"/>
      <c r="C36" s="137" t="s">
        <v>265</v>
      </c>
      <c r="D36" s="71"/>
      <c r="E36" s="72"/>
      <c r="F36" s="72"/>
      <c r="G36" s="72"/>
      <c r="H36" s="271"/>
      <c r="I36" s="71"/>
      <c r="J36" s="72"/>
      <c r="K36" s="72"/>
      <c r="L36" s="72"/>
      <c r="M36" s="271"/>
      <c r="N36" s="71"/>
      <c r="O36" s="270"/>
      <c r="P36" s="270"/>
      <c r="Q36" s="270"/>
      <c r="R36" s="270"/>
      <c r="S36" s="71"/>
      <c r="T36" s="270"/>
      <c r="U36" s="271"/>
      <c r="V36" s="271"/>
      <c r="W36" s="271"/>
      <c r="X36" s="71"/>
      <c r="Y36" s="72"/>
      <c r="Z36" s="72"/>
      <c r="AA36" s="72"/>
      <c r="AB36" s="72"/>
      <c r="AC36" s="71"/>
      <c r="AD36" s="72"/>
      <c r="AE36" s="72"/>
      <c r="AF36" s="72"/>
      <c r="AG36" s="72">
        <v>2511</v>
      </c>
      <c r="AH36" s="71">
        <f t="shared" si="39"/>
        <v>2511</v>
      </c>
      <c r="AI36" s="72">
        <v>2505</v>
      </c>
      <c r="AJ36" s="72">
        <v>2499</v>
      </c>
      <c r="AK36" s="72">
        <v>2500</v>
      </c>
      <c r="AL36" s="72">
        <v>4207</v>
      </c>
      <c r="AM36" s="71">
        <f t="shared" si="40"/>
        <v>4207</v>
      </c>
      <c r="AN36" s="72">
        <v>4267</v>
      </c>
      <c r="AO36" s="72">
        <v>4270</v>
      </c>
      <c r="AP36" s="72">
        <v>4275</v>
      </c>
      <c r="AQ36" s="72">
        <v>4920</v>
      </c>
      <c r="AR36" s="71">
        <f t="shared" si="41"/>
        <v>4920</v>
      </c>
      <c r="AS36" s="72">
        <v>4814</v>
      </c>
      <c r="AT36" s="72">
        <v>8740</v>
      </c>
      <c r="AU36" s="72">
        <v>7974</v>
      </c>
      <c r="AV36" s="72">
        <v>6464</v>
      </c>
      <c r="AW36" s="71">
        <f t="shared" si="42"/>
        <v>6464</v>
      </c>
      <c r="AX36" s="72">
        <v>6484</v>
      </c>
      <c r="AY36" s="72">
        <v>6424</v>
      </c>
      <c r="AZ36" s="72">
        <v>6379</v>
      </c>
      <c r="BA36" s="72">
        <v>9316</v>
      </c>
      <c r="BB36" s="71">
        <f t="shared" si="43"/>
        <v>9316</v>
      </c>
      <c r="BC36" s="72">
        <v>9079</v>
      </c>
      <c r="BD36" s="72">
        <v>10323</v>
      </c>
      <c r="BE36" s="72">
        <v>10400</v>
      </c>
      <c r="BF36" s="72">
        <v>10723</v>
      </c>
      <c r="BG36" s="71">
        <f t="shared" si="44"/>
        <v>10723</v>
      </c>
      <c r="BH36" s="72">
        <v>12324</v>
      </c>
      <c r="BI36" s="72">
        <v>13923</v>
      </c>
      <c r="BJ36" s="72">
        <v>17160</v>
      </c>
      <c r="BK36" s="72">
        <v>16795</v>
      </c>
      <c r="BL36" s="71">
        <f t="shared" si="45"/>
        <v>16795</v>
      </c>
      <c r="BM36" s="72">
        <v>18037</v>
      </c>
      <c r="BN36" s="72">
        <v>18122</v>
      </c>
      <c r="BO36" s="72">
        <v>19303</v>
      </c>
      <c r="BP36" s="72">
        <v>20596</v>
      </c>
      <c r="BQ36" s="71">
        <f t="shared" si="46"/>
        <v>20596</v>
      </c>
      <c r="BR36" s="72">
        <v>22381</v>
      </c>
      <c r="BS36" s="72">
        <v>19064</v>
      </c>
      <c r="BT36" s="72">
        <v>18497</v>
      </c>
      <c r="BU36" s="72">
        <f>BT36</f>
        <v>18497</v>
      </c>
      <c r="BV36" s="71">
        <f>BU36</f>
        <v>18497</v>
      </c>
      <c r="BW36" s="72">
        <f>BV36</f>
        <v>18497</v>
      </c>
      <c r="BX36" s="72">
        <f>BW36</f>
        <v>18497</v>
      </c>
      <c r="BY36" s="72">
        <f>BX36</f>
        <v>18497</v>
      </c>
      <c r="BZ36" s="72">
        <f>BY36</f>
        <v>18497</v>
      </c>
      <c r="CA36" s="71">
        <f>BZ36</f>
        <v>18497</v>
      </c>
    </row>
    <row r="37" spans="2:79" ht="12" customHeight="1">
      <c r="B37" s="92"/>
      <c r="C37" s="137" t="s">
        <v>175</v>
      </c>
      <c r="D37" s="71"/>
      <c r="E37" s="72"/>
      <c r="F37" s="72"/>
      <c r="G37" s="72"/>
      <c r="H37" s="271"/>
      <c r="I37" s="71"/>
      <c r="J37" s="72"/>
      <c r="K37" s="72"/>
      <c r="L37" s="72"/>
      <c r="M37" s="271"/>
      <c r="N37" s="71"/>
      <c r="O37" s="270"/>
      <c r="P37" s="271"/>
      <c r="Q37" s="270"/>
      <c r="R37" s="72"/>
      <c r="S37" s="71">
        <f>R37</f>
        <v>0</v>
      </c>
      <c r="T37" s="270"/>
      <c r="U37" s="271"/>
      <c r="V37" s="271"/>
      <c r="W37" s="271"/>
      <c r="X37" s="71">
        <f>W37</f>
        <v>0</v>
      </c>
      <c r="Y37" s="72"/>
      <c r="Z37" s="72"/>
      <c r="AA37" s="72"/>
      <c r="AB37" s="72"/>
      <c r="AC37" s="71"/>
      <c r="AD37" s="72"/>
      <c r="AE37" s="72"/>
      <c r="AF37" s="72"/>
      <c r="AG37" s="72">
        <v>4010</v>
      </c>
      <c r="AH37" s="71">
        <f t="shared" si="39"/>
        <v>4010</v>
      </c>
      <c r="AI37" s="72">
        <v>4419</v>
      </c>
      <c r="AJ37" s="72">
        <v>3803</v>
      </c>
      <c r="AK37" s="72">
        <v>9374</v>
      </c>
      <c r="AL37" s="72">
        <v>9696</v>
      </c>
      <c r="AM37" s="71">
        <f t="shared" si="40"/>
        <v>9696</v>
      </c>
      <c r="AN37" s="72">
        <v>6095</v>
      </c>
      <c r="AO37" s="72">
        <v>6527</v>
      </c>
      <c r="AP37" s="72">
        <v>5955</v>
      </c>
      <c r="AQ37" s="72">
        <v>6695</v>
      </c>
      <c r="AR37" s="71">
        <f t="shared" si="41"/>
        <v>6695</v>
      </c>
      <c r="AS37" s="72">
        <v>7097</v>
      </c>
      <c r="AT37" s="72">
        <v>19837</v>
      </c>
      <c r="AU37" s="72">
        <v>24069</v>
      </c>
      <c r="AV37" s="72">
        <v>32328</v>
      </c>
      <c r="AW37" s="71">
        <f t="shared" si="42"/>
        <v>32328</v>
      </c>
      <c r="AX37" s="72">
        <v>32974</v>
      </c>
      <c r="AY37" s="72">
        <v>33322</v>
      </c>
      <c r="AZ37" s="72">
        <v>32057</v>
      </c>
      <c r="BA37" s="72">
        <v>23255</v>
      </c>
      <c r="BB37" s="71">
        <f t="shared" si="43"/>
        <v>23255</v>
      </c>
      <c r="BC37" s="72">
        <v>22001</v>
      </c>
      <c r="BD37" s="72">
        <v>21861</v>
      </c>
      <c r="BE37" s="72">
        <v>21807</v>
      </c>
      <c r="BF37" s="72">
        <v>18115</v>
      </c>
      <c r="BG37" s="71">
        <f t="shared" si="44"/>
        <v>18115</v>
      </c>
      <c r="BH37" s="72">
        <v>18661</v>
      </c>
      <c r="BI37" s="72">
        <v>19174</v>
      </c>
      <c r="BJ37" s="72">
        <v>19593</v>
      </c>
      <c r="BK37" s="72">
        <v>21332</v>
      </c>
      <c r="BL37" s="71">
        <f t="shared" si="45"/>
        <v>21332</v>
      </c>
      <c r="BM37" s="72">
        <v>25407</v>
      </c>
      <c r="BN37" s="72">
        <v>28257</v>
      </c>
      <c r="BO37" s="72">
        <v>28695</v>
      </c>
      <c r="BP37" s="72">
        <v>30634</v>
      </c>
      <c r="BQ37" s="71">
        <f t="shared" si="46"/>
        <v>30634</v>
      </c>
      <c r="BR37" s="72">
        <v>33310</v>
      </c>
      <c r="BS37" s="72">
        <v>33254</v>
      </c>
      <c r="BT37" s="72">
        <v>35717</v>
      </c>
      <c r="BU37" s="72">
        <f>BU70*IS!BU13</f>
        <v>33088.500524000003</v>
      </c>
      <c r="BV37" s="71">
        <f>BU37</f>
        <v>33088.500524000003</v>
      </c>
      <c r="BW37" s="72">
        <f>BW70*IS!BW13</f>
        <v>32253.2752</v>
      </c>
      <c r="BX37" s="72">
        <f>BX70*IS!BX13</f>
        <v>33829.980800000005</v>
      </c>
      <c r="BY37" s="72">
        <f>BY70*IS!BY13</f>
        <v>34572.817600000002</v>
      </c>
      <c r="BZ37" s="72">
        <f>BZ70*IS!BZ13</f>
        <v>34951.898283440001</v>
      </c>
      <c r="CA37" s="71">
        <f>BZ37</f>
        <v>34951.898283440001</v>
      </c>
    </row>
    <row r="38" spans="2:79" s="128" customFormat="1" ht="13.15">
      <c r="B38" s="120" t="s">
        <v>10</v>
      </c>
      <c r="C38" s="138"/>
      <c r="D38" s="336">
        <f t="shared" ref="D38:AH38" si="48">D31+SUM(D34:D37)</f>
        <v>0</v>
      </c>
      <c r="E38" s="119">
        <f t="shared" si="48"/>
        <v>0</v>
      </c>
      <c r="F38" s="119">
        <f t="shared" si="48"/>
        <v>0</v>
      </c>
      <c r="G38" s="119">
        <f t="shared" si="48"/>
        <v>0</v>
      </c>
      <c r="H38" s="119">
        <f t="shared" si="48"/>
        <v>0</v>
      </c>
      <c r="I38" s="336">
        <f t="shared" si="48"/>
        <v>0</v>
      </c>
      <c r="J38" s="119">
        <f t="shared" si="48"/>
        <v>0</v>
      </c>
      <c r="K38" s="119">
        <f t="shared" si="48"/>
        <v>0</v>
      </c>
      <c r="L38" s="119">
        <f t="shared" si="48"/>
        <v>0</v>
      </c>
      <c r="M38" s="119">
        <f t="shared" si="48"/>
        <v>0</v>
      </c>
      <c r="N38" s="336">
        <f t="shared" si="48"/>
        <v>0</v>
      </c>
      <c r="O38" s="119">
        <f t="shared" si="48"/>
        <v>0</v>
      </c>
      <c r="P38" s="119">
        <f t="shared" si="48"/>
        <v>0</v>
      </c>
      <c r="Q38" s="119">
        <f t="shared" si="48"/>
        <v>0</v>
      </c>
      <c r="R38" s="119">
        <f t="shared" si="48"/>
        <v>0</v>
      </c>
      <c r="S38" s="336">
        <f t="shared" si="48"/>
        <v>0</v>
      </c>
      <c r="T38" s="119">
        <f t="shared" si="48"/>
        <v>0</v>
      </c>
      <c r="U38" s="119">
        <f t="shared" si="48"/>
        <v>0</v>
      </c>
      <c r="V38" s="119">
        <f t="shared" si="48"/>
        <v>0</v>
      </c>
      <c r="W38" s="119">
        <f t="shared" si="48"/>
        <v>0</v>
      </c>
      <c r="X38" s="336">
        <f t="shared" si="48"/>
        <v>130713</v>
      </c>
      <c r="Y38" s="119">
        <f t="shared" si="48"/>
        <v>0</v>
      </c>
      <c r="Z38" s="119">
        <f t="shared" si="48"/>
        <v>0</v>
      </c>
      <c r="AA38" s="119">
        <f t="shared" si="48"/>
        <v>0</v>
      </c>
      <c r="AB38" s="119">
        <f t="shared" si="48"/>
        <v>0</v>
      </c>
      <c r="AC38" s="336">
        <f t="shared" si="48"/>
        <v>190151</v>
      </c>
      <c r="AD38" s="119">
        <f t="shared" si="48"/>
        <v>0</v>
      </c>
      <c r="AE38" s="119">
        <f t="shared" si="48"/>
        <v>0</v>
      </c>
      <c r="AF38" s="119">
        <f t="shared" si="48"/>
        <v>0</v>
      </c>
      <c r="AG38" s="119">
        <f t="shared" si="48"/>
        <v>411120</v>
      </c>
      <c r="AH38" s="336">
        <f t="shared" si="48"/>
        <v>411120</v>
      </c>
      <c r="AI38" s="119">
        <f>AI31+SUM(AI32:AI37)</f>
        <v>400346</v>
      </c>
      <c r="AJ38" s="119">
        <f>AJ31+SUM(AJ32:AJ37)</f>
        <v>426228</v>
      </c>
      <c r="AK38" s="119">
        <f>AK31+SUM(AK32:AK37)</f>
        <v>909267</v>
      </c>
      <c r="AL38" s="119">
        <f>AL31+SUM(AL32:AL37)</f>
        <v>1001055</v>
      </c>
      <c r="AM38" s="336">
        <f>AM31+SUM(AM34:AM37)</f>
        <v>562123</v>
      </c>
      <c r="AN38" s="119">
        <f t="shared" ref="AN38:BA38" si="49">AN31+SUM(AN32:AN37)</f>
        <v>1140718</v>
      </c>
      <c r="AO38" s="119">
        <f t="shared" si="49"/>
        <v>1195157</v>
      </c>
      <c r="AP38" s="119">
        <f t="shared" si="49"/>
        <v>1217003</v>
      </c>
      <c r="AQ38" s="119">
        <f t="shared" si="49"/>
        <v>1344811</v>
      </c>
      <c r="AR38" s="336">
        <f t="shared" si="49"/>
        <v>1344811</v>
      </c>
      <c r="AS38" s="119">
        <f t="shared" si="49"/>
        <v>1398700</v>
      </c>
      <c r="AT38" s="119">
        <f t="shared" si="49"/>
        <v>1551419</v>
      </c>
      <c r="AU38" s="119">
        <f t="shared" si="49"/>
        <v>1625087</v>
      </c>
      <c r="AV38" s="119">
        <f t="shared" si="49"/>
        <v>2007380</v>
      </c>
      <c r="AW38" s="336">
        <f>AW31+SUM(AW32:AW37)</f>
        <v>2007380</v>
      </c>
      <c r="AX38" s="119">
        <f t="shared" si="49"/>
        <v>2053883</v>
      </c>
      <c r="AY38" s="119">
        <f t="shared" si="49"/>
        <v>2143811</v>
      </c>
      <c r="AZ38" s="119">
        <f t="shared" si="49"/>
        <v>2170934</v>
      </c>
      <c r="BA38" s="119">
        <f t="shared" si="49"/>
        <v>2265762</v>
      </c>
      <c r="BB38" s="336">
        <f t="shared" ref="BB38:CA38" si="50">BB31+SUM(BB32:BB37)</f>
        <v>2265762</v>
      </c>
      <c r="BC38" s="119">
        <f t="shared" si="50"/>
        <v>2225182</v>
      </c>
      <c r="BD38" s="119">
        <f t="shared" si="50"/>
        <v>2260215</v>
      </c>
      <c r="BE38" s="119">
        <f t="shared" si="50"/>
        <v>2263078</v>
      </c>
      <c r="BF38" s="119">
        <f t="shared" si="50"/>
        <v>2395433</v>
      </c>
      <c r="BG38" s="336">
        <f t="shared" si="50"/>
        <v>2395433</v>
      </c>
      <c r="BH38" s="119">
        <f t="shared" si="50"/>
        <v>2380407</v>
      </c>
      <c r="BI38" s="119">
        <f t="shared" si="50"/>
        <v>2419646</v>
      </c>
      <c r="BJ38" s="119">
        <f t="shared" si="50"/>
        <v>2372594</v>
      </c>
      <c r="BK38" s="119">
        <f t="shared" si="50"/>
        <v>1841551</v>
      </c>
      <c r="BL38" s="336">
        <f t="shared" si="50"/>
        <v>1841551</v>
      </c>
      <c r="BM38" s="119">
        <f t="shared" si="50"/>
        <v>1789689</v>
      </c>
      <c r="BN38" s="119">
        <f t="shared" si="50"/>
        <v>1792535</v>
      </c>
      <c r="BO38" s="119">
        <f t="shared" si="50"/>
        <v>1780831</v>
      </c>
      <c r="BP38" s="119">
        <f t="shared" si="50"/>
        <v>2010013</v>
      </c>
      <c r="BQ38" s="336">
        <f t="shared" si="50"/>
        <v>2010013</v>
      </c>
      <c r="BR38" s="119">
        <f t="shared" si="50"/>
        <v>1932601</v>
      </c>
      <c r="BS38" s="119">
        <f t="shared" si="50"/>
        <v>1961948</v>
      </c>
      <c r="BT38" s="119">
        <f t="shared" si="50"/>
        <v>2000518</v>
      </c>
      <c r="BU38" s="119">
        <f t="shared" si="50"/>
        <v>2230160.6203941</v>
      </c>
      <c r="BV38" s="336">
        <f t="shared" si="50"/>
        <v>2230160.6203941</v>
      </c>
      <c r="BW38" s="119">
        <f t="shared" si="50"/>
        <v>2172085.02752</v>
      </c>
      <c r="BX38" s="119">
        <f t="shared" si="50"/>
        <v>2211584.3316799998</v>
      </c>
      <c r="BY38" s="119">
        <f t="shared" si="50"/>
        <v>2210112.6472</v>
      </c>
      <c r="BZ38" s="119">
        <f t="shared" si="50"/>
        <v>2385582.50285473</v>
      </c>
      <c r="CA38" s="336">
        <f t="shared" si="50"/>
        <v>2385582.50285473</v>
      </c>
    </row>
    <row r="39" spans="2:79">
      <c r="B39" s="92"/>
      <c r="C39" s="137"/>
      <c r="D39" s="71"/>
      <c r="E39" s="72"/>
      <c r="F39" s="72"/>
      <c r="G39" s="72"/>
      <c r="H39" s="72"/>
      <c r="I39" s="71"/>
      <c r="J39" s="72"/>
      <c r="K39" s="72"/>
      <c r="L39" s="72"/>
      <c r="M39" s="72"/>
      <c r="N39" s="71"/>
      <c r="O39" s="72"/>
      <c r="P39" s="72"/>
      <c r="Q39" s="72"/>
      <c r="R39" s="72"/>
      <c r="S39" s="71"/>
      <c r="T39" s="72"/>
      <c r="U39" s="72"/>
      <c r="V39" s="72"/>
      <c r="W39" s="72"/>
      <c r="X39" s="71"/>
      <c r="Y39" s="72"/>
      <c r="Z39" s="72"/>
      <c r="AA39" s="72"/>
      <c r="AB39" s="72"/>
      <c r="AC39" s="71"/>
      <c r="AD39" s="72"/>
      <c r="AE39" s="72"/>
      <c r="AF39" s="72"/>
      <c r="AG39" s="72"/>
      <c r="AH39" s="71"/>
      <c r="AI39" s="72"/>
      <c r="AJ39" s="72"/>
      <c r="AK39" s="72"/>
      <c r="AL39" s="72"/>
      <c r="AM39" s="71"/>
      <c r="AN39" s="72"/>
      <c r="AO39" s="72"/>
      <c r="AP39" s="72"/>
      <c r="AQ39" s="72"/>
      <c r="AR39" s="71"/>
      <c r="AS39" s="72"/>
      <c r="AT39" s="72"/>
      <c r="AU39" s="72"/>
      <c r="AV39" s="72"/>
      <c r="AW39" s="71"/>
      <c r="AX39" s="72"/>
      <c r="AY39" s="72"/>
      <c r="AZ39" s="72"/>
      <c r="BA39" s="72"/>
      <c r="BB39" s="71"/>
      <c r="BC39" s="72"/>
      <c r="BD39" s="72"/>
      <c r="BE39" s="72"/>
      <c r="BF39" s="72"/>
      <c r="BG39" s="71"/>
      <c r="BH39" s="72"/>
      <c r="BI39" s="72"/>
      <c r="BJ39" s="72"/>
      <c r="BK39" s="72"/>
      <c r="BL39" s="71"/>
      <c r="BM39" s="72"/>
      <c r="BN39" s="72"/>
      <c r="BO39" s="72"/>
      <c r="BP39" s="72"/>
      <c r="BQ39" s="71"/>
      <c r="BR39" s="72"/>
      <c r="BS39" s="72"/>
      <c r="BT39" s="72"/>
      <c r="BU39" s="72"/>
      <c r="BV39" s="71"/>
      <c r="BW39" s="72"/>
      <c r="BX39" s="72"/>
      <c r="BY39" s="72"/>
      <c r="BZ39" s="72"/>
      <c r="CA39" s="71"/>
    </row>
    <row r="40" spans="2:79" ht="13.15">
      <c r="B40" s="120" t="s">
        <v>120</v>
      </c>
      <c r="C40" s="137"/>
      <c r="D40" s="71"/>
      <c r="E40" s="72"/>
      <c r="F40" s="72"/>
      <c r="G40" s="72"/>
      <c r="H40" s="72"/>
      <c r="I40" s="71"/>
      <c r="J40" s="72"/>
      <c r="K40" s="72"/>
      <c r="L40" s="72"/>
      <c r="M40" s="72"/>
      <c r="N40" s="71"/>
      <c r="O40" s="72"/>
      <c r="P40" s="72"/>
      <c r="Q40" s="72"/>
      <c r="R40" s="72"/>
      <c r="S40" s="71"/>
      <c r="T40" s="72"/>
      <c r="U40" s="72"/>
      <c r="V40" s="72"/>
      <c r="W40" s="72"/>
      <c r="X40" s="71"/>
      <c r="Y40" s="72"/>
      <c r="Z40" s="72"/>
      <c r="AA40" s="72"/>
      <c r="AB40" s="72"/>
      <c r="AC40" s="71"/>
      <c r="AD40" s="72"/>
      <c r="AE40" s="72"/>
      <c r="AF40" s="72"/>
      <c r="AG40" s="72"/>
      <c r="AH40" s="71"/>
      <c r="AI40" s="72"/>
      <c r="AJ40" s="72"/>
      <c r="AK40" s="72"/>
      <c r="AL40" s="72"/>
      <c r="AM40" s="71"/>
      <c r="AN40" s="72"/>
      <c r="AO40" s="72"/>
      <c r="AP40" s="72"/>
      <c r="AQ40" s="72"/>
      <c r="AR40" s="71"/>
      <c r="AS40" s="72"/>
      <c r="AT40" s="72"/>
      <c r="AU40" s="72"/>
      <c r="AV40" s="72"/>
      <c r="AW40" s="71"/>
      <c r="AX40" s="72"/>
      <c r="AY40" s="72"/>
      <c r="AZ40" s="72"/>
      <c r="BA40" s="72"/>
      <c r="BB40" s="71"/>
      <c r="BC40" s="72"/>
      <c r="BD40" s="72"/>
      <c r="BE40" s="72"/>
      <c r="BF40" s="72"/>
      <c r="BG40" s="71"/>
      <c r="BH40" s="72"/>
      <c r="BI40" s="72"/>
      <c r="BJ40" s="72"/>
      <c r="BK40" s="72"/>
      <c r="BL40" s="71"/>
      <c r="BM40" s="72"/>
      <c r="BN40" s="72"/>
      <c r="BO40" s="72"/>
      <c r="BP40" s="72"/>
      <c r="BQ40" s="71"/>
      <c r="BR40" s="72"/>
      <c r="BS40" s="72"/>
      <c r="BT40" s="72"/>
      <c r="BU40" s="72"/>
      <c r="BV40" s="71"/>
      <c r="BW40" s="72"/>
      <c r="BX40" s="72"/>
      <c r="BY40" s="72"/>
      <c r="BZ40" s="72"/>
      <c r="CA40" s="71"/>
    </row>
    <row r="41" spans="2:79" ht="13.15">
      <c r="B41" s="92"/>
      <c r="C41" s="138" t="s">
        <v>121</v>
      </c>
      <c r="D41" s="71">
        <f>D21-D38</f>
        <v>0</v>
      </c>
      <c r="E41" s="72">
        <f>E21-E38</f>
        <v>0</v>
      </c>
      <c r="F41" s="72">
        <f>F21-F38</f>
        <v>0</v>
      </c>
      <c r="G41" s="72">
        <f>G21-G38</f>
        <v>0</v>
      </c>
      <c r="H41" s="72">
        <f>H21-H38</f>
        <v>0</v>
      </c>
      <c r="I41" s="71">
        <f>H41</f>
        <v>0</v>
      </c>
      <c r="J41" s="72">
        <f>J21-J38</f>
        <v>0</v>
      </c>
      <c r="K41" s="72">
        <f>K21-K38</f>
        <v>0</v>
      </c>
      <c r="L41" s="72">
        <f>L21-L38</f>
        <v>0</v>
      </c>
      <c r="M41" s="72">
        <f>M21-M38</f>
        <v>0</v>
      </c>
      <c r="N41" s="71">
        <f>M41</f>
        <v>0</v>
      </c>
      <c r="O41" s="72">
        <f>O21-O38</f>
        <v>0</v>
      </c>
      <c r="P41" s="72">
        <f>P21-P38</f>
        <v>0</v>
      </c>
      <c r="Q41" s="72">
        <f>Q21-Q38</f>
        <v>0</v>
      </c>
      <c r="R41" s="72">
        <f>R21-R38</f>
        <v>0</v>
      </c>
      <c r="S41" s="71">
        <f>R41</f>
        <v>0</v>
      </c>
      <c r="T41" s="72">
        <f>T21-T38</f>
        <v>0</v>
      </c>
      <c r="U41" s="72">
        <f>U21-U38</f>
        <v>0</v>
      </c>
      <c r="V41" s="72">
        <f>V21-V38</f>
        <v>0</v>
      </c>
      <c r="W41" s="72">
        <f>W21-W38</f>
        <v>0</v>
      </c>
      <c r="X41" s="71">
        <f>W41</f>
        <v>0</v>
      </c>
      <c r="Y41" s="72">
        <f t="shared" ref="Y41:AG41" si="51">Y21-Y38</f>
        <v>0</v>
      </c>
      <c r="Z41" s="72">
        <f t="shared" si="51"/>
        <v>0</v>
      </c>
      <c r="AA41" s="72">
        <f t="shared" si="51"/>
        <v>0</v>
      </c>
      <c r="AB41" s="72">
        <f t="shared" si="51"/>
        <v>0</v>
      </c>
      <c r="AC41" s="71">
        <f t="shared" si="51"/>
        <v>309487</v>
      </c>
      <c r="AD41" s="72">
        <f t="shared" si="51"/>
        <v>0</v>
      </c>
      <c r="AE41" s="72">
        <f t="shared" si="51"/>
        <v>0</v>
      </c>
      <c r="AF41" s="72">
        <f t="shared" si="51"/>
        <v>0</v>
      </c>
      <c r="AG41" s="72">
        <f t="shared" si="51"/>
        <v>208853</v>
      </c>
      <c r="AH41" s="71">
        <f>AG41</f>
        <v>208853</v>
      </c>
      <c r="AI41" s="72">
        <f>AI21-AI38</f>
        <v>214126</v>
      </c>
      <c r="AJ41" s="72">
        <f>AJ21-AJ38</f>
        <v>743470</v>
      </c>
      <c r="AK41" s="72">
        <f>AK21-AK38</f>
        <v>810169</v>
      </c>
      <c r="AL41" s="72">
        <f>AL21-AL38</f>
        <v>614362</v>
      </c>
      <c r="AM41" s="71">
        <f>AL41</f>
        <v>614362</v>
      </c>
      <c r="AN41" s="72">
        <f>AN21-AN38</f>
        <v>597682</v>
      </c>
      <c r="AO41" s="72">
        <f>AO21-AO38</f>
        <v>566679</v>
      </c>
      <c r="AP41" s="72">
        <f>AP21-AP38</f>
        <v>569362</v>
      </c>
      <c r="AQ41" s="72">
        <f>AQ21-AQ38</f>
        <v>546327</v>
      </c>
      <c r="AR41" s="71">
        <f>AQ41</f>
        <v>546327</v>
      </c>
      <c r="AS41" s="72">
        <f>AS21-AS38</f>
        <v>522788</v>
      </c>
      <c r="AT41" s="72">
        <f>AT21-AT38</f>
        <v>501891</v>
      </c>
      <c r="AU41" s="72">
        <f>AU21-AU38</f>
        <v>426032</v>
      </c>
      <c r="AV41" s="72">
        <f>AV21-AV38</f>
        <v>329127</v>
      </c>
      <c r="AW41" s="71">
        <f>AV41</f>
        <v>329127</v>
      </c>
      <c r="AX41" s="72">
        <f>AX21-AX38</f>
        <v>243237</v>
      </c>
      <c r="AY41" s="72">
        <f>AY21-AY38</f>
        <v>211876</v>
      </c>
      <c r="AZ41" s="72">
        <f>AZ21-AZ38</f>
        <v>239569</v>
      </c>
      <c r="BA41" s="72">
        <f>BA21-BA38</f>
        <v>275503</v>
      </c>
      <c r="BB41" s="71">
        <f>BA41</f>
        <v>275503</v>
      </c>
      <c r="BC41" s="72">
        <f>BC21-BC38</f>
        <v>348949</v>
      </c>
      <c r="BD41" s="72">
        <f>BD21-BD38</f>
        <v>407131</v>
      </c>
      <c r="BE41" s="72">
        <f>BE21-BE38</f>
        <v>468506</v>
      </c>
      <c r="BF41" s="72">
        <f>BF21-BF38</f>
        <v>617287</v>
      </c>
      <c r="BG41" s="71">
        <f>BF41</f>
        <v>617287</v>
      </c>
      <c r="BH41" s="72">
        <f>BH21-BH38</f>
        <v>749492</v>
      </c>
      <c r="BI41" s="72">
        <f>BI21-BI38</f>
        <v>847759</v>
      </c>
      <c r="BJ41" s="72">
        <f>BJ21-BJ38</f>
        <v>965033</v>
      </c>
      <c r="BK41" s="72">
        <f>BK21-BK38</f>
        <v>1129739</v>
      </c>
      <c r="BL41" s="71">
        <f>BK41</f>
        <v>1129739</v>
      </c>
      <c r="BM41" s="72">
        <f>BM21-BM38</f>
        <v>1137000</v>
      </c>
      <c r="BN41" s="72">
        <f>BN21-BN38</f>
        <v>1961406</v>
      </c>
      <c r="BO41" s="72">
        <f>BO21-BO38</f>
        <v>1989377</v>
      </c>
      <c r="BP41" s="72">
        <f>BP21-BP38</f>
        <v>2002692</v>
      </c>
      <c r="BQ41" s="71">
        <f>BP41</f>
        <v>2002692</v>
      </c>
      <c r="BR41" s="72">
        <f>BR21-BR38</f>
        <v>2014802</v>
      </c>
      <c r="BS41" s="72">
        <f>BS21-BS38</f>
        <v>1987975</v>
      </c>
      <c r="BT41" s="72">
        <f>BT21-BT38</f>
        <v>1981521</v>
      </c>
      <c r="BU41" s="72">
        <f>BU21-BU38</f>
        <v>2203992.6815107898</v>
      </c>
      <c r="BV41" s="71">
        <f>BU41</f>
        <v>2203992.6815107898</v>
      </c>
      <c r="BW41" s="72">
        <f>BW21-BW38</f>
        <v>2419528.57946679</v>
      </c>
      <c r="BX41" s="72">
        <f>BX21-BX38</f>
        <v>1839761.4793151002</v>
      </c>
      <c r="BY41" s="72">
        <f>BY21-BY38</f>
        <v>2917821.1315667904</v>
      </c>
      <c r="BZ41" s="72">
        <f>BZ21-BZ38</f>
        <v>2298542.2182481</v>
      </c>
      <c r="CA41" s="71">
        <f>BZ41</f>
        <v>2298542.2182481</v>
      </c>
    </row>
    <row r="42" spans="2:79" s="128" customFormat="1" ht="13.5" thickBot="1">
      <c r="B42" s="139" t="s">
        <v>122</v>
      </c>
      <c r="C42" s="227"/>
      <c r="D42" s="140">
        <f>D41+D38</f>
        <v>0</v>
      </c>
      <c r="E42" s="173">
        <f>E41+E38</f>
        <v>0</v>
      </c>
      <c r="F42" s="141">
        <f>F41+F38</f>
        <v>0</v>
      </c>
      <c r="G42" s="141">
        <f>G41+G38</f>
        <v>0</v>
      </c>
      <c r="H42" s="173">
        <f>H41+H38</f>
        <v>0</v>
      </c>
      <c r="I42" s="140">
        <f>H42</f>
        <v>0</v>
      </c>
      <c r="J42" s="141">
        <f>J41+J38</f>
        <v>0</v>
      </c>
      <c r="K42" s="141">
        <f>K41+K38</f>
        <v>0</v>
      </c>
      <c r="L42" s="141">
        <f>L41+L38</f>
        <v>0</v>
      </c>
      <c r="M42" s="173">
        <f>M41+M38</f>
        <v>0</v>
      </c>
      <c r="N42" s="140">
        <f>M42</f>
        <v>0</v>
      </c>
      <c r="O42" s="141">
        <f>O41+O38</f>
        <v>0</v>
      </c>
      <c r="P42" s="141">
        <f>P41+P38</f>
        <v>0</v>
      </c>
      <c r="Q42" s="141">
        <f>Q41+Q38</f>
        <v>0</v>
      </c>
      <c r="R42" s="141">
        <f>R41+R38</f>
        <v>0</v>
      </c>
      <c r="S42" s="140">
        <f>R42</f>
        <v>0</v>
      </c>
      <c r="T42" s="141">
        <f>T41+T38</f>
        <v>0</v>
      </c>
      <c r="U42" s="141">
        <f>U41+U38</f>
        <v>0</v>
      </c>
      <c r="V42" s="141">
        <f>V41+V38</f>
        <v>0</v>
      </c>
      <c r="W42" s="141">
        <f>W41+W38</f>
        <v>0</v>
      </c>
      <c r="X42" s="140">
        <f>W42</f>
        <v>0</v>
      </c>
      <c r="Y42" s="141">
        <f t="shared" ref="Y42:AG42" si="52">Y41+Y38</f>
        <v>0</v>
      </c>
      <c r="Z42" s="141">
        <f t="shared" si="52"/>
        <v>0</v>
      </c>
      <c r="AA42" s="141">
        <f t="shared" si="52"/>
        <v>0</v>
      </c>
      <c r="AB42" s="141">
        <f t="shared" si="52"/>
        <v>0</v>
      </c>
      <c r="AC42" s="140">
        <f t="shared" si="52"/>
        <v>499638</v>
      </c>
      <c r="AD42" s="141">
        <f t="shared" si="52"/>
        <v>0</v>
      </c>
      <c r="AE42" s="141">
        <f t="shared" si="52"/>
        <v>0</v>
      </c>
      <c r="AF42" s="141">
        <f t="shared" si="52"/>
        <v>0</v>
      </c>
      <c r="AG42" s="141">
        <f t="shared" si="52"/>
        <v>619973</v>
      </c>
      <c r="AH42" s="140">
        <f>AG42</f>
        <v>619973</v>
      </c>
      <c r="AI42" s="141">
        <f>AI41+AI38</f>
        <v>614472</v>
      </c>
      <c r="AJ42" s="141">
        <f>AJ41+AJ38</f>
        <v>1169698</v>
      </c>
      <c r="AK42" s="141">
        <f>AK41+AK38</f>
        <v>1719436</v>
      </c>
      <c r="AL42" s="141">
        <f>AL41+AL38</f>
        <v>1615417</v>
      </c>
      <c r="AM42" s="140">
        <f>AL42</f>
        <v>1615417</v>
      </c>
      <c r="AN42" s="141">
        <f>AN41+AN38</f>
        <v>1738400</v>
      </c>
      <c r="AO42" s="141">
        <f>AO41+AO38</f>
        <v>1761836</v>
      </c>
      <c r="AP42" s="141">
        <f>AP41+AP38</f>
        <v>1786365</v>
      </c>
      <c r="AQ42" s="141">
        <f>AQ41+AQ38</f>
        <v>1891138</v>
      </c>
      <c r="AR42" s="140">
        <f>AQ42</f>
        <v>1891138</v>
      </c>
      <c r="AS42" s="141">
        <f>AS41+AS38</f>
        <v>1921488</v>
      </c>
      <c r="AT42" s="141">
        <f>AT41+AT38</f>
        <v>2053310</v>
      </c>
      <c r="AU42" s="141">
        <f>AU41+AU38</f>
        <v>2051119</v>
      </c>
      <c r="AV42" s="141">
        <f>AV41+AV38</f>
        <v>2336507</v>
      </c>
      <c r="AW42" s="140">
        <f>AV42</f>
        <v>2336507</v>
      </c>
      <c r="AX42" s="141">
        <f>AX41+AX38</f>
        <v>2297120</v>
      </c>
      <c r="AY42" s="141">
        <f>AY41+AY38</f>
        <v>2355687</v>
      </c>
      <c r="AZ42" s="141">
        <f>AZ41+AZ38</f>
        <v>2410503</v>
      </c>
      <c r="BA42" s="141">
        <f>BA41+BA38</f>
        <v>2541265</v>
      </c>
      <c r="BB42" s="140">
        <f>BA42</f>
        <v>2541265</v>
      </c>
      <c r="BC42" s="141">
        <f>BC41+BC38</f>
        <v>2574131</v>
      </c>
      <c r="BD42" s="141">
        <f>BD41+BD38</f>
        <v>2667346</v>
      </c>
      <c r="BE42" s="141">
        <f>BE41+BE38</f>
        <v>2731584</v>
      </c>
      <c r="BF42" s="141">
        <f>BF41+BF38</f>
        <v>3012720</v>
      </c>
      <c r="BG42" s="140">
        <f>BF42</f>
        <v>3012720</v>
      </c>
      <c r="BH42" s="141">
        <f>BH41+BH38</f>
        <v>3129899</v>
      </c>
      <c r="BI42" s="141">
        <f>BI41+BI38</f>
        <v>3267405</v>
      </c>
      <c r="BJ42" s="141">
        <f>BJ41+BJ38</f>
        <v>3337627</v>
      </c>
      <c r="BK42" s="141">
        <f>BK41+BK38</f>
        <v>2971290</v>
      </c>
      <c r="BL42" s="140">
        <f>BK42</f>
        <v>2971290</v>
      </c>
      <c r="BM42" s="141">
        <f>BM41+BM38</f>
        <v>2926689</v>
      </c>
      <c r="BN42" s="141">
        <f>BN41+BN38</f>
        <v>3753941</v>
      </c>
      <c r="BO42" s="141">
        <f>BO41+BO38</f>
        <v>3770208</v>
      </c>
      <c r="BP42" s="141">
        <f>BP41+BP38</f>
        <v>4012705</v>
      </c>
      <c r="BQ42" s="140">
        <f>BP42</f>
        <v>4012705</v>
      </c>
      <c r="BR42" s="141">
        <f>BR41+BR38</f>
        <v>3947403</v>
      </c>
      <c r="BS42" s="141">
        <f>BS41+BS38</f>
        <v>3949923</v>
      </c>
      <c r="BT42" s="141">
        <f>BT41+BT38</f>
        <v>3982039</v>
      </c>
      <c r="BU42" s="141">
        <f>BU41+BU38</f>
        <v>4434153.3019048898</v>
      </c>
      <c r="BV42" s="140">
        <f>BU42</f>
        <v>4434153.3019048898</v>
      </c>
      <c r="BW42" s="141">
        <f>BW41+BW38</f>
        <v>4591613.60698679</v>
      </c>
      <c r="BX42" s="141">
        <f>BX41+BX38</f>
        <v>4051345.8109951001</v>
      </c>
      <c r="BY42" s="141">
        <f>BY41+BY38</f>
        <v>5127933.7787667904</v>
      </c>
      <c r="BZ42" s="141">
        <f>BZ41+BZ38</f>
        <v>4684124.72110283</v>
      </c>
      <c r="CA42" s="140">
        <f>BZ42</f>
        <v>4684124.72110283</v>
      </c>
    </row>
    <row r="43" spans="2:79" s="128" customFormat="1" ht="13.15">
      <c r="B43" s="284" t="s">
        <v>298</v>
      </c>
      <c r="C43" s="67"/>
      <c r="D43" s="67"/>
      <c r="E43" s="67"/>
      <c r="F43" s="67"/>
      <c r="G43" s="67"/>
      <c r="H43" s="67"/>
      <c r="I43" s="67"/>
      <c r="J43" s="67"/>
      <c r="K43" s="67"/>
      <c r="L43" s="67"/>
      <c r="M43" s="119"/>
      <c r="N43" s="119"/>
      <c r="O43" s="119"/>
      <c r="P43" s="119"/>
      <c r="Q43" s="119"/>
      <c r="R43" s="119"/>
      <c r="S43" s="119"/>
      <c r="T43" s="119"/>
      <c r="U43" s="119"/>
      <c r="V43" s="119"/>
      <c r="W43" s="119"/>
      <c r="X43" s="68"/>
      <c r="Y43" s="119"/>
      <c r="Z43" s="119"/>
      <c r="AA43" s="119"/>
      <c r="AB43" s="119"/>
      <c r="AH43" s="68"/>
    </row>
    <row r="44" spans="2:79" s="128" customFormat="1" ht="13.15">
      <c r="B44" s="284" t="s">
        <v>299</v>
      </c>
      <c r="C44" s="67"/>
      <c r="D44" s="67"/>
      <c r="E44" s="67"/>
      <c r="F44" s="67"/>
      <c r="G44" s="67"/>
      <c r="H44" s="67"/>
      <c r="I44" s="67"/>
      <c r="J44" s="67"/>
      <c r="K44" s="67"/>
      <c r="L44" s="67"/>
      <c r="M44" s="119"/>
      <c r="N44" s="119"/>
      <c r="O44" s="119"/>
      <c r="P44" s="119"/>
      <c r="Q44" s="119"/>
      <c r="R44" s="119"/>
      <c r="S44" s="119"/>
      <c r="T44" s="119"/>
      <c r="U44" s="143"/>
      <c r="V44" s="119"/>
      <c r="W44" s="119"/>
      <c r="X44" s="66"/>
      <c r="Y44" s="119"/>
      <c r="Z44" s="119"/>
      <c r="AA44" s="119"/>
      <c r="AB44" s="119"/>
      <c r="AH44" s="66"/>
    </row>
    <row r="45" spans="2:79">
      <c r="C45" s="81" t="s">
        <v>123</v>
      </c>
      <c r="D45" s="305">
        <f t="shared" ref="D45:AI45" si="53">D21-D42</f>
        <v>0</v>
      </c>
      <c r="E45" s="305">
        <f t="shared" si="53"/>
        <v>0</v>
      </c>
      <c r="F45" s="305">
        <f t="shared" si="53"/>
        <v>0</v>
      </c>
      <c r="G45" s="305">
        <f t="shared" si="53"/>
        <v>0</v>
      </c>
      <c r="H45" s="305">
        <f t="shared" si="53"/>
        <v>0</v>
      </c>
      <c r="I45" s="305">
        <f t="shared" si="53"/>
        <v>0</v>
      </c>
      <c r="J45" s="305">
        <f t="shared" si="53"/>
        <v>0</v>
      </c>
      <c r="K45" s="305">
        <f t="shared" si="53"/>
        <v>0</v>
      </c>
      <c r="L45" s="305">
        <f t="shared" si="53"/>
        <v>0</v>
      </c>
      <c r="M45" s="142">
        <f t="shared" si="53"/>
        <v>0</v>
      </c>
      <c r="N45" s="142">
        <f t="shared" si="53"/>
        <v>0</v>
      </c>
      <c r="O45" s="142">
        <f t="shared" si="53"/>
        <v>0</v>
      </c>
      <c r="P45" s="142">
        <f t="shared" si="53"/>
        <v>0</v>
      </c>
      <c r="Q45" s="142">
        <f t="shared" si="53"/>
        <v>0</v>
      </c>
      <c r="R45" s="142">
        <f t="shared" si="53"/>
        <v>0</v>
      </c>
      <c r="S45" s="142">
        <f t="shared" si="53"/>
        <v>0</v>
      </c>
      <c r="T45" s="142">
        <f t="shared" si="53"/>
        <v>0</v>
      </c>
      <c r="U45" s="142">
        <f t="shared" si="53"/>
        <v>0</v>
      </c>
      <c r="V45" s="142">
        <f t="shared" si="53"/>
        <v>0</v>
      </c>
      <c r="W45" s="142">
        <f t="shared" si="53"/>
        <v>0</v>
      </c>
      <c r="X45" s="142">
        <f t="shared" si="53"/>
        <v>486487</v>
      </c>
      <c r="Y45" s="142">
        <f t="shared" si="53"/>
        <v>0</v>
      </c>
      <c r="Z45" s="142">
        <f t="shared" si="53"/>
        <v>0</v>
      </c>
      <c r="AA45" s="142">
        <f t="shared" si="53"/>
        <v>0</v>
      </c>
      <c r="AB45" s="142">
        <f t="shared" si="53"/>
        <v>0</v>
      </c>
      <c r="AC45" s="142">
        <f t="shared" si="53"/>
        <v>0</v>
      </c>
      <c r="AD45" s="142">
        <f t="shared" si="53"/>
        <v>0</v>
      </c>
      <c r="AE45" s="142">
        <f t="shared" si="53"/>
        <v>0</v>
      </c>
      <c r="AF45" s="142">
        <f t="shared" si="53"/>
        <v>0</v>
      </c>
      <c r="AG45" s="142">
        <f t="shared" si="53"/>
        <v>0</v>
      </c>
      <c r="AH45" s="142">
        <f t="shared" si="53"/>
        <v>0</v>
      </c>
      <c r="AI45" s="142">
        <f t="shared" si="53"/>
        <v>0</v>
      </c>
      <c r="AJ45" s="142">
        <f t="shared" ref="AJ45:BB45" si="54">AJ21-AJ42</f>
        <v>0</v>
      </c>
      <c r="AK45" s="142">
        <f t="shared" si="54"/>
        <v>0</v>
      </c>
      <c r="AL45" s="142">
        <f t="shared" si="54"/>
        <v>0</v>
      </c>
      <c r="AM45" s="142">
        <f t="shared" si="54"/>
        <v>0</v>
      </c>
      <c r="AN45" s="142">
        <f t="shared" si="54"/>
        <v>0</v>
      </c>
      <c r="AO45" s="142">
        <f t="shared" si="54"/>
        <v>0</v>
      </c>
      <c r="AP45" s="142">
        <f t="shared" si="54"/>
        <v>0</v>
      </c>
      <c r="AQ45" s="142">
        <f t="shared" si="54"/>
        <v>0</v>
      </c>
      <c r="AR45" s="142">
        <f t="shared" si="54"/>
        <v>0</v>
      </c>
      <c r="AS45" s="142">
        <f t="shared" si="54"/>
        <v>0</v>
      </c>
      <c r="AT45" s="142">
        <f t="shared" si="54"/>
        <v>0</v>
      </c>
      <c r="AU45" s="142">
        <f t="shared" si="54"/>
        <v>0</v>
      </c>
      <c r="AV45" s="142">
        <f t="shared" si="54"/>
        <v>0</v>
      </c>
      <c r="AW45" s="142">
        <f t="shared" si="54"/>
        <v>0</v>
      </c>
      <c r="AX45" s="142">
        <f t="shared" si="54"/>
        <v>0</v>
      </c>
      <c r="AY45" s="142">
        <f t="shared" si="54"/>
        <v>0</v>
      </c>
      <c r="AZ45" s="142">
        <f t="shared" si="54"/>
        <v>0</v>
      </c>
      <c r="BA45" s="142">
        <f t="shared" si="54"/>
        <v>0</v>
      </c>
      <c r="BB45" s="142">
        <f t="shared" si="54"/>
        <v>0</v>
      </c>
      <c r="BC45" s="142">
        <f t="shared" ref="BC45:CA45" si="55">BC21-BC42</f>
        <v>0</v>
      </c>
      <c r="BD45" s="142">
        <f t="shared" si="55"/>
        <v>0</v>
      </c>
      <c r="BE45" s="142">
        <f t="shared" si="55"/>
        <v>0</v>
      </c>
      <c r="BF45" s="142">
        <f t="shared" si="55"/>
        <v>0</v>
      </c>
      <c r="BG45" s="142">
        <f t="shared" si="55"/>
        <v>0</v>
      </c>
      <c r="BH45" s="142">
        <f t="shared" si="55"/>
        <v>0</v>
      </c>
      <c r="BI45" s="142">
        <f t="shared" si="55"/>
        <v>0</v>
      </c>
      <c r="BJ45" s="142">
        <f t="shared" si="55"/>
        <v>0</v>
      </c>
      <c r="BK45" s="142">
        <f t="shared" si="55"/>
        <v>0</v>
      </c>
      <c r="BL45" s="142">
        <f t="shared" si="55"/>
        <v>0</v>
      </c>
      <c r="BM45" s="142">
        <f t="shared" si="55"/>
        <v>0</v>
      </c>
      <c r="BN45" s="142">
        <f t="shared" si="55"/>
        <v>0</v>
      </c>
      <c r="BO45" s="142">
        <f t="shared" si="55"/>
        <v>0</v>
      </c>
      <c r="BP45" s="142">
        <f t="shared" si="55"/>
        <v>0</v>
      </c>
      <c r="BQ45" s="142">
        <f t="shared" si="55"/>
        <v>0</v>
      </c>
      <c r="BR45" s="142">
        <f t="shared" si="55"/>
        <v>0</v>
      </c>
      <c r="BS45" s="142">
        <f t="shared" si="55"/>
        <v>0</v>
      </c>
      <c r="BT45" s="142">
        <f t="shared" si="55"/>
        <v>0</v>
      </c>
      <c r="BU45" s="142">
        <f t="shared" si="55"/>
        <v>0</v>
      </c>
      <c r="BV45" s="142">
        <f t="shared" si="55"/>
        <v>-828143.14673169004</v>
      </c>
      <c r="BW45" s="142">
        <f t="shared" si="55"/>
        <v>0</v>
      </c>
      <c r="BX45" s="142">
        <f t="shared" si="55"/>
        <v>0</v>
      </c>
      <c r="BY45" s="142">
        <f t="shared" si="55"/>
        <v>0</v>
      </c>
      <c r="BZ45" s="142">
        <f t="shared" si="55"/>
        <v>0</v>
      </c>
      <c r="CA45" s="142">
        <f t="shared" si="55"/>
        <v>13420.726261248812</v>
      </c>
    </row>
    <row r="46" spans="2:79">
      <c r="M46" s="142"/>
      <c r="N46" s="142"/>
      <c r="O46" s="142"/>
      <c r="P46" s="142"/>
      <c r="Q46" s="142"/>
      <c r="R46" s="142"/>
      <c r="S46" s="142"/>
      <c r="T46" s="142"/>
      <c r="U46" s="142"/>
      <c r="V46" s="142"/>
      <c r="W46" s="142"/>
      <c r="X46" s="142"/>
    </row>
    <row r="47" spans="2:79">
      <c r="C47" s="81" t="s">
        <v>124</v>
      </c>
      <c r="E47" s="143" t="e">
        <f>((E11+D11)/2)/IS!E13*91</f>
        <v>#DIV/0!</v>
      </c>
      <c r="F47" s="143" t="e">
        <f>((F11+E11)/2)/IS!F13*91</f>
        <v>#DIV/0!</v>
      </c>
      <c r="G47" s="143" t="e">
        <f>((G11+F11)/2)/IS!G13*91</f>
        <v>#DIV/0!</v>
      </c>
      <c r="H47" s="143" t="e">
        <f>((H11+G11)/2)/IS!H13*91</f>
        <v>#DIV/0!</v>
      </c>
      <c r="I47" s="143"/>
      <c r="J47" s="143" t="e">
        <f>((J11+I11)/2)/IS!J13*91</f>
        <v>#DIV/0!</v>
      </c>
      <c r="K47" s="143" t="e">
        <f>((K11+J11)/2)/IS!K13*91</f>
        <v>#DIV/0!</v>
      </c>
      <c r="L47" s="143" t="e">
        <f>((L11+K11)/2)/IS!L13*91</f>
        <v>#DIV/0!</v>
      </c>
      <c r="M47" s="143" t="e">
        <f>((M11+L11)/2)/IS!M13*91</f>
        <v>#DIV/0!</v>
      </c>
      <c r="N47" s="143"/>
      <c r="O47" s="143"/>
      <c r="P47" s="143"/>
      <c r="Q47" s="143"/>
      <c r="R47" s="143"/>
      <c r="S47" s="143"/>
      <c r="T47" s="143"/>
      <c r="U47" s="143"/>
      <c r="V47" s="143"/>
      <c r="W47" s="143"/>
      <c r="X47" s="143"/>
      <c r="Y47" s="143"/>
      <c r="Z47" s="143"/>
      <c r="AA47" s="143"/>
      <c r="AB47" s="143" t="e">
        <f>((AB8+AA8)/2)/IS!AB13*91</f>
        <v>#DIV/0!</v>
      </c>
      <c r="AC47" s="143"/>
      <c r="AD47" s="143">
        <f>((AD8+AC8)/2)/IS!AD13*91</f>
        <v>0</v>
      </c>
      <c r="AE47" s="143">
        <f>((AE8+AD8)/2)/IS!AE13*91</f>
        <v>0</v>
      </c>
      <c r="AF47" s="143">
        <f>((AF8+AE8)/2)/IS!AF13*91</f>
        <v>0</v>
      </c>
      <c r="AG47" s="143">
        <f>((AG8+AF8)/2)/IS!AG13*91</f>
        <v>37.821412738288757</v>
      </c>
      <c r="AI47" s="143">
        <f>((AI8+AH8)/2)/IS!AI13*91</f>
        <v>66.546319829533786</v>
      </c>
      <c r="AJ47" s="143">
        <f>((AJ8+AI8)/2)/IS!AJ13*91</f>
        <v>57.879549699480371</v>
      </c>
      <c r="AK47" s="143">
        <f>((AK8+AJ8)/2)/IS!AK13*91</f>
        <v>60.954721529276569</v>
      </c>
      <c r="AL47" s="143">
        <f>((AL8+AK8)/2)/IS!AL13*91</f>
        <v>69.516825045561049</v>
      </c>
      <c r="AN47" s="143">
        <f>((AN8+AM8)/2)/IS!AN13*91</f>
        <v>62.027514231499055</v>
      </c>
      <c r="AO47" s="143">
        <f>((AO8+AN8)/2)/IS!AO13*91</f>
        <v>49.395883910836467</v>
      </c>
      <c r="AP47" s="143">
        <f>((AP8+AO8)/2)/IS!AP13*91</f>
        <v>54.365407892521908</v>
      </c>
      <c r="AQ47" s="143">
        <f>((AQ8+AP8)/2)/IS!AQ13*91</f>
        <v>65.761026937557986</v>
      </c>
      <c r="AS47" s="143">
        <f>((AS8+AR8)/2)/IS!AS13*91</f>
        <v>70.228830336310708</v>
      </c>
      <c r="AT47" s="143">
        <f>((AT8+AS8)/2)/IS!AT13*91</f>
        <v>59.180886534252458</v>
      </c>
      <c r="AU47" s="143">
        <f>((AU8+AT8)/2)/IS!AU13*91</f>
        <v>57.698828485100137</v>
      </c>
      <c r="AV47" s="143">
        <f>((AV8+AU8)/2)/IS!AV13*91</f>
        <v>61.735729801484347</v>
      </c>
      <c r="AX47" s="143">
        <f>((AX8+AW8)/2)/IS!AX13*91</f>
        <v>55.671002477199956</v>
      </c>
      <c r="AY47" s="143">
        <f>((AY8+AX8)/2)/IS!AY13*91</f>
        <v>47.566880729284705</v>
      </c>
      <c r="AZ47" s="143">
        <f>((AZ8+AY8)/2)/IS!AZ13*91</f>
        <v>49.242514157697222</v>
      </c>
      <c r="BA47" s="143">
        <f>((BA8+AZ8)/2)/IS!BA13*91</f>
        <v>58.481993808838418</v>
      </c>
      <c r="BC47" s="143">
        <f>((BC8+BB8)/2)/IS!BC13*91</f>
        <v>57.33541648264287</v>
      </c>
      <c r="BD47" s="143">
        <f>((BD8+BC8)/2)/IS!BD13*91</f>
        <v>46.832126830648164</v>
      </c>
      <c r="BE47" s="143">
        <f>((BE8+BD8)/2)/IS!BE13*91</f>
        <v>53.724799097701961</v>
      </c>
      <c r="BF47" s="143">
        <f>((BF8+BE8)/2)/IS!BF13*91</f>
        <v>64.811989823765572</v>
      </c>
      <c r="BH47" s="143">
        <f>((BH8+BG8)/2)/IS!BH13*91</f>
        <v>63.672674738580078</v>
      </c>
      <c r="BI47" s="143">
        <f>((BI8+BH8)/2)/IS!BI13*91</f>
        <v>54.477438136826784</v>
      </c>
      <c r="BJ47" s="143">
        <f>((BJ8+BI8)/2)/IS!BJ13*91</f>
        <v>50.357453588627415</v>
      </c>
      <c r="BK47" s="143">
        <f>((BK8+BJ8)/2)/IS!BK13*91</f>
        <v>51.080246523654317</v>
      </c>
      <c r="BM47" s="143">
        <f>((BM8+BL8)/2)/IS!BM13*91</f>
        <v>47.79609449861902</v>
      </c>
      <c r="BN47" s="143">
        <f>((BN8+BM8)/2)/IS!BN13*91</f>
        <v>38.082412058253297</v>
      </c>
      <c r="BO47" s="143">
        <f>((BO8+BN8)/2)/IS!BO13*91</f>
        <v>36.790187726875281</v>
      </c>
      <c r="BP47" s="143">
        <f>((BP8+BO8)/2)/IS!BP13*91</f>
        <v>42.790463663861736</v>
      </c>
      <c r="BR47" s="143">
        <f>((BR8+BQ8)/2)/IS!BR13*91</f>
        <v>43.922567681174982</v>
      </c>
      <c r="BS47" s="143">
        <f>((BS8+BR8)/2)/IS!BS13*91</f>
        <v>37.76568877742195</v>
      </c>
      <c r="BT47" s="143">
        <f>((BT8+BS8)/2)/IS!BT13*91</f>
        <v>39.582581413820492</v>
      </c>
      <c r="BU47" s="143">
        <f>((BU8+BT8)/2)/IS!BU13*91</f>
        <v>46.37021116910072</v>
      </c>
      <c r="BW47" s="143">
        <f>((BW8+BV8)/2)/IS!BW13*91</f>
        <v>48.015173550088946</v>
      </c>
      <c r="BX47" s="143">
        <f>((BX8+BW8)/2)/IS!BX13*91</f>
        <v>39.995726707595416</v>
      </c>
      <c r="BY47" s="143">
        <f>((BY8+BX8)/2)/IS!BY13*91</f>
        <v>44.605071046104158</v>
      </c>
      <c r="BZ47" s="143">
        <f>((BZ8+BY8)/2)/IS!BZ13*91</f>
        <v>51.603519126297819</v>
      </c>
    </row>
    <row r="48" spans="2:79">
      <c r="U48" s="143"/>
      <c r="AA48" s="135"/>
      <c r="AB48" s="135"/>
      <c r="AC48" s="135"/>
      <c r="AD48" s="135"/>
      <c r="AE48" s="135"/>
      <c r="AI48" s="135"/>
      <c r="AJ48" s="135"/>
      <c r="AN48" s="135"/>
      <c r="AO48" s="135"/>
      <c r="AS48" s="135"/>
      <c r="AT48" s="135"/>
      <c r="AX48" s="135"/>
      <c r="AY48" s="135"/>
      <c r="BC48" s="135"/>
      <c r="BD48" s="135"/>
      <c r="BH48" s="135"/>
      <c r="BI48" s="135"/>
      <c r="BM48" s="135"/>
      <c r="BN48" s="135"/>
      <c r="BR48" s="135"/>
      <c r="BS48" s="135"/>
      <c r="BW48" s="135"/>
      <c r="BX48" s="135"/>
    </row>
    <row r="49" spans="2:79">
      <c r="C49" s="81" t="s">
        <v>125</v>
      </c>
      <c r="D49" s="72"/>
      <c r="E49" s="72">
        <f>E30+E34</f>
        <v>0</v>
      </c>
      <c r="F49" s="72">
        <f>F30+F34</f>
        <v>0</v>
      </c>
      <c r="G49" s="72">
        <f t="shared" ref="G49:V49" si="56">G30</f>
        <v>0</v>
      </c>
      <c r="H49" s="72">
        <f t="shared" si="56"/>
        <v>0</v>
      </c>
      <c r="I49" s="72"/>
      <c r="J49" s="72">
        <f t="shared" si="56"/>
        <v>0</v>
      </c>
      <c r="K49" s="72">
        <f t="shared" si="56"/>
        <v>0</v>
      </c>
      <c r="L49" s="72">
        <f t="shared" si="56"/>
        <v>0</v>
      </c>
      <c r="M49" s="72">
        <f t="shared" si="56"/>
        <v>0</v>
      </c>
      <c r="N49" s="72"/>
      <c r="O49" s="72"/>
      <c r="P49" s="72"/>
      <c r="Q49" s="72"/>
      <c r="R49" s="72">
        <f>R30+R34</f>
        <v>0</v>
      </c>
      <c r="S49" s="72"/>
      <c r="T49" s="72">
        <f t="shared" si="56"/>
        <v>0</v>
      </c>
      <c r="U49" s="72">
        <f t="shared" si="56"/>
        <v>0</v>
      </c>
      <c r="V49" s="72">
        <f t="shared" si="56"/>
        <v>0</v>
      </c>
      <c r="W49" s="72">
        <v>19572</v>
      </c>
      <c r="X49" s="72">
        <f>W49</f>
        <v>19572</v>
      </c>
      <c r="Y49" s="72">
        <v>23296</v>
      </c>
      <c r="Z49" s="72">
        <v>26973</v>
      </c>
      <c r="AA49" s="72">
        <v>29796</v>
      </c>
      <c r="AB49" s="72">
        <v>32712</v>
      </c>
      <c r="AC49" s="72">
        <f>AB49</f>
        <v>32712</v>
      </c>
      <c r="AD49" s="72">
        <v>40812</v>
      </c>
      <c r="AE49" s="72">
        <v>47762</v>
      </c>
      <c r="AF49" s="72">
        <v>50895</v>
      </c>
      <c r="AG49" s="72">
        <f>AG30+AG34</f>
        <v>277924</v>
      </c>
      <c r="AH49" s="72"/>
      <c r="AI49" s="72">
        <f>AI30+AI34</f>
        <v>290535</v>
      </c>
      <c r="AJ49" s="72">
        <f>AJ30+AJ34</f>
        <v>297427</v>
      </c>
      <c r="AK49" s="72">
        <f>AK30+AK34</f>
        <v>323754</v>
      </c>
      <c r="AL49" s="72">
        <f>AL30+AL34</f>
        <v>388772</v>
      </c>
      <c r="AM49" s="72"/>
      <c r="AN49" s="72">
        <f>AN30+AN34</f>
        <v>393046</v>
      </c>
      <c r="AO49" s="72">
        <f>AO30+AO34</f>
        <v>410518</v>
      </c>
      <c r="AP49" s="72">
        <f>AP30+AP34</f>
        <v>433081</v>
      </c>
      <c r="AQ49" s="72">
        <f>AQ30+AQ34</f>
        <v>519038</v>
      </c>
      <c r="AR49" s="72"/>
      <c r="AS49" s="72">
        <f>AS30+AS34</f>
        <v>563632</v>
      </c>
      <c r="AT49" s="72">
        <f>AT30+AT34</f>
        <v>635868</v>
      </c>
      <c r="AU49" s="72">
        <f>AU30+AU34</f>
        <v>700902</v>
      </c>
      <c r="AV49" s="72">
        <f>AV30+AV34</f>
        <v>796134</v>
      </c>
      <c r="AW49" s="72"/>
      <c r="AX49" s="72">
        <f>AX30+AX34</f>
        <v>847782</v>
      </c>
      <c r="AY49" s="72">
        <f>AY30+AY34</f>
        <v>932757</v>
      </c>
      <c r="AZ49" s="72">
        <f>AZ30+AZ34</f>
        <v>957181</v>
      </c>
      <c r="BA49" s="72">
        <f>BA30+BA34</f>
        <v>1046616</v>
      </c>
      <c r="BB49" s="72"/>
      <c r="BC49" s="72">
        <f>BC30+BC34</f>
        <v>1065328</v>
      </c>
      <c r="BD49" s="72">
        <f>BD30+BD34</f>
        <v>1088430</v>
      </c>
      <c r="BE49" s="72">
        <f>BE30+BE34</f>
        <v>1103439</v>
      </c>
      <c r="BF49" s="72">
        <f>BF30+BF34</f>
        <v>1189792</v>
      </c>
      <c r="BG49" s="72"/>
      <c r="BH49" s="72">
        <f>BH30+BH34</f>
        <v>1208079</v>
      </c>
      <c r="BI49" s="72">
        <f>BI30+BI34</f>
        <v>1230250</v>
      </c>
      <c r="BJ49" s="72">
        <f>BJ30+BJ34</f>
        <v>1226668</v>
      </c>
      <c r="BK49" s="72">
        <f>BK30+BK34</f>
        <v>1342039</v>
      </c>
      <c r="BL49" s="72"/>
      <c r="BM49" s="72">
        <f>BM30+BM34</f>
        <v>1337067</v>
      </c>
      <c r="BN49" s="72">
        <f>BN30+BN34</f>
        <v>1330585</v>
      </c>
      <c r="BO49" s="72">
        <f>BO30+BO34</f>
        <v>1330680</v>
      </c>
      <c r="BP49" s="72">
        <f>BP30+BP34</f>
        <v>1476965</v>
      </c>
      <c r="BQ49" s="72"/>
      <c r="BR49" s="72">
        <f>BR30+BR34</f>
        <v>1447232</v>
      </c>
      <c r="BS49" s="72">
        <f>BS30+BS34</f>
        <v>1463461</v>
      </c>
      <c r="BT49" s="72">
        <f>BT30+BT34</f>
        <v>1472626</v>
      </c>
      <c r="BU49" s="72">
        <f>BU30+BU34</f>
        <v>1642844.0510166001</v>
      </c>
      <c r="BV49" s="72"/>
      <c r="BW49" s="72">
        <f>BW30+BW34</f>
        <v>1599762.44992</v>
      </c>
      <c r="BX49" s="72">
        <f>BX30+BX34</f>
        <v>1618764.58128</v>
      </c>
      <c r="BY49" s="72">
        <f>BY30+BY34</f>
        <v>1616279.2228000001</v>
      </c>
      <c r="BZ49" s="72">
        <f>BZ30+BZ34</f>
        <v>1778177.8251700101</v>
      </c>
      <c r="CA49" s="72"/>
    </row>
    <row r="50" spans="2:79">
      <c r="C50" s="144" t="s">
        <v>126</v>
      </c>
      <c r="D50" s="144"/>
      <c r="E50" s="243"/>
      <c r="F50" s="243"/>
      <c r="G50" s="243"/>
      <c r="H50" s="243"/>
      <c r="I50" s="243"/>
      <c r="J50" s="243" t="e">
        <f>J49/E49-1</f>
        <v>#DIV/0!</v>
      </c>
      <c r="K50" s="243" t="e">
        <f>K49/F49-1</f>
        <v>#DIV/0!</v>
      </c>
      <c r="L50" s="243" t="e">
        <f>L49/G49-1</f>
        <v>#DIV/0!</v>
      </c>
      <c r="M50" s="243" t="e">
        <f>M49/H49-1</f>
        <v>#DIV/0!</v>
      </c>
      <c r="N50" s="243"/>
      <c r="O50" s="243"/>
      <c r="P50" s="243"/>
      <c r="Q50" s="243"/>
      <c r="R50" s="243"/>
      <c r="S50" s="243"/>
      <c r="T50" s="243"/>
      <c r="U50" s="243"/>
      <c r="V50" s="243"/>
      <c r="W50" s="243" t="e">
        <f>W49/R49-1</f>
        <v>#DIV/0!</v>
      </c>
      <c r="X50" s="243"/>
      <c r="Y50" s="243"/>
      <c r="Z50" s="243"/>
      <c r="AA50" s="243"/>
      <c r="AB50" s="243">
        <f>AB49/W49-1</f>
        <v>0.67136725935009189</v>
      </c>
      <c r="AC50" s="243"/>
      <c r="AD50" s="243">
        <f>AD49/Y49-1</f>
        <v>0.75188873626373631</v>
      </c>
      <c r="AE50" s="243">
        <f>AE49/Z49-1</f>
        <v>0.77073369665962255</v>
      </c>
      <c r="AF50" s="243">
        <f>AF49/AA49-1</f>
        <v>0.70811518324607325</v>
      </c>
      <c r="AG50" s="243">
        <f>AG49/AB49-1</f>
        <v>7.4960870628515526</v>
      </c>
      <c r="AH50" s="243"/>
      <c r="AI50" s="243">
        <f>AI49/AD49-1</f>
        <v>6.1188620993825342</v>
      </c>
      <c r="AJ50" s="243">
        <f>AJ49/AE49-1</f>
        <v>5.2272727272727275</v>
      </c>
      <c r="AK50" s="243">
        <f>AK49/AF49-1</f>
        <v>5.3612142646625403</v>
      </c>
      <c r="AL50" s="243">
        <f>AL49/AG49-1</f>
        <v>0.39884284912422108</v>
      </c>
      <c r="AM50" s="243"/>
      <c r="AN50" s="243">
        <f>AN49/AI49-1</f>
        <v>0.35283528662639618</v>
      </c>
      <c r="AO50" s="243">
        <f>AO49/AJ49-1</f>
        <v>0.38023111553423194</v>
      </c>
      <c r="AP50" s="243">
        <f>AP49/AK49-1</f>
        <v>0.33768540311471051</v>
      </c>
      <c r="AQ50" s="243">
        <f>AQ49/AL49-1</f>
        <v>0.33507042688259436</v>
      </c>
      <c r="AR50" s="243"/>
      <c r="AS50" s="243">
        <f>AS49/AN49-1</f>
        <v>0.4340102685181888</v>
      </c>
      <c r="AT50" s="243">
        <f>AT49/AO49-1</f>
        <v>0.54894060674562373</v>
      </c>
      <c r="AU50" s="243">
        <f>AU49/AP49-1</f>
        <v>0.61840856560320123</v>
      </c>
      <c r="AV50" s="243">
        <f>AV49/AQ49-1</f>
        <v>0.53386457253611486</v>
      </c>
      <c r="AW50" s="243"/>
      <c r="AX50" s="243">
        <f>AX49/AS49-1</f>
        <v>0.50414099980128868</v>
      </c>
      <c r="AY50" s="243">
        <f>AY49/AT49-1</f>
        <v>0.46690350827530236</v>
      </c>
      <c r="AZ50" s="243">
        <f>AZ49/AU49-1</f>
        <v>0.3656417016929614</v>
      </c>
      <c r="BA50" s="243">
        <f>BA49/AV49-1</f>
        <v>0.31462291523788699</v>
      </c>
      <c r="BB50" s="243"/>
      <c r="BC50" s="243">
        <f>BC49/AX49-1</f>
        <v>0.25660606146391407</v>
      </c>
      <c r="BD50" s="243">
        <f>BD49/AY49-1</f>
        <v>0.16689555800706946</v>
      </c>
      <c r="BE50" s="243">
        <f>BE49/AZ49-1</f>
        <v>0.15280077644666989</v>
      </c>
      <c r="BF50" s="243">
        <f>BF49/BA49-1</f>
        <v>0.13679897880406955</v>
      </c>
      <c r="BG50" s="243"/>
      <c r="BH50" s="243">
        <f>BH49/BC49-1</f>
        <v>0.13399722902242317</v>
      </c>
      <c r="BI50" s="243">
        <f>BI49/BD49-1</f>
        <v>0.1302977683452311</v>
      </c>
      <c r="BJ50" s="243">
        <f>BJ49/BE49-1</f>
        <v>0.11167722003663094</v>
      </c>
      <c r="BK50" s="243">
        <f>BK49/BF49-1</f>
        <v>0.12796102175842505</v>
      </c>
      <c r="BL50" s="243"/>
      <c r="BM50" s="243">
        <f>BM49/BH49-1</f>
        <v>0.10677116314413215</v>
      </c>
      <c r="BN50" s="243">
        <f>BN49/BI49-1</f>
        <v>8.155659418817307E-2</v>
      </c>
      <c r="BO50" s="243">
        <f>BO49/BJ49-1</f>
        <v>8.479229913880526E-2</v>
      </c>
      <c r="BP50" s="243">
        <f>BP49/BK49-1</f>
        <v>0.10053806185960323</v>
      </c>
      <c r="BQ50" s="243"/>
      <c r="BR50" s="243">
        <f>BR49/BM49-1</f>
        <v>8.239302892076461E-2</v>
      </c>
      <c r="BS50" s="243">
        <f>BS49/BN49-1</f>
        <v>9.9862842283657161E-2</v>
      </c>
      <c r="BT50" s="243">
        <f>BT49/BO49-1</f>
        <v>0.10667177683590334</v>
      </c>
      <c r="BU50" s="243">
        <f>BU49/BP49-1</f>
        <v>0.11231075280497516</v>
      </c>
      <c r="BV50" s="243"/>
      <c r="BW50" s="243">
        <f>BW49/BR49-1</f>
        <v>0.10539460841109105</v>
      </c>
      <c r="BX50" s="243">
        <f>BX49/BS49-1</f>
        <v>0.10612075161551959</v>
      </c>
      <c r="BY50" s="243">
        <f>BY49/BT49-1</f>
        <v>9.7549019778273793E-2</v>
      </c>
      <c r="BZ50" s="243">
        <f>BZ49/BU49-1</f>
        <v>8.237773638323409E-2</v>
      </c>
      <c r="CA50" s="243"/>
    </row>
    <row r="51" spans="2:79">
      <c r="C51" s="144" t="s">
        <v>127</v>
      </c>
      <c r="D51" s="144"/>
      <c r="E51" s="243"/>
      <c r="F51" s="243" t="e">
        <f>F49/E49-1</f>
        <v>#DIV/0!</v>
      </c>
      <c r="G51" s="243" t="e">
        <f>G49/F49-1</f>
        <v>#DIV/0!</v>
      </c>
      <c r="H51" s="243" t="e">
        <f>H49/G49-1</f>
        <v>#DIV/0!</v>
      </c>
      <c r="I51" s="243"/>
      <c r="J51" s="243" t="e">
        <f>J49/H49-1</f>
        <v>#DIV/0!</v>
      </c>
      <c r="K51" s="243" t="e">
        <f>K49/J49-1</f>
        <v>#DIV/0!</v>
      </c>
      <c r="L51" s="243" t="e">
        <f>L49/K49-1</f>
        <v>#DIV/0!</v>
      </c>
      <c r="M51" s="243" t="e">
        <f>M49/L49-1</f>
        <v>#DIV/0!</v>
      </c>
      <c r="N51" s="243"/>
      <c r="O51" s="243"/>
      <c r="P51" s="243"/>
      <c r="Q51" s="243"/>
      <c r="R51" s="243"/>
      <c r="S51" s="243"/>
      <c r="T51" s="243"/>
      <c r="U51" s="243"/>
      <c r="V51" s="243"/>
      <c r="W51" s="243"/>
      <c r="X51" s="243"/>
      <c r="Y51" s="243">
        <f>Y49/W49-1</f>
        <v>0.19027181688125894</v>
      </c>
      <c r="Z51" s="243">
        <f>Z49/Y49-1</f>
        <v>0.15783825549450547</v>
      </c>
      <c r="AA51" s="243">
        <f>AA49/Z49-1</f>
        <v>0.10466021577132678</v>
      </c>
      <c r="AB51" s="243">
        <f>AB49/AA49-1</f>
        <v>9.7865485300040245E-2</v>
      </c>
      <c r="AC51" s="243"/>
      <c r="AD51" s="243">
        <f>AD49/AB49-1</f>
        <v>0.24761555392516499</v>
      </c>
      <c r="AE51" s="243">
        <f>AE49/AD49-1</f>
        <v>0.17029305106341264</v>
      </c>
      <c r="AF51" s="243">
        <f>AF49/AE49-1</f>
        <v>6.5596080566140413E-2</v>
      </c>
      <c r="AG51" s="243">
        <f>AG49/AF49-1</f>
        <v>4.4607328814225369</v>
      </c>
      <c r="AH51" s="243"/>
      <c r="AI51" s="243">
        <f>AI49/AG49-1</f>
        <v>4.5375714224032526E-2</v>
      </c>
      <c r="AJ51" s="243">
        <f>AJ49/AI49-1</f>
        <v>2.3721754693926789E-2</v>
      </c>
      <c r="AK51" s="243">
        <f>AK49/AJ49-1</f>
        <v>8.8515837499621774E-2</v>
      </c>
      <c r="AL51" s="243">
        <f>AL49/AK49-1</f>
        <v>0.20082531798834924</v>
      </c>
      <c r="AM51" s="243"/>
      <c r="AN51" s="243">
        <f>AN49/AL49-1</f>
        <v>1.0993590073359094E-2</v>
      </c>
      <c r="AO51" s="243">
        <f>AO49/AN49-1</f>
        <v>4.4452812139037068E-2</v>
      </c>
      <c r="AP51" s="243">
        <f>AP49/AO49-1</f>
        <v>5.4962267184386571E-2</v>
      </c>
      <c r="AQ51" s="243">
        <f>AQ49/AP49-1</f>
        <v>0.19847788289026758</v>
      </c>
      <c r="AS51" s="243">
        <f>AS49/AQ49-1</f>
        <v>8.5916638088155306E-2</v>
      </c>
      <c r="AT51" s="243">
        <f>AT49/AS49-1</f>
        <v>0.12816163738041841</v>
      </c>
      <c r="AU51" s="243">
        <f>AU49/AT49-1</f>
        <v>0.10227594406386231</v>
      </c>
      <c r="AV51" s="243">
        <f>AV49/AU49-1</f>
        <v>0.13587063526712728</v>
      </c>
      <c r="AW51" s="243"/>
      <c r="AX51" s="243">
        <f>AX49/AV49-1</f>
        <v>6.4873501194522509E-2</v>
      </c>
      <c r="AY51" s="243">
        <f>AY49/AX49-1</f>
        <v>0.10023213514795071</v>
      </c>
      <c r="AZ51" s="243">
        <f>AZ49/AY49-1</f>
        <v>2.6184740505833748E-2</v>
      </c>
      <c r="BA51" s="243">
        <f>BA49/AZ49-1</f>
        <v>9.3435828751301964E-2</v>
      </c>
      <c r="BB51" s="243"/>
      <c r="BC51" s="243">
        <f>BC49/BA49-1</f>
        <v>1.7878572465928277E-2</v>
      </c>
      <c r="BD51" s="243">
        <f>BD49/BC49-1</f>
        <v>2.1685340101827766E-2</v>
      </c>
      <c r="BE51" s="243">
        <f>BE49/BD49-1</f>
        <v>1.378958683608511E-2</v>
      </c>
      <c r="BF51" s="243">
        <f>BF49/BE49-1</f>
        <v>7.8258064106851322E-2</v>
      </c>
      <c r="BG51" s="243"/>
      <c r="BH51" s="243">
        <f>BH49/BF49-1</f>
        <v>1.536991339662741E-2</v>
      </c>
      <c r="BI51" s="243">
        <f>BI49/BH49-1</f>
        <v>1.8352276630915654E-2</v>
      </c>
      <c r="BJ51" s="243">
        <f>BJ49/BI49-1</f>
        <v>-2.9116033326559432E-3</v>
      </c>
      <c r="BK51" s="243">
        <f>BK49/BJ49-1</f>
        <v>9.4052343421365814E-2</v>
      </c>
      <c r="BL51" s="243"/>
      <c r="BM51" s="243">
        <f>BM49/BK49-1</f>
        <v>-3.7048103669118371E-3</v>
      </c>
      <c r="BN51" s="243">
        <f>BN49/BM49-1</f>
        <v>-4.8479245991412956E-3</v>
      </c>
      <c r="BO51" s="243">
        <f>BO49/BN49-1</f>
        <v>7.1397167411335616E-5</v>
      </c>
      <c r="BP51" s="243">
        <f>BP49/BO49-1</f>
        <v>0.1099325157062554</v>
      </c>
      <c r="BQ51" s="243"/>
      <c r="BR51" s="243">
        <f>BR49/BP49-1</f>
        <v>-2.0131147318995346E-2</v>
      </c>
      <c r="BS51" s="243">
        <f>BS49/BR49-1</f>
        <v>1.1213820589926149E-2</v>
      </c>
      <c r="BT51" s="243">
        <f>BT49/BS49-1</f>
        <v>6.262551581490694E-3</v>
      </c>
      <c r="BU51" s="243">
        <f>BU49/BT49-1</f>
        <v>0.11558810656378471</v>
      </c>
      <c r="BV51" s="243"/>
      <c r="BW51" s="243">
        <f>BW49/BU49-1</f>
        <v>-2.6223792252186628E-2</v>
      </c>
      <c r="BX51" s="243">
        <f>BX49/BW49-1</f>
        <v>1.1878095626604024E-2</v>
      </c>
      <c r="BY51" s="243">
        <f>BY49/BX49-1</f>
        <v>-1.5353427599921199E-3</v>
      </c>
      <c r="BZ51" s="243">
        <f>BZ49/BY49-1</f>
        <v>0.10016747111896973</v>
      </c>
      <c r="CA51" s="243"/>
    </row>
    <row r="52" spans="2:79">
      <c r="AA52" s="135"/>
      <c r="AB52" s="135"/>
      <c r="AC52" s="135"/>
      <c r="AD52" s="135"/>
      <c r="AE52" s="135"/>
      <c r="AI52" s="135"/>
      <c r="AJ52" s="135"/>
      <c r="AN52" s="135"/>
      <c r="AO52" s="135"/>
      <c r="AR52" s="243"/>
    </row>
    <row r="53" spans="2:79">
      <c r="B53" s="81" t="s">
        <v>128</v>
      </c>
      <c r="AA53" s="135"/>
      <c r="AB53" s="135"/>
      <c r="AC53" s="135"/>
      <c r="AD53" s="135"/>
      <c r="AE53" s="135"/>
      <c r="AI53" s="135"/>
      <c r="AJ53" s="135"/>
      <c r="AN53" s="135"/>
      <c r="AO53" s="135"/>
      <c r="BS53" s="75"/>
      <c r="BT53" s="145"/>
      <c r="BU53" s="145"/>
      <c r="BV53" s="75"/>
    </row>
    <row r="54" spans="2:79">
      <c r="C54" s="81" t="s">
        <v>154</v>
      </c>
      <c r="E54" s="145" t="e">
        <f>E11/IS!E13</f>
        <v>#DIV/0!</v>
      </c>
      <c r="F54" s="145" t="e">
        <f>F11/IS!F13</f>
        <v>#DIV/0!</v>
      </c>
      <c r="G54" s="145" t="e">
        <f>G11/IS!G13</f>
        <v>#DIV/0!</v>
      </c>
      <c r="H54" s="145" t="e">
        <f>H11/IS!H13</f>
        <v>#DIV/0!</v>
      </c>
      <c r="I54" s="145"/>
      <c r="J54" s="145" t="e">
        <f>J11/IS!J13</f>
        <v>#DIV/0!</v>
      </c>
      <c r="K54" s="145" t="e">
        <f>K11/IS!K13</f>
        <v>#DIV/0!</v>
      </c>
      <c r="L54" s="145" t="e">
        <f>L11/IS!L13</f>
        <v>#DIV/0!</v>
      </c>
      <c r="M54" s="145" t="e">
        <f>M11/IS!M13</f>
        <v>#DIV/0!</v>
      </c>
      <c r="N54" s="145"/>
      <c r="O54" s="145"/>
      <c r="P54" s="145"/>
      <c r="Q54" s="145"/>
      <c r="R54" s="145" t="e">
        <f>R8/IS!R13</f>
        <v>#DIV/0!</v>
      </c>
      <c r="S54" s="145"/>
      <c r="T54" s="145" t="e">
        <f>T8/IS!T13</f>
        <v>#DIV/0!</v>
      </c>
      <c r="U54" s="145" t="e">
        <f>U8/IS!U13</f>
        <v>#DIV/0!</v>
      </c>
      <c r="V54" s="145" t="e">
        <f>V8/IS!V13</f>
        <v>#DIV/0!</v>
      </c>
      <c r="W54" s="145" t="e">
        <f>W8/IS!W13</f>
        <v>#DIV/0!</v>
      </c>
      <c r="X54" s="145"/>
      <c r="Y54" s="145" t="e">
        <f>Y8/IS!Y13</f>
        <v>#DIV/0!</v>
      </c>
      <c r="Z54" s="145" t="e">
        <f>Z8/IS!Z13</f>
        <v>#DIV/0!</v>
      </c>
      <c r="AA54" s="145" t="e">
        <f>AA8/IS!AA13</f>
        <v>#DIV/0!</v>
      </c>
      <c r="AB54" s="145" t="e">
        <f>AB8/IS!AB13</f>
        <v>#DIV/0!</v>
      </c>
      <c r="AC54" s="145"/>
      <c r="AD54" s="145">
        <f>AD8/IS!AD13</f>
        <v>0</v>
      </c>
      <c r="AE54" s="145">
        <f>AE8/IS!AE13</f>
        <v>0</v>
      </c>
      <c r="AF54" s="145">
        <f>AF8/IS!AF13</f>
        <v>0</v>
      </c>
      <c r="AG54" s="145">
        <f>AG8/IS!AG13</f>
        <v>0.83123984040195065</v>
      </c>
      <c r="AH54" s="145"/>
      <c r="AI54" s="145">
        <f>AI8/IS!AI13</f>
        <v>0.66830971452043542</v>
      </c>
      <c r="AJ54" s="145">
        <f>AJ8/IS!AJ13</f>
        <v>0.64872129498814679</v>
      </c>
      <c r="AK54" s="145">
        <f>AK8/IS!AK13</f>
        <v>0.73218600218628249</v>
      </c>
      <c r="AL54" s="145">
        <f>AL8/IS!AL13</f>
        <v>0.87391104079466486</v>
      </c>
      <c r="AN54" s="145">
        <f>AN8/IS!AN13</f>
        <v>0.54745235135210923</v>
      </c>
      <c r="AO54" s="145">
        <f>AO8/IS!AO13</f>
        <v>0.58847596896592702</v>
      </c>
      <c r="AP54" s="145">
        <f>AP8/IS!AP13</f>
        <v>0.63912914525735265</v>
      </c>
      <c r="AQ54" s="145">
        <f>AQ8/IS!AQ13</f>
        <v>0.865206715291293</v>
      </c>
      <c r="AS54" s="145">
        <f>AS8/IS!AS13</f>
        <v>0.7427251638795086</v>
      </c>
      <c r="AT54" s="145">
        <f>AT8/IS!AT13</f>
        <v>0.65603768457287803</v>
      </c>
      <c r="AU54" s="145">
        <f>AU8/IS!AU13</f>
        <v>0.68182114942168526</v>
      </c>
      <c r="AV54" s="145">
        <f>AV8/IS!AV13</f>
        <v>0.75092017136306044</v>
      </c>
      <c r="AX54" s="145">
        <f>AX8/IS!AX13</f>
        <v>0.53373852536251964</v>
      </c>
      <c r="AY54" s="145">
        <f>AY8/IS!AY13</f>
        <v>0.55628277365759882</v>
      </c>
      <c r="AZ54" s="145">
        <f>AZ8/IS!AZ13</f>
        <v>0.56025614936301815</v>
      </c>
      <c r="BA54" s="145">
        <f>BA8/IS!BA13</f>
        <v>0.75917483316919987</v>
      </c>
      <c r="BC54" s="145">
        <f>BC8/IS!BC13</f>
        <v>0.51108559314548185</v>
      </c>
      <c r="BD54" s="145">
        <f>BD8/IS!BD13</f>
        <v>0.54570352178776693</v>
      </c>
      <c r="BE54" s="145">
        <f>BE8/IS!BE13</f>
        <v>0.65474240971209818</v>
      </c>
      <c r="BF54" s="145">
        <f>BF8/IS!BF13</f>
        <v>0.78370650235909134</v>
      </c>
      <c r="BH54" s="145">
        <f>BH8/IS!BH13</f>
        <v>0.61784005757588589</v>
      </c>
      <c r="BI54" s="145">
        <f>BI8/IS!BI13</f>
        <v>0.60309414021204411</v>
      </c>
      <c r="BJ54" s="145">
        <f>BJ8/IS!BJ13</f>
        <v>0.51462763109615506</v>
      </c>
      <c r="BK54" s="145">
        <f>BK8/IS!BK13</f>
        <v>0.61665866538646186</v>
      </c>
      <c r="BM54" s="145">
        <f>BM8/IS!BM13</f>
        <v>0.43141874753396087</v>
      </c>
      <c r="BN54" s="145">
        <f>BN8/IS!BN13</f>
        <v>0.42102395700157741</v>
      </c>
      <c r="BO54" s="145">
        <f>BO8/IS!BO13</f>
        <v>0.39803396836331839</v>
      </c>
      <c r="BP54" s="145">
        <f>BP8/IS!BP13</f>
        <v>0.55340533744196474</v>
      </c>
      <c r="BR54" s="145">
        <f>BR8/IS!BR13</f>
        <v>0.40279629256181465</v>
      </c>
      <c r="BS54" s="145">
        <f>BS8/IS!BS13</f>
        <v>0.44582431966586561</v>
      </c>
      <c r="BT54" s="145">
        <f>BT8/IS!BT13</f>
        <v>0.43377283558379665</v>
      </c>
      <c r="BU54" s="834">
        <v>0.59</v>
      </c>
      <c r="BW54" s="834">
        <v>0.45</v>
      </c>
      <c r="BX54" s="834">
        <v>0.45</v>
      </c>
      <c r="BY54" s="834">
        <v>0.54</v>
      </c>
      <c r="BZ54" s="834">
        <v>0.6</v>
      </c>
    </row>
    <row r="55" spans="2:79">
      <c r="C55" s="81" t="s">
        <v>388</v>
      </c>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f>AI10/IS!AI13</f>
        <v>7.7210412815773261E-2</v>
      </c>
      <c r="AJ55" s="145">
        <f>AJ10/IS!AJ13</f>
        <v>8.2373506381552164E-2</v>
      </c>
      <c r="AK55" s="145">
        <f>AK10/IS!AK13</f>
        <v>6.7584157860806682E-2</v>
      </c>
      <c r="AL55" s="145">
        <f>AL10/IS!AL13</f>
        <v>5.3151222638335369E-2</v>
      </c>
      <c r="AN55" s="145">
        <f>AN10/IS!AN13</f>
        <v>6.2440994195230928E-2</v>
      </c>
      <c r="AO55" s="145">
        <f>AO10/IS!AO13</f>
        <v>6.5989847715736044E-2</v>
      </c>
      <c r="AP55" s="145">
        <f>AP10/IS!AP13</f>
        <v>7.182707954244856E-2</v>
      </c>
      <c r="AQ55" s="145">
        <f>AQ10/IS!AQ13</f>
        <v>4.5479182960766841E-2</v>
      </c>
      <c r="AS55" s="145">
        <f>AS10/IS!AS13</f>
        <v>4.4563105815492041E-2</v>
      </c>
      <c r="AT55" s="145">
        <f>AT10/IS!AT13</f>
        <v>4.9805820419685044E-2</v>
      </c>
      <c r="AU55" s="145">
        <f>AU10/IS!AU13</f>
        <v>5.8698485074022713E-2</v>
      </c>
      <c r="AV55" s="145">
        <f>AV10/IS!AV13</f>
        <v>3.9180966261156934E-2</v>
      </c>
      <c r="AX55" s="145">
        <f>AX10/IS!AX13</f>
        <v>3.2546825901022855E-2</v>
      </c>
      <c r="AY55" s="145">
        <f>AY10/IS!AY13</f>
        <v>2.7338407796125383E-2</v>
      </c>
      <c r="AZ55" s="145">
        <f>AZ10/IS!AZ13</f>
        <v>2.6931249232303566E-2</v>
      </c>
      <c r="BA55" s="145">
        <f>BA10/IS!BA13</f>
        <v>2.1672508901086036E-2</v>
      </c>
      <c r="BC55" s="145">
        <f>BC10/IS!BC13</f>
        <v>2.2707969532455002E-2</v>
      </c>
      <c r="BD55" s="145">
        <f>BD10/IS!BD13</f>
        <v>1.5087176783716714E-2</v>
      </c>
      <c r="BE55" s="145">
        <f>BE10/IS!BE13</f>
        <v>2.1084090025299668E-2</v>
      </c>
      <c r="BF55" s="145">
        <f>BF10/IS!BF13</f>
        <v>1.8856052979489855E-2</v>
      </c>
      <c r="BH55" s="145">
        <f>BH10/IS!BH13</f>
        <v>2.6389955668987039E-2</v>
      </c>
      <c r="BI55" s="145">
        <f>BI10/IS!BI13</f>
        <v>2.3539778998294281E-2</v>
      </c>
      <c r="BJ55" s="145">
        <f>BJ10/IS!BJ13</f>
        <v>2.7670501027239332E-2</v>
      </c>
      <c r="BK55" s="145">
        <f>BK10/IS!BK13</f>
        <v>2.2350242705499547E-2</v>
      </c>
      <c r="BM55" s="145">
        <f>BM10/IS!BM13</f>
        <v>1.7359506228510232E-2</v>
      </c>
      <c r="BN55" s="145">
        <f>BN10/IS!BN13</f>
        <v>1.8272427506056163E-2</v>
      </c>
      <c r="BO55" s="145">
        <f>BO10/IS!BO13</f>
        <v>1.8077157468005617E-2</v>
      </c>
      <c r="BP55" s="145">
        <f>BP10/IS!BP13</f>
        <v>1.7731355281532284E-2</v>
      </c>
      <c r="BR55" s="145">
        <f>BR10/IS!BR13</f>
        <v>1.2551495834500966E-2</v>
      </c>
      <c r="BS55" s="145">
        <f>BS10/IS!BS13</f>
        <v>1.2355177633781144E-2</v>
      </c>
      <c r="BT55" s="145">
        <f>BT10/IS!BT13</f>
        <v>1.097085599071302E-2</v>
      </c>
      <c r="BU55" s="834">
        <v>0.02</v>
      </c>
      <c r="BW55" s="834">
        <v>0.02</v>
      </c>
      <c r="BX55" s="834">
        <v>0.02</v>
      </c>
      <c r="BY55" s="834">
        <v>0.02</v>
      </c>
      <c r="BZ55" s="834">
        <v>0.02</v>
      </c>
    </row>
    <row r="56" spans="2:79">
      <c r="C56" s="81" t="s">
        <v>178</v>
      </c>
      <c r="E56" s="145" t="e">
        <f>#REF!/IS!E13</f>
        <v>#REF!</v>
      </c>
      <c r="F56" s="145" t="e">
        <f>#REF!/IS!F13</f>
        <v>#REF!</v>
      </c>
      <c r="G56" s="145" t="e">
        <f>#REF!/IS!G13</f>
        <v>#REF!</v>
      </c>
      <c r="H56" s="145" t="e">
        <f>#REF!/IS!H13</f>
        <v>#REF!</v>
      </c>
      <c r="I56" s="145"/>
      <c r="J56" s="145" t="e">
        <f>#REF!/IS!J13</f>
        <v>#REF!</v>
      </c>
      <c r="K56" s="145" t="e">
        <f>#REF!/IS!K13</f>
        <v>#REF!</v>
      </c>
      <c r="L56" s="145" t="e">
        <f>#REF!/IS!L13</f>
        <v>#REF!</v>
      </c>
      <c r="M56" s="145" t="e">
        <f>#REF!/IS!M13</f>
        <v>#REF!</v>
      </c>
      <c r="N56" s="145"/>
      <c r="O56" s="145"/>
      <c r="P56" s="145"/>
      <c r="Q56" s="145"/>
      <c r="R56" s="145" t="e">
        <f>R11/IS!R13</f>
        <v>#DIV/0!</v>
      </c>
      <c r="S56" s="145"/>
      <c r="T56" s="145" t="e">
        <f>T11/IS!T13</f>
        <v>#DIV/0!</v>
      </c>
      <c r="U56" s="145" t="e">
        <f>U11/IS!U13</f>
        <v>#DIV/0!</v>
      </c>
      <c r="V56" s="145" t="e">
        <f>V11/IS!V13</f>
        <v>#DIV/0!</v>
      </c>
      <c r="W56" s="145" t="e">
        <f>W11/IS!W13</f>
        <v>#DIV/0!</v>
      </c>
      <c r="X56" s="145"/>
      <c r="Y56" s="145" t="e">
        <f>Y11/IS!Y13</f>
        <v>#DIV/0!</v>
      </c>
      <c r="Z56" s="145" t="e">
        <f>Z11/IS!Z13</f>
        <v>#DIV/0!</v>
      </c>
      <c r="AA56" s="145" t="e">
        <f>AA11/IS!AA13</f>
        <v>#DIV/0!</v>
      </c>
      <c r="AB56" s="145" t="e">
        <f>AB11/IS!AB13</f>
        <v>#DIV/0!</v>
      </c>
      <c r="AC56" s="145"/>
      <c r="AD56" s="145">
        <f>AD11/IS!AD13</f>
        <v>0</v>
      </c>
      <c r="AE56" s="145">
        <f>AE11/IS!AE13</f>
        <v>0</v>
      </c>
      <c r="AF56" s="145">
        <f>AF11/IS!AF13</f>
        <v>0</v>
      </c>
      <c r="AG56" s="145">
        <f>AG11/IS!AG13</f>
        <v>0.15683732552359714</v>
      </c>
      <c r="AH56" s="145"/>
      <c r="AI56" s="145">
        <f>AI11/IS!AI13</f>
        <v>0.19112625795851304</v>
      </c>
      <c r="AJ56" s="145">
        <f>AJ11/IS!AJ13</f>
        <v>0.1602930964296832</v>
      </c>
      <c r="AK56" s="145">
        <f>AK11/IS!AK13</f>
        <v>0.15889228354401996</v>
      </c>
      <c r="AL56" s="145">
        <f>AL11/IS!AL13</f>
        <v>0.15008110868563876</v>
      </c>
      <c r="AN56" s="145">
        <f>AN11/IS!AN13</f>
        <v>0.18386909825109132</v>
      </c>
      <c r="AO56" s="145">
        <f>AO11/IS!AO13</f>
        <v>0.16513165713121572</v>
      </c>
      <c r="AP56" s="145">
        <f>AP11/IS!AP13</f>
        <v>0.15155790334346017</v>
      </c>
      <c r="AQ56" s="145">
        <f>AQ11/IS!AQ13</f>
        <v>0.13505156514305461</v>
      </c>
      <c r="AS56" s="145">
        <f>AS11/IS!AS13</f>
        <v>0.17229990202580997</v>
      </c>
      <c r="AT56" s="145">
        <f>AT11/IS!AT13</f>
        <v>0.15241562904540792</v>
      </c>
      <c r="AU56" s="145">
        <f>AU11/IS!AU13</f>
        <v>0.12363582234548461</v>
      </c>
      <c r="AV56" s="145">
        <f>AV11/IS!AV13</f>
        <v>0.11230035878560587</v>
      </c>
      <c r="AX56" s="145">
        <f>AX11/IS!AX13</f>
        <v>0.13893638158259394</v>
      </c>
      <c r="AY56" s="145">
        <f>AY11/IS!AY13</f>
        <v>0.11956181961691453</v>
      </c>
      <c r="AZ56" s="145">
        <f>AZ11/IS!AZ13</f>
        <v>0.12437507218638111</v>
      </c>
      <c r="BA56" s="145">
        <f>BA11/IS!BA13</f>
        <v>0.10887216181038105</v>
      </c>
      <c r="BC56" s="145">
        <f>BC11/IS!BC13</f>
        <v>0.13703090920209549</v>
      </c>
      <c r="BD56" s="145">
        <f>BD11/IS!BD13</f>
        <v>0.12720031373355792</v>
      </c>
      <c r="BE56" s="145">
        <f>BE11/IS!BE13</f>
        <v>0.10661184297163431</v>
      </c>
      <c r="BF56" s="145">
        <f>BF11/IS!BF13</f>
        <v>0.10610907613375865</v>
      </c>
      <c r="BH56" s="145">
        <f>BH11/IS!BH13</f>
        <v>0.1311166818871827</v>
      </c>
      <c r="BI56" s="145">
        <f>BI11/IS!BI13</f>
        <v>0.11850158575049405</v>
      </c>
      <c r="BJ56" s="145">
        <f>BJ11/IS!BJ13</f>
        <v>0.10369335014227157</v>
      </c>
      <c r="BK56" s="145">
        <f>BK11/IS!BK13</f>
        <v>9.4027676007108513E-2</v>
      </c>
      <c r="BM56" s="145">
        <f>BM11/IS!BM13</f>
        <v>0.11913082689814554</v>
      </c>
      <c r="BN56" s="145">
        <f>BN11/IS!BN13</f>
        <v>0.11099185220107415</v>
      </c>
      <c r="BO56" s="145">
        <f>BO11/IS!BO13</f>
        <v>9.9907262658647092E-2</v>
      </c>
      <c r="BP56" s="145">
        <f>BP11/IS!BP13</f>
        <v>0.10610987153656287</v>
      </c>
      <c r="BR56" s="145">
        <f>BR11/IS!BR13</f>
        <v>0.14562092256440745</v>
      </c>
      <c r="BS56" s="145">
        <f>BS11/IS!BS13</f>
        <v>0.13459299856613993</v>
      </c>
      <c r="BT56" s="145">
        <f>BT11/IS!BT13</f>
        <v>0.12626382354738191</v>
      </c>
      <c r="BU56" s="834">
        <v>0.13</v>
      </c>
      <c r="BW56" s="834">
        <v>0.13</v>
      </c>
      <c r="BX56" s="834">
        <v>0.12</v>
      </c>
      <c r="BY56" s="834">
        <v>0.11</v>
      </c>
      <c r="BZ56" s="834">
        <v>0.11</v>
      </c>
    </row>
    <row r="57" spans="2:79">
      <c r="C57" s="81" t="s">
        <v>389</v>
      </c>
      <c r="E57" s="145"/>
      <c r="F57" s="145"/>
      <c r="G57" s="145"/>
      <c r="H57" s="145"/>
      <c r="I57" s="145"/>
      <c r="J57" s="145"/>
      <c r="K57" s="145"/>
      <c r="L57" s="145"/>
      <c r="M57" s="145"/>
      <c r="N57" s="145"/>
      <c r="O57" s="145"/>
      <c r="P57" s="145"/>
      <c r="Q57" s="145"/>
      <c r="R57" s="145" t="e">
        <f>#REF!/IS!R13</f>
        <v>#REF!</v>
      </c>
      <c r="S57" s="145"/>
      <c r="T57" s="145" t="e">
        <f>#REF!/IS!T13</f>
        <v>#REF!</v>
      </c>
      <c r="U57" s="145" t="e">
        <f>#REF!/IS!U13</f>
        <v>#REF!</v>
      </c>
      <c r="V57" s="145" t="e">
        <f>#REF!/IS!V13</f>
        <v>#REF!</v>
      </c>
      <c r="W57" s="145" t="e">
        <f>#REF!/IS!W13</f>
        <v>#REF!</v>
      </c>
      <c r="X57" s="145"/>
      <c r="Y57" s="145" t="e">
        <f>#REF!/IS!Y13</f>
        <v>#REF!</v>
      </c>
      <c r="Z57" s="145" t="e">
        <f>#REF!/IS!Z13</f>
        <v>#REF!</v>
      </c>
      <c r="AA57" s="145" t="e">
        <f>#REF!/IS!AA13</f>
        <v>#REF!</v>
      </c>
      <c r="AB57" s="145" t="e">
        <f>#REF!/IS!AB13</f>
        <v>#REF!</v>
      </c>
      <c r="AC57" s="145"/>
      <c r="AD57" s="145">
        <f>AD15/IS!AD13</f>
        <v>0</v>
      </c>
      <c r="AE57" s="145">
        <f>AE15/IS!AE13</f>
        <v>0</v>
      </c>
      <c r="AF57" s="145">
        <f>AF15/IS!AF13</f>
        <v>0</v>
      </c>
      <c r="AG57" s="145">
        <f>AG15/IS!AG13</f>
        <v>0.50737536440211184</v>
      </c>
      <c r="AH57" s="145"/>
      <c r="AI57" s="145">
        <f>AI15/IS!AI13</f>
        <v>0.50318982337235574</v>
      </c>
      <c r="AJ57" s="145">
        <f>AJ15/IS!AJ13</f>
        <v>0.51602571777495754</v>
      </c>
      <c r="AK57" s="145">
        <f>AK15/IS!AK13</f>
        <v>0.54427782605039665</v>
      </c>
      <c r="AL57" s="145">
        <f>AL15/IS!AL13</f>
        <v>0.56367031822642344</v>
      </c>
      <c r="AN57" s="145">
        <f>AN15/IS!AN13</f>
        <v>0.54179714154849923</v>
      </c>
      <c r="AO57" s="145">
        <f>AO15/IS!AO13</f>
        <v>0.52813099502572025</v>
      </c>
      <c r="AP57" s="145">
        <f>AP15/IS!AP13</f>
        <v>0.54607979094355952</v>
      </c>
      <c r="AQ57" s="145">
        <f>AQ15/IS!AQ13</f>
        <v>0.55778751887084155</v>
      </c>
      <c r="AS57" s="145">
        <f>AS15/IS!AS13</f>
        <v>0.57130063262372188</v>
      </c>
      <c r="AT57" s="145">
        <f>AT15/IS!AT13</f>
        <v>0.57954349534933325</v>
      </c>
      <c r="AU57" s="145">
        <f>AU15/IS!AU13</f>
        <v>0.58788581516388416</v>
      </c>
      <c r="AV57" s="145">
        <f>AV15/IS!AV13</f>
        <v>0.60369275327339644</v>
      </c>
      <c r="AX57" s="145">
        <f>AX15/IS!AX13</f>
        <v>0.58420774370147399</v>
      </c>
      <c r="AY57" s="145">
        <f>AY15/IS!AY13</f>
        <v>0.56586772532255925</v>
      </c>
      <c r="AZ57" s="145">
        <f>AZ15/IS!AZ13</f>
        <v>0.55012530639108426</v>
      </c>
      <c r="BA57" s="145">
        <f>BA15/IS!BA13</f>
        <v>0.53688010908565009</v>
      </c>
      <c r="BC57" s="145">
        <f>BC15/IS!BC13</f>
        <v>0.53297819572883609</v>
      </c>
      <c r="BD57" s="145">
        <f>BD15/IS!BD13</f>
        <v>0.51864882414205449</v>
      </c>
      <c r="BE57" s="145">
        <f>BE15/IS!BE13</f>
        <v>0.51119583926576739</v>
      </c>
      <c r="BF57" s="145">
        <f>BF15/IS!BF13</f>
        <v>0.5320069256613339</v>
      </c>
      <c r="BH57" s="145">
        <f>BH15/IS!BH13</f>
        <v>0.20472551664076155</v>
      </c>
      <c r="BI57" s="145">
        <f>BI15/IS!BI13</f>
        <v>0.53767048090192193</v>
      </c>
      <c r="BJ57" s="145">
        <f>BJ15/IS!BJ13</f>
        <v>0.54710666870353686</v>
      </c>
      <c r="BK57" s="145">
        <f>BK15/IS!BK13</f>
        <v>0.57500708885351481</v>
      </c>
      <c r="BM57" s="145">
        <f>BM15/IS!BM13</f>
        <v>0.58584493546023331</v>
      </c>
      <c r="BN57" s="145">
        <f>BN15/IS!BN13</f>
        <v>0.58095558994439067</v>
      </c>
      <c r="BO57" s="145">
        <f>BO15/IS!BO13</f>
        <v>0.59085212368511697</v>
      </c>
      <c r="BP57" s="145">
        <f>BP15/IS!BP13</f>
        <v>0.60186769245038985</v>
      </c>
      <c r="BR57" s="145">
        <f>BR15/IS!BR13</f>
        <v>0.60494543340308571</v>
      </c>
      <c r="BS57" s="145">
        <f>BS15/IS!BS13</f>
        <v>0.57820033073706401</v>
      </c>
      <c r="BT57" s="145">
        <f>BT15/IS!BT13</f>
        <v>0.5652251481639885</v>
      </c>
      <c r="BU57" s="834">
        <v>0.65</v>
      </c>
      <c r="BW57" s="834">
        <v>0.6</v>
      </c>
      <c r="BX57" s="834">
        <v>0.6</v>
      </c>
      <c r="BY57" s="834">
        <v>0.62</v>
      </c>
      <c r="BZ57" s="834">
        <v>0.65</v>
      </c>
    </row>
    <row r="58" spans="2:79">
      <c r="C58" s="81" t="s">
        <v>242</v>
      </c>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f>AI16/IS!AI13</f>
        <v>0</v>
      </c>
      <c r="AJ58" s="145">
        <f>AJ16/IS!AJ13</f>
        <v>0</v>
      </c>
      <c r="AK58" s="145">
        <f>AK16/IS!AK13</f>
        <v>0</v>
      </c>
      <c r="AL58" s="145">
        <f>AL16/IS!AL13</f>
        <v>0</v>
      </c>
      <c r="AN58" s="145">
        <f>AN16/IS!AN13</f>
        <v>0.67003019227713334</v>
      </c>
      <c r="AO58" s="145">
        <f>AO16/IS!AO13</f>
        <v>0.58270376721049866</v>
      </c>
      <c r="AP58" s="145">
        <f>AP16/IS!AP13</f>
        <v>0.54759881684315159</v>
      </c>
      <c r="AQ58" s="145">
        <f>AQ16/IS!AQ13</f>
        <v>0.54505538478328086</v>
      </c>
      <c r="AS58" s="145">
        <f>AS16/IS!AS13</f>
        <v>0.54368605164014183</v>
      </c>
      <c r="AT58" s="145">
        <f>AT16/IS!AT13</f>
        <v>0.491842704312277</v>
      </c>
      <c r="AU58" s="145">
        <f>AU16/IS!AU13</f>
        <v>0.41878393306226058</v>
      </c>
      <c r="AV58" s="145">
        <f>AV16/IS!AV13</f>
        <v>0.36981373782194393</v>
      </c>
      <c r="AX58" s="145">
        <f>AX16/IS!AX13</f>
        <v>0.32443431582807125</v>
      </c>
      <c r="AY58" s="145">
        <f>AY16/IS!AY13</f>
        <v>0.27467157962191607</v>
      </c>
      <c r="AZ58" s="145">
        <f>AZ16/IS!AZ13</f>
        <v>0.24311089844774073</v>
      </c>
      <c r="BA58" s="145">
        <f>BA16/IS!BA13</f>
        <v>0.21696784590274573</v>
      </c>
      <c r="BC58" s="145">
        <f>BC16/IS!BC13</f>
        <v>0.19804753589313256</v>
      </c>
      <c r="BD58" s="145">
        <f>BD16/IS!BD13</f>
        <v>0.16149724197343551</v>
      </c>
      <c r="BE58" s="145">
        <f>BE16/IS!BE13</f>
        <v>0.1427734819811515</v>
      </c>
      <c r="BF58" s="145">
        <f>BF16/IS!BF13</f>
        <v>0.2145211469186265</v>
      </c>
      <c r="BH58" s="145">
        <f>BH16/IS!BH13</f>
        <v>0.53419173011908294</v>
      </c>
      <c r="BI58" s="145">
        <f>BI16/IS!BI13</f>
        <v>0.19098950539998574</v>
      </c>
      <c r="BJ58" s="145">
        <f>BJ16/IS!BJ13</f>
        <v>0.18017449505368913</v>
      </c>
      <c r="BK58" s="145">
        <f>BK16/IS!BK13</f>
        <v>0.17292310629349819</v>
      </c>
      <c r="BM58" s="145">
        <f>BM16/IS!BM13</f>
        <v>0.1690955977678823</v>
      </c>
      <c r="BN58" s="145">
        <f>BN16/IS!BN13</f>
        <v>0.16015309220993251</v>
      </c>
      <c r="BO58" s="145">
        <f>BO16/IS!BO13</f>
        <v>0.15018812432103018</v>
      </c>
      <c r="BP58" s="145">
        <f>BP16/IS!BP13</f>
        <v>0.14122990987462833</v>
      </c>
      <c r="BR58" s="145">
        <f>BR16/IS!BR13</f>
        <v>0.15113127149206315</v>
      </c>
      <c r="BS58" s="145">
        <f>BS16/IS!BS13</f>
        <v>0.13733207100355219</v>
      </c>
      <c r="BT58" s="145">
        <f>BT16/IS!BT13</f>
        <v>0.16274576892527648</v>
      </c>
      <c r="BU58" s="834">
        <v>0.16</v>
      </c>
      <c r="BW58" s="834">
        <v>0.16</v>
      </c>
      <c r="BX58" s="834">
        <v>0.16</v>
      </c>
      <c r="BY58" s="834">
        <v>0.16</v>
      </c>
      <c r="BZ58" s="834">
        <v>0.16</v>
      </c>
    </row>
    <row r="59" spans="2:79">
      <c r="C59" s="81" t="s">
        <v>170</v>
      </c>
      <c r="E59" s="145" t="e">
        <f>E20/IS!E13</f>
        <v>#DIV/0!</v>
      </c>
      <c r="F59" s="145" t="e">
        <f>F20/IS!F13</f>
        <v>#DIV/0!</v>
      </c>
      <c r="G59" s="145" t="e">
        <f>G20/IS!G13</f>
        <v>#DIV/0!</v>
      </c>
      <c r="H59" s="145" t="e">
        <f>H20/IS!H13</f>
        <v>#DIV/0!</v>
      </c>
      <c r="I59" s="145"/>
      <c r="J59" s="145" t="e">
        <f>J20/IS!J13</f>
        <v>#DIV/0!</v>
      </c>
      <c r="K59" s="145" t="e">
        <f>K20/IS!K13</f>
        <v>#DIV/0!</v>
      </c>
      <c r="L59" s="145" t="e">
        <f>L20/IS!L13</f>
        <v>#DIV/0!</v>
      </c>
      <c r="M59" s="145" t="e">
        <f>M20/IS!M13</f>
        <v>#DIV/0!</v>
      </c>
      <c r="N59" s="145"/>
      <c r="O59" s="145"/>
      <c r="P59" s="145"/>
      <c r="Q59" s="145"/>
      <c r="R59" s="145" t="e">
        <f>R20/IS!R13</f>
        <v>#DIV/0!</v>
      </c>
      <c r="S59" s="145"/>
      <c r="T59" s="145" t="e">
        <f>T20/IS!T13</f>
        <v>#DIV/0!</v>
      </c>
      <c r="U59" s="145" t="e">
        <f>U20/IS!U13</f>
        <v>#DIV/0!</v>
      </c>
      <c r="V59" s="145" t="e">
        <f>V20/IS!V13</f>
        <v>#DIV/0!</v>
      </c>
      <c r="W59" s="145" t="e">
        <f>W20/IS!W13</f>
        <v>#DIV/0!</v>
      </c>
      <c r="X59" s="145"/>
      <c r="Y59" s="145" t="e">
        <f>Y20/IS!Y13</f>
        <v>#DIV/0!</v>
      </c>
      <c r="Z59" s="145" t="e">
        <f>Z20/IS!Z13</f>
        <v>#DIV/0!</v>
      </c>
      <c r="AA59" s="145" t="e">
        <f>AA20/IS!AA13</f>
        <v>#DIV/0!</v>
      </c>
      <c r="AB59" s="145" t="e">
        <f>AB20/IS!AB13</f>
        <v>#DIV/0!</v>
      </c>
      <c r="AC59" s="145"/>
      <c r="AD59" s="145">
        <f>AD20/IS!AD13</f>
        <v>0</v>
      </c>
      <c r="AE59" s="145">
        <f>AE20/IS!AE13</f>
        <v>0</v>
      </c>
      <c r="AF59" s="145">
        <f>AF20/IS!AF13</f>
        <v>0</v>
      </c>
      <c r="AG59" s="145">
        <f>AG20/IS!AG13</f>
        <v>7.5029891048806377E-2</v>
      </c>
      <c r="AH59" s="145"/>
      <c r="AI59" s="145">
        <f>AI20/IS!AI13</f>
        <v>8.2736444855206412E-2</v>
      </c>
      <c r="AJ59" s="145">
        <f>AJ20/IS!AJ13</f>
        <v>5.6949067311606524E-2</v>
      </c>
      <c r="AK59" s="145">
        <f>AK20/IS!AK13</f>
        <v>5.1433696779437731E-2</v>
      </c>
      <c r="AL59" s="145">
        <f>AL20/IS!AL13</f>
        <v>4.4224260509082167E-2</v>
      </c>
      <c r="AN59" s="145">
        <f>AN20/IS!AN13</f>
        <v>0.1119217431132631</v>
      </c>
      <c r="AO59" s="145">
        <f>AO20/IS!AO13</f>
        <v>0.10142098025567459</v>
      </c>
      <c r="AP59" s="145">
        <f>AP20/IS!AP13</f>
        <v>9.8664539763208312E-2</v>
      </c>
      <c r="AQ59" s="145">
        <f>AQ20/IS!AQ13</f>
        <v>8.9772458575092307E-2</v>
      </c>
      <c r="AS59" s="145">
        <f>AS20/IS!AS13</f>
        <v>8.8587521926354384E-2</v>
      </c>
      <c r="AT59" s="145">
        <f>AT20/IS!AT13</f>
        <v>4.8680776952096529E-2</v>
      </c>
      <c r="AU59" s="145">
        <f>AU20/IS!AU13</f>
        <v>5.8836894101425091E-2</v>
      </c>
      <c r="AV59" s="145">
        <f>AV20/IS!AV13</f>
        <v>5.7883768316399707E-2</v>
      </c>
      <c r="AX59" s="145">
        <f>AX20/IS!AX13</f>
        <v>7.2231057521350395E-2</v>
      </c>
      <c r="AY59" s="145">
        <f>AY20/IS!AY13</f>
        <v>7.5569900203968393E-2</v>
      </c>
      <c r="AZ59" s="145">
        <f>AZ20/IS!AZ13</f>
        <v>8.3948865459252051E-2</v>
      </c>
      <c r="BA59" s="145">
        <f>BA20/IS!BA13</f>
        <v>8.6664210403079742E-2</v>
      </c>
      <c r="BC59" s="145">
        <f>BC20/IS!BC13</f>
        <v>0.10441792991921073</v>
      </c>
      <c r="BD59" s="145">
        <f>BD20/IS!BD13</f>
        <v>0.10824611368984095</v>
      </c>
      <c r="BE59" s="145">
        <f>BE20/IS!BE13</f>
        <v>0.11700283362485533</v>
      </c>
      <c r="BF59" s="145">
        <f>BF20/IS!BF13</f>
        <v>0.12050772011110168</v>
      </c>
      <c r="BH59" s="145">
        <f>BH20/IS!BH13</f>
        <v>0.12971961995077019</v>
      </c>
      <c r="BI59" s="145">
        <f>BI20/IS!BI13</f>
        <v>0.13098837116304365</v>
      </c>
      <c r="BJ59" s="145">
        <f>BJ20/IS!BJ13</f>
        <v>0.13139526085026007</v>
      </c>
      <c r="BK59" s="145">
        <f>BK20/IS!BK13</f>
        <v>0.13983289957972223</v>
      </c>
      <c r="BM59" s="145">
        <f>BM20/IS!BM13</f>
        <v>0.15170227157431937</v>
      </c>
      <c r="BN59" s="145">
        <f>BN20/IS!BN13</f>
        <v>0.17558051538870179</v>
      </c>
      <c r="BO59" s="145">
        <f>BO20/IS!BO13</f>
        <v>0.17491322434487691</v>
      </c>
      <c r="BP59" s="145">
        <f>BP20/IS!BP13</f>
        <v>0.18267650196070348</v>
      </c>
      <c r="BR59" s="145">
        <f>BR20/IS!BR13</f>
        <v>0.20044810869844196</v>
      </c>
      <c r="BS59" s="145">
        <f>BS20/IS!BS13</f>
        <v>0.20435378873795332</v>
      </c>
      <c r="BT59" s="145">
        <f>BT20/IS!BT13</f>
        <v>0.20801246410460073</v>
      </c>
      <c r="BU59" s="834">
        <v>0.19</v>
      </c>
      <c r="BW59" s="834">
        <v>0.2</v>
      </c>
      <c r="BX59" s="834">
        <v>0.18099999999999999</v>
      </c>
      <c r="BY59" s="834">
        <v>0.18</v>
      </c>
      <c r="BZ59" s="834">
        <v>0.18</v>
      </c>
    </row>
    <row r="60" spans="2:79">
      <c r="E60" s="145"/>
      <c r="F60" s="145"/>
      <c r="G60" s="145"/>
      <c r="H60" s="145"/>
      <c r="I60" s="145"/>
      <c r="J60" s="145"/>
      <c r="K60" s="145"/>
      <c r="L60" s="145"/>
      <c r="M60" s="145"/>
      <c r="N60" s="145"/>
      <c r="O60" s="145"/>
      <c r="P60" s="145"/>
      <c r="Q60" s="145"/>
      <c r="R60" s="145"/>
      <c r="S60" s="145"/>
      <c r="T60" s="145"/>
      <c r="U60" s="146"/>
      <c r="V60" s="146"/>
      <c r="W60" s="146"/>
      <c r="X60" s="146"/>
      <c r="Y60" s="146"/>
      <c r="Z60" s="146"/>
      <c r="AA60" s="222"/>
      <c r="AB60" s="222"/>
      <c r="AC60" s="222"/>
      <c r="AD60" s="222"/>
      <c r="AE60" s="222"/>
      <c r="AF60" s="222"/>
      <c r="AG60" s="222"/>
      <c r="AH60" s="222"/>
      <c r="AI60" s="222"/>
      <c r="AJ60" s="222"/>
      <c r="AK60" s="222"/>
      <c r="AL60" s="222"/>
      <c r="AN60" s="222"/>
      <c r="AO60" s="222"/>
      <c r="AP60" s="222"/>
      <c r="AQ60" s="222"/>
      <c r="AS60" s="222"/>
      <c r="AT60" s="222"/>
      <c r="AU60" s="222"/>
      <c r="AV60" s="222"/>
      <c r="AX60" s="222"/>
      <c r="AY60" s="222"/>
      <c r="AZ60" s="222"/>
      <c r="BA60" s="222"/>
      <c r="BC60" s="222"/>
      <c r="BD60" s="222"/>
      <c r="BE60" s="222"/>
      <c r="BF60" s="222"/>
      <c r="BH60" s="222"/>
      <c r="BI60" s="222"/>
      <c r="BJ60" s="222"/>
      <c r="BK60" s="222"/>
      <c r="BM60" s="222"/>
      <c r="BN60" s="222"/>
      <c r="BO60" s="222"/>
      <c r="BP60" s="222"/>
      <c r="BR60" s="222"/>
      <c r="BS60" s="222"/>
      <c r="BT60" s="222"/>
      <c r="BU60" s="146"/>
      <c r="BW60" s="222"/>
      <c r="BX60" s="222"/>
      <c r="BY60" s="222"/>
      <c r="BZ60" s="146"/>
    </row>
    <row r="61" spans="2:79">
      <c r="B61" s="81" t="s">
        <v>129</v>
      </c>
      <c r="E61" s="145"/>
      <c r="F61" s="145"/>
      <c r="G61" s="145"/>
      <c r="H61" s="145"/>
      <c r="I61" s="145"/>
      <c r="J61" s="145"/>
      <c r="K61" s="145"/>
      <c r="L61" s="145"/>
      <c r="M61" s="145"/>
      <c r="N61" s="145"/>
      <c r="O61" s="145"/>
      <c r="P61" s="145"/>
      <c r="Q61" s="145"/>
      <c r="R61" s="145"/>
      <c r="S61" s="145"/>
      <c r="T61" s="145"/>
      <c r="U61" s="146"/>
      <c r="V61" s="146"/>
      <c r="W61" s="146"/>
      <c r="X61" s="146"/>
      <c r="Y61" s="146"/>
      <c r="Z61" s="146"/>
      <c r="AA61" s="222"/>
      <c r="AB61" s="222"/>
      <c r="AC61" s="222"/>
      <c r="AD61" s="222"/>
      <c r="AE61" s="222"/>
      <c r="AF61" s="222"/>
      <c r="AG61" s="222"/>
      <c r="AH61" s="222"/>
      <c r="AI61" s="222"/>
      <c r="AJ61" s="222"/>
      <c r="AK61" s="222"/>
      <c r="AL61" s="222"/>
      <c r="AN61" s="222"/>
      <c r="AO61" s="222"/>
      <c r="AP61" s="222"/>
      <c r="AQ61" s="222"/>
      <c r="AS61" s="222"/>
      <c r="AT61" s="222"/>
      <c r="AU61" s="222"/>
      <c r="AV61" s="222"/>
      <c r="AX61" s="222"/>
      <c r="AY61" s="222"/>
      <c r="AZ61" s="222"/>
      <c r="BA61" s="222"/>
      <c r="BC61" s="222"/>
      <c r="BD61" s="222"/>
      <c r="BE61" s="222"/>
      <c r="BF61" s="222"/>
      <c r="BH61" s="222"/>
      <c r="BI61" s="222"/>
      <c r="BJ61" s="222"/>
      <c r="BK61" s="222"/>
      <c r="BM61" s="222"/>
      <c r="BN61" s="222"/>
      <c r="BO61" s="222"/>
      <c r="BP61" s="222"/>
      <c r="BR61" s="222"/>
      <c r="BS61" s="222"/>
      <c r="BT61" s="222"/>
      <c r="BU61" s="146"/>
      <c r="BW61" s="222"/>
      <c r="BX61" s="222"/>
      <c r="BY61" s="222"/>
      <c r="BZ61" s="146"/>
    </row>
    <row r="62" spans="2:79">
      <c r="C62" s="81" t="s">
        <v>157</v>
      </c>
      <c r="E62" s="145" t="e">
        <f>E24/IS!E13</f>
        <v>#DIV/0!</v>
      </c>
      <c r="F62" s="145" t="e">
        <f>F24/IS!F13</f>
        <v>#DIV/0!</v>
      </c>
      <c r="G62" s="145" t="e">
        <f>G24/IS!G13</f>
        <v>#DIV/0!</v>
      </c>
      <c r="H62" s="145" t="e">
        <f>H24/IS!H13</f>
        <v>#DIV/0!</v>
      </c>
      <c r="I62" s="145"/>
      <c r="J62" s="145" t="e">
        <f>J24/IS!J13</f>
        <v>#DIV/0!</v>
      </c>
      <c r="K62" s="145" t="e">
        <f>K24/IS!K13</f>
        <v>#DIV/0!</v>
      </c>
      <c r="L62" s="145" t="e">
        <f>L24/IS!L13</f>
        <v>#DIV/0!</v>
      </c>
      <c r="M62" s="145" t="e">
        <f>M24/IS!M13</f>
        <v>#DIV/0!</v>
      </c>
      <c r="N62" s="145"/>
      <c r="O62" s="145"/>
      <c r="P62" s="145"/>
      <c r="Q62" s="145"/>
      <c r="R62" s="145" t="e">
        <f>R24/IS!R13</f>
        <v>#DIV/0!</v>
      </c>
      <c r="S62" s="145"/>
      <c r="T62" s="145" t="e">
        <f>T24/IS!T13</f>
        <v>#DIV/0!</v>
      </c>
      <c r="U62" s="145" t="e">
        <f>U24/IS!U13</f>
        <v>#DIV/0!</v>
      </c>
      <c r="V62" s="145" t="e">
        <f>V24/IS!V13</f>
        <v>#DIV/0!</v>
      </c>
      <c r="W62" s="145" t="e">
        <f>W24/IS!W13</f>
        <v>#DIV/0!</v>
      </c>
      <c r="X62" s="145"/>
      <c r="Y62" s="145" t="e">
        <f>Y24/IS!Y13</f>
        <v>#DIV/0!</v>
      </c>
      <c r="Z62" s="145" t="e">
        <f>Z24/IS!Z13</f>
        <v>#DIV/0!</v>
      </c>
      <c r="AA62" s="145" t="e">
        <f>AA24/IS!AA13</f>
        <v>#DIV/0!</v>
      </c>
      <c r="AB62" s="145" t="e">
        <f>AB24/IS!AB13</f>
        <v>#DIV/0!</v>
      </c>
      <c r="AC62" s="145"/>
      <c r="AD62" s="145">
        <f>AD24/IS!AD13</f>
        <v>0</v>
      </c>
      <c r="AE62" s="145">
        <f>AE24/IS!AE13</f>
        <v>0</v>
      </c>
      <c r="AF62" s="145">
        <f>AF24/IS!AF13</f>
        <v>0</v>
      </c>
      <c r="AG62" s="145">
        <f>AG24/IS!AG13</f>
        <v>0.15928234614506226</v>
      </c>
      <c r="AH62" s="145"/>
      <c r="AI62" s="145">
        <f>AI24/IS!AI13</f>
        <v>8.5162507701786808E-2</v>
      </c>
      <c r="AJ62" s="145">
        <f>AJ24/IS!AJ13</f>
        <v>9.9692296640406117E-2</v>
      </c>
      <c r="AK62" s="145">
        <f>AK24/IS!AK13</f>
        <v>0.12365950051854135</v>
      </c>
      <c r="AL62" s="145">
        <f>AL24/IS!AL13</f>
        <v>9.8081429115014121E-2</v>
      </c>
      <c r="AN62" s="145">
        <f>AN24/IS!AN13</f>
        <v>0.10018601433899478</v>
      </c>
      <c r="AO62" s="145">
        <f>AO24/IS!AO13</f>
        <v>9.9536526153167076E-2</v>
      </c>
      <c r="AP62" s="145">
        <f>AP24/IS!AP13</f>
        <v>0.11662832362065234</v>
      </c>
      <c r="AQ62" s="145">
        <f>AQ24/IS!AQ13</f>
        <v>0.10238090907437385</v>
      </c>
      <c r="AS62" s="145">
        <f>AS24/IS!AS13</f>
        <v>7.2399896302231856E-2</v>
      </c>
      <c r="AT62" s="145">
        <f>AT24/IS!AT13</f>
        <v>9.6587173335593163E-2</v>
      </c>
      <c r="AU62" s="145">
        <f>AU24/IS!AU13</f>
        <v>8.4374665402704982E-2</v>
      </c>
      <c r="AV62" s="145">
        <f>AV24/IS!AV13</f>
        <v>8.6718898672075523E-2</v>
      </c>
      <c r="AX62" s="145">
        <f>AX24/IS!AX13</f>
        <v>3.1700484780782724E-2</v>
      </c>
      <c r="AY62" s="145">
        <f>AY24/IS!AY13</f>
        <v>6.5668445854596316E-2</v>
      </c>
      <c r="AZ62" s="145">
        <f>AZ24/IS!AZ13</f>
        <v>8.7470644205014825E-2</v>
      </c>
      <c r="BA62" s="145">
        <f>BA24/IS!BA13</f>
        <v>9.0911595171031701E-2</v>
      </c>
      <c r="BC62" s="145">
        <f>BC24/IS!BC13</f>
        <v>4.4527528826619013E-2</v>
      </c>
      <c r="BD62" s="145">
        <f>BD24/IS!BD13</f>
        <v>7.1440281331567504E-2</v>
      </c>
      <c r="BE62" s="145">
        <f>BE24/IS!BE13</f>
        <v>7.3088620106807056E-2</v>
      </c>
      <c r="BF62" s="145">
        <f>BF24/IS!BF13</f>
        <v>3.6982849588220311E-2</v>
      </c>
      <c r="BH62" s="145">
        <f>BH24/IS!BH13</f>
        <v>2.2207841690505423E-2</v>
      </c>
      <c r="BI62" s="145">
        <f>BI24/IS!BI13</f>
        <v>8.4384320192180447E-3</v>
      </c>
      <c r="BJ62" s="145">
        <f>BJ24/IS!BJ13</f>
        <v>2.1111588601712399E-2</v>
      </c>
      <c r="BK62" s="145">
        <f>BK24/IS!BK13</f>
        <v>2.6711642283818043E-2</v>
      </c>
      <c r="BM62" s="145">
        <f>BM24/IS!BM13</f>
        <v>2.4942224226368298E-2</v>
      </c>
      <c r="BN62" s="145">
        <f>BN24/IS!BN13</f>
        <v>1.1026769398405221E-2</v>
      </c>
      <c r="BO62" s="145">
        <f>BO24/IS!BO13</f>
        <v>2.4037518878673062E-2</v>
      </c>
      <c r="BP62" s="145">
        <f>BP24/IS!BP13</f>
        <v>3.9545147709764354E-2</v>
      </c>
      <c r="BR62" s="145">
        <f>BR24/IS!BR13</f>
        <v>3.2191280344239667E-2</v>
      </c>
      <c r="BS62" s="145">
        <f>BS24/IS!BS13</f>
        <v>1.3293181920373303E-2</v>
      </c>
      <c r="BT62" s="145">
        <f>BT24/IS!BT13</f>
        <v>2.7472352905236145E-2</v>
      </c>
      <c r="BU62" s="834">
        <v>0.03</v>
      </c>
      <c r="BW62" s="834">
        <v>0.03</v>
      </c>
      <c r="BX62" s="834">
        <v>0.03</v>
      </c>
      <c r="BY62" s="834">
        <v>0.03</v>
      </c>
      <c r="BZ62" s="834">
        <v>0.03</v>
      </c>
    </row>
    <row r="63" spans="2:79">
      <c r="C63" s="81" t="s">
        <v>261</v>
      </c>
      <c r="E63" s="145" t="e">
        <f>E25/IS!E13</f>
        <v>#DIV/0!</v>
      </c>
      <c r="F63" s="145" t="e">
        <f>F25/IS!F13</f>
        <v>#DIV/0!</v>
      </c>
      <c r="G63" s="145" t="e">
        <f>G25/IS!G13</f>
        <v>#DIV/0!</v>
      </c>
      <c r="H63" s="145" t="e">
        <f>H25/IS!H13</f>
        <v>#DIV/0!</v>
      </c>
      <c r="I63" s="145"/>
      <c r="J63" s="145" t="e">
        <f>J25/IS!J13</f>
        <v>#DIV/0!</v>
      </c>
      <c r="K63" s="145" t="e">
        <f>K25/IS!K13</f>
        <v>#DIV/0!</v>
      </c>
      <c r="L63" s="145" t="e">
        <f>L25/IS!L13</f>
        <v>#DIV/0!</v>
      </c>
      <c r="M63" s="145" t="e">
        <f>M25/IS!M13</f>
        <v>#DIV/0!</v>
      </c>
      <c r="N63" s="145"/>
      <c r="O63" s="145"/>
      <c r="P63" s="145"/>
      <c r="Q63" s="145"/>
      <c r="R63" s="145" t="e">
        <f>R25/IS!R13</f>
        <v>#DIV/0!</v>
      </c>
      <c r="S63" s="145"/>
      <c r="T63" s="145" t="e">
        <f>T25/IS!T13</f>
        <v>#DIV/0!</v>
      </c>
      <c r="U63" s="145" t="e">
        <f>U25/IS!U13</f>
        <v>#DIV/0!</v>
      </c>
      <c r="V63" s="145" t="e">
        <f>V25/IS!V13</f>
        <v>#DIV/0!</v>
      </c>
      <c r="W63" s="145" t="e">
        <f>W25/IS!W13</f>
        <v>#DIV/0!</v>
      </c>
      <c r="X63" s="145"/>
      <c r="Y63" s="145" t="e">
        <f>Y25/IS!Y13</f>
        <v>#DIV/0!</v>
      </c>
      <c r="Z63" s="145" t="e">
        <f>Z25/IS!Z13</f>
        <v>#DIV/0!</v>
      </c>
      <c r="AA63" s="145" t="e">
        <f>AA25/IS!AA13</f>
        <v>#DIV/0!</v>
      </c>
      <c r="AB63" s="145" t="e">
        <f>AB25/IS!AB13</f>
        <v>#DIV/0!</v>
      </c>
      <c r="AC63" s="145"/>
      <c r="AD63" s="145">
        <f>AD25/IS!AD13</f>
        <v>0</v>
      </c>
      <c r="AE63" s="145">
        <f>AE25/IS!AE13</f>
        <v>0</v>
      </c>
      <c r="AF63" s="145">
        <f>AF25/IS!AF13</f>
        <v>0</v>
      </c>
      <c r="AG63" s="145">
        <f>AG25/IS!AG13</f>
        <v>0.18343028332684014</v>
      </c>
      <c r="AH63" s="145"/>
      <c r="AI63" s="145">
        <f>AI25/IS!AI13</f>
        <v>0.19921955226945984</v>
      </c>
      <c r="AJ63" s="145">
        <f>AJ25/IS!AJ13</f>
        <v>0.18036565216350184</v>
      </c>
      <c r="AK63" s="145">
        <f>AK25/IS!AK13</f>
        <v>0.12707907054965384</v>
      </c>
      <c r="AL63" s="145">
        <f>AL25/IS!AL13</f>
        <v>0.17852922916708389</v>
      </c>
      <c r="AN63" s="145">
        <f>AN25/IS!AN13</f>
        <v>0.19211822660098521</v>
      </c>
      <c r="AO63" s="145">
        <f>AO25/IS!AO13</f>
        <v>0.2155662699692715</v>
      </c>
      <c r="AP63" s="145">
        <f>AP25/IS!AP13</f>
        <v>0.18456765877628237</v>
      </c>
      <c r="AQ63" s="145">
        <f>AQ25/IS!AQ13</f>
        <v>0.19769002710125685</v>
      </c>
      <c r="AS63" s="145">
        <f>AS25/IS!AS13</f>
        <v>0.15647252514165855</v>
      </c>
      <c r="AT63" s="145">
        <f>AT25/IS!AT13</f>
        <v>0.16047503134049659</v>
      </c>
      <c r="AU63" s="145">
        <f>AU25/IS!AU13</f>
        <v>0.15604181519522201</v>
      </c>
      <c r="AV63" s="145">
        <f>AV25/IS!AV13</f>
        <v>0.15448203519162307</v>
      </c>
      <c r="AX63" s="145">
        <f>AX25/IS!AX13</f>
        <v>0.16082186757852637</v>
      </c>
      <c r="AY63" s="145">
        <f>AY25/IS!AY13</f>
        <v>0.15984753166980564</v>
      </c>
      <c r="AZ63" s="145">
        <f>AZ25/IS!AZ13</f>
        <v>0.14861686310528854</v>
      </c>
      <c r="BA63" s="145">
        <f>BA25/IS!BA13</f>
        <v>0.15732196106248322</v>
      </c>
      <c r="BC63" s="145">
        <f>BC25/IS!BC13</f>
        <v>0.15786863079505073</v>
      </c>
      <c r="BD63" s="145">
        <f>BD25/IS!BD13</f>
        <v>0.14586681753307704</v>
      </c>
      <c r="BE63" s="145">
        <f>BE25/IS!BE13</f>
        <v>0.14908213174109128</v>
      </c>
      <c r="BF63" s="145">
        <f>BF25/IS!BF13</f>
        <v>0.15310896697272186</v>
      </c>
      <c r="BH63" s="145">
        <f>BH25/IS!BH13</f>
        <v>0.15374485173604602</v>
      </c>
      <c r="BI63" s="145">
        <f>BI25/IS!BI13</f>
        <v>0.15900984023254766</v>
      </c>
      <c r="BJ63" s="145">
        <f>BJ25/IS!BJ13</f>
        <v>0.14226015496394312</v>
      </c>
      <c r="BK63" s="145">
        <f>BK25/IS!BK13</f>
        <v>0.14604020853862934</v>
      </c>
      <c r="BM63" s="145">
        <f>BM25/IS!BM13</f>
        <v>0.13975677808466264</v>
      </c>
      <c r="BN63" s="145">
        <f>BN25/IS!BN13</f>
        <v>0.12669508047938458</v>
      </c>
      <c r="BO63" s="145">
        <f>BO25/IS!BO13</f>
        <v>0.12531596937018097</v>
      </c>
      <c r="BP63" s="145">
        <f>BP25/IS!BP13</f>
        <v>0.12828179508716242</v>
      </c>
      <c r="BR63" s="145">
        <f>BR25/IS!BR13</f>
        <v>0.13249717804136429</v>
      </c>
      <c r="BS63" s="145">
        <f>BS25/IS!BS13</f>
        <v>0.12562387901618213</v>
      </c>
      <c r="BT63" s="145">
        <f>BT25/IS!BT13</f>
        <v>0.14644223131911774</v>
      </c>
      <c r="BU63" s="834">
        <v>0.13</v>
      </c>
      <c r="BW63" s="834">
        <v>0.16</v>
      </c>
      <c r="BX63" s="834">
        <v>0.16</v>
      </c>
      <c r="BY63" s="834">
        <v>0.14000000000000001</v>
      </c>
      <c r="BZ63" s="834">
        <v>0.14000000000000001</v>
      </c>
    </row>
    <row r="64" spans="2:79">
      <c r="C64" s="81" t="s">
        <v>221</v>
      </c>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f>AD26/IS!AD13</f>
        <v>0</v>
      </c>
      <c r="AE64" s="145">
        <f>AE26/IS!AE13</f>
        <v>0</v>
      </c>
      <c r="AF64" s="145">
        <f>AF26/IS!AF13</f>
        <v>0</v>
      </c>
      <c r="AG64" s="145">
        <f>AG26/IS!AG13</f>
        <v>0.3415774413262222</v>
      </c>
      <c r="AH64" s="145"/>
      <c r="AI64" s="145">
        <f>AI26/IS!AI13</f>
        <v>0.21760756828917643</v>
      </c>
      <c r="AJ64" s="145">
        <f>AJ26/IS!AJ13</f>
        <v>0.30657790761715475</v>
      </c>
      <c r="AK64" s="145">
        <f>AK26/IS!AK13</f>
        <v>0.30095579785295851</v>
      </c>
      <c r="AL64" s="145">
        <f>AL26/IS!AL13</f>
        <v>0.38828530230508884</v>
      </c>
      <c r="AN64" s="145">
        <f>AN26/IS!AN13</f>
        <v>0.26959927463755246</v>
      </c>
      <c r="AO64" s="145">
        <f>AO26/IS!AO13</f>
        <v>0.33945639441115055</v>
      </c>
      <c r="AP64" s="145">
        <f>AP26/IS!AP13</f>
        <v>0.28400573943295043</v>
      </c>
      <c r="AQ64" s="145">
        <f>AQ26/IS!AQ13</f>
        <v>0.30262100074573928</v>
      </c>
      <c r="AS64" s="145">
        <f>AS26/IS!AS13</f>
        <v>0.27491019032580627</v>
      </c>
      <c r="AT64" s="145">
        <f>AT26/IS!AT13</f>
        <v>0.3261837064483985</v>
      </c>
      <c r="AU64" s="145">
        <f>AU26/IS!AU13</f>
        <v>0.29828712299861854</v>
      </c>
      <c r="AV64" s="145">
        <f>AV26/IS!AV13</f>
        <v>0.36240131075103621</v>
      </c>
      <c r="AX64" s="145">
        <f>AX26/IS!AX13</f>
        <v>0.27637194666985021</v>
      </c>
      <c r="AY64" s="145">
        <f>AY26/IS!AY13</f>
        <v>0.27859855737294958</v>
      </c>
      <c r="AZ64" s="145">
        <f>AZ26/IS!AZ13</f>
        <v>0.26535438700700137</v>
      </c>
      <c r="BA64" s="145">
        <f>BA26/IS!BA13</f>
        <v>0.27574944734069295</v>
      </c>
      <c r="BC64" s="145">
        <f>BC26/IS!BC13</f>
        <v>0.23394916187072357</v>
      </c>
      <c r="BD64" s="145">
        <f>BD26/IS!BD13</f>
        <v>0.24070210741516979</v>
      </c>
      <c r="BE64" s="145">
        <f>BE26/IS!BE13</f>
        <v>0.22665435509084178</v>
      </c>
      <c r="BF64" s="145">
        <f>BF26/IS!BF13</f>
        <v>0.24733010297524471</v>
      </c>
      <c r="BH64" s="145">
        <f>BH26/IS!BH13</f>
        <v>0.214684874838975</v>
      </c>
      <c r="BI64" s="145">
        <f>BI26/IS!BI13</f>
        <v>0.23592564640599575</v>
      </c>
      <c r="BJ64" s="145">
        <f>BJ26/IS!BJ13</f>
        <v>0.22755028761273577</v>
      </c>
      <c r="BK64" s="145">
        <f>BK26/IS!BK13</f>
        <v>0.27410140008366252</v>
      </c>
      <c r="BM64" s="145">
        <f>BM26/IS!BM13</f>
        <v>0.21691561918719351</v>
      </c>
      <c r="BN64" s="145">
        <f>BN26/IS!BN13</f>
        <v>0.24265821770125282</v>
      </c>
      <c r="BO64" s="145">
        <f>BO26/IS!BO13</f>
        <v>0.2103534617524708</v>
      </c>
      <c r="BP64" s="145">
        <f>BP26/IS!BP13</f>
        <v>0.29257895631830899</v>
      </c>
      <c r="BR64" s="145">
        <f>BR26/IS!BR13</f>
        <v>0.22389197201874148</v>
      </c>
      <c r="BS64" s="145">
        <f>BS26/IS!BS13</f>
        <v>0.25979970923116125</v>
      </c>
      <c r="BT64" s="145">
        <f>BT26/IS!BT13</f>
        <v>0.22115476263212561</v>
      </c>
      <c r="BU64" s="834">
        <v>0.3</v>
      </c>
      <c r="BW64" s="834">
        <v>0.26</v>
      </c>
      <c r="BX64" s="834">
        <v>0.26</v>
      </c>
      <c r="BY64" s="834">
        <v>0.27</v>
      </c>
      <c r="BZ64" s="834">
        <v>0.28000000000000003</v>
      </c>
    </row>
    <row r="65" spans="3:79">
      <c r="C65" s="81" t="s">
        <v>243</v>
      </c>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c r="AH65" s="145"/>
      <c r="AI65" s="145">
        <f>AI28/IS!AI13</f>
        <v>0</v>
      </c>
      <c r="AJ65" s="145">
        <f>AJ28/IS!AJ13</f>
        <v>0</v>
      </c>
      <c r="AK65" s="145">
        <f>AK28/IS!AK13</f>
        <v>9.8517252011099593E-2</v>
      </c>
      <c r="AL65" s="145">
        <f>AL28/IS!AL13</f>
        <v>0</v>
      </c>
      <c r="AN65" s="145">
        <f>AN28/IS!AN13</f>
        <v>7.9084136435441807E-2</v>
      </c>
      <c r="AO65" s="145">
        <f>AO28/IS!AO13</f>
        <v>7.2971665280206446E-2</v>
      </c>
      <c r="AP65" s="145">
        <f>AP28/IS!AP13</f>
        <v>7.5121642311484479E-2</v>
      </c>
      <c r="AQ65" s="145">
        <f>AQ28/IS!AQ13</f>
        <v>7.5403335819130946E-2</v>
      </c>
      <c r="AS65" s="145">
        <f>AS28/IS!AS13</f>
        <v>9.2967742587124647E-2</v>
      </c>
      <c r="AT65" s="145">
        <f>AT28/IS!AT13</f>
        <v>8.8878433939493115E-2</v>
      </c>
      <c r="AU65" s="145">
        <f>AU28/IS!AU13</f>
        <v>7.9997806347490222E-2</v>
      </c>
      <c r="AV65" s="145">
        <f>AV28/IS!AV13</f>
        <v>7.6516948326518106E-2</v>
      </c>
      <c r="AX65" s="145">
        <f>AX28/IS!AX13</f>
        <v>7.4139055764712899E-2</v>
      </c>
      <c r="AY65" s="145">
        <f>AY28/IS!AY13</f>
        <v>6.8284477301677859E-2</v>
      </c>
      <c r="AZ65" s="145">
        <f>AZ28/IS!AZ13</f>
        <v>6.4583665619849559E-2</v>
      </c>
      <c r="BA65" s="145">
        <f>BA28/IS!BA13</f>
        <v>6.439772187291247E-2</v>
      </c>
      <c r="BC65" s="145">
        <f>BC28/IS!BC13</f>
        <v>6.334891590169392E-2</v>
      </c>
      <c r="BD65" s="145">
        <f>BD28/IS!BD13</f>
        <v>6.9881256991500912E-2</v>
      </c>
      <c r="BE65" s="145">
        <f>BE28/IS!BE13</f>
        <v>5.3779999783101433E-2</v>
      </c>
      <c r="BF65" s="145">
        <f>BF28/IS!BF13</f>
        <v>3.6470399165524518E-2</v>
      </c>
      <c r="BH65" s="145">
        <f>BH28/IS!BH13</f>
        <v>3.4385262508542638E-2</v>
      </c>
      <c r="BI65" s="145">
        <f>BI28/IS!BI13</f>
        <v>3.3522518238675442E-2</v>
      </c>
      <c r="BJ65" s="145">
        <f>BJ28/IS!BJ13</f>
        <v>3.0982794633513274E-2</v>
      </c>
      <c r="BK65" s="145">
        <f>BK28/IS!BK13</f>
        <v>3.1204992798847815E-2</v>
      </c>
      <c r="BM65" s="145">
        <f>BM28/IS!BM13</f>
        <v>2.9486782030325235E-2</v>
      </c>
      <c r="BN65" s="145">
        <f>BN28/IS!BN13</f>
        <v>2.6859069028717698E-2</v>
      </c>
      <c r="BO65" s="145">
        <f>BO28/IS!BO13</f>
        <v>2.5843247396730346E-2</v>
      </c>
      <c r="BP65" s="145">
        <f>BP28/IS!BP13</f>
        <v>2.4575782091382694E-2</v>
      </c>
      <c r="BR65" s="145">
        <f>BR28/IS!BR13</f>
        <v>2.8566602152283627E-2</v>
      </c>
      <c r="BS65" s="145">
        <f>BS28/IS!BS13</f>
        <v>2.6460214129766835E-2</v>
      </c>
      <c r="BT65" s="145">
        <f>BT28/IS!BT13</f>
        <v>1.9356021262296085E-2</v>
      </c>
      <c r="BU65" s="834">
        <v>2.5000000000000001E-2</v>
      </c>
      <c r="BW65" s="834">
        <v>0.03</v>
      </c>
      <c r="BX65" s="834">
        <v>0.03</v>
      </c>
      <c r="BY65" s="834">
        <v>0.03</v>
      </c>
      <c r="BZ65" s="834">
        <v>0.03</v>
      </c>
    </row>
    <row r="66" spans="3:79">
      <c r="C66" s="81" t="s">
        <v>390</v>
      </c>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f>AI30/IS!AI13</f>
        <v>1.8129364345861574</v>
      </c>
      <c r="AJ66" s="145">
        <f>AJ30/IS!AJ13</f>
        <v>1.7344172792797108</v>
      </c>
      <c r="AK66" s="145">
        <f>AK30/IS!AK13</f>
        <v>1.7749194158701684</v>
      </c>
      <c r="AL66" s="145">
        <f>AL30/IS!AL13</f>
        <v>1.9078565277471813</v>
      </c>
      <c r="AN66" s="145">
        <f>AN30/IS!AN13</f>
        <v>1.8015348519830625</v>
      </c>
      <c r="AO66" s="145">
        <f>AO30/IS!AO13</f>
        <v>1.7093102218902263</v>
      </c>
      <c r="AP66" s="145">
        <f>AP30/IS!AP13</f>
        <v>1.6983511154219204</v>
      </c>
      <c r="AQ66" s="145">
        <f>AQ30/IS!AQ13</f>
        <v>1.8463777078520889</v>
      </c>
      <c r="AS66" s="145">
        <f>AS30/IS!AS13</f>
        <v>1.8596410306480773</v>
      </c>
      <c r="AT66" s="145">
        <f>AT30/IS!AT13</f>
        <v>1.8235376626564468</v>
      </c>
      <c r="AU66" s="145">
        <f>AU30/IS!AU13</f>
        <v>1.7919660088320628</v>
      </c>
      <c r="AV66" s="145">
        <f>AV30/IS!AV13</f>
        <v>1.8093423501617552</v>
      </c>
      <c r="AX66" s="145">
        <f>AX30/IS!AX13</f>
        <v>1.7690959712457204</v>
      </c>
      <c r="AY66" s="145">
        <f>AY30/IS!AY13</f>
        <v>1.7869096834191667</v>
      </c>
      <c r="AZ66" s="145">
        <f>AZ30/IS!AZ13</f>
        <v>1.7235101189264899</v>
      </c>
      <c r="BA66" s="145">
        <f>BA30/IS!BA13</f>
        <v>1.7731428236930726</v>
      </c>
      <c r="BC66" s="145">
        <f>BC30/IS!BC13</f>
        <v>1.7828236157447357</v>
      </c>
      <c r="BD66" s="145">
        <f>BD30/IS!BD13</f>
        <v>1.7258560168696078</v>
      </c>
      <c r="BE66" s="145">
        <f>BE30/IS!BE13</f>
        <v>1.6859169309472426</v>
      </c>
      <c r="BF66" s="145">
        <f>BF30/IS!BF13</f>
        <v>1.7782135796329763</v>
      </c>
      <c r="BH66" s="145">
        <f>BH30/IS!BH13</f>
        <v>1.7997967909910673</v>
      </c>
      <c r="BI66" s="145">
        <f>BI30/IS!BI13</f>
        <v>1.7572107659443903</v>
      </c>
      <c r="BJ66" s="145">
        <f>BJ30/IS!BJ13</f>
        <v>1.719821364579303</v>
      </c>
      <c r="BK66" s="145">
        <f>BK30/IS!BK13</f>
        <v>1.8530108677037449</v>
      </c>
      <c r="BM66" s="145">
        <f>BM30/IS!BM13</f>
        <v>1.8505538019277381</v>
      </c>
      <c r="BN66" s="145">
        <f>BN30/IS!BN13</f>
        <v>1.7765177092688176</v>
      </c>
      <c r="BO66" s="145">
        <f>BO30/IS!BO13</f>
        <v>1.7325309345274369</v>
      </c>
      <c r="BP66" s="145">
        <f>BP30/IS!BP13</f>
        <v>1.8749607086358553</v>
      </c>
      <c r="BR66" s="145">
        <f>BR30/IS!BR13</f>
        <v>1.8632495868547798</v>
      </c>
      <c r="BS66" s="145">
        <f>BS30/IS!BS13</f>
        <v>1.7936153258159764</v>
      </c>
      <c r="BT66" s="145">
        <f>BT30/IS!BT13</f>
        <v>1.7652581413820492</v>
      </c>
      <c r="BU66" s="834">
        <v>1.94</v>
      </c>
      <c r="BW66" s="834">
        <v>1.95</v>
      </c>
      <c r="BX66" s="834">
        <v>1.88</v>
      </c>
      <c r="BY66" s="834">
        <v>1.83</v>
      </c>
      <c r="BZ66" s="834">
        <v>1.99</v>
      </c>
    </row>
    <row r="67" spans="3:79">
      <c r="C67" s="81" t="s">
        <v>391</v>
      </c>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c r="AH67" s="145"/>
      <c r="AI67" s="145">
        <f>AI32/IS!AI13</f>
        <v>0</v>
      </c>
      <c r="AJ67" s="145">
        <f>AJ32/IS!AJ13</f>
        <v>0</v>
      </c>
      <c r="AK67" s="145">
        <f>AK32/IS!AK13</f>
        <v>0</v>
      </c>
      <c r="AL67" s="145">
        <f>AL32/IS!AL13</f>
        <v>0</v>
      </c>
      <c r="AN67" s="145">
        <f>AN32/IS!AN13</f>
        <v>0.72339013469681535</v>
      </c>
      <c r="AO67" s="145">
        <f>AO32/IS!AO13</f>
        <v>0.63873232263212398</v>
      </c>
      <c r="AP67" s="145">
        <f>AP32/IS!AP13</f>
        <v>0.60264847576372138</v>
      </c>
      <c r="AQ67" s="145">
        <f>AQ32/IS!AQ13</f>
        <v>0.59088742974590303</v>
      </c>
      <c r="AS67" s="145">
        <f>AS32/IS!AS13</f>
        <v>0.58498335112131628</v>
      </c>
      <c r="AT67" s="145">
        <f>AT32/IS!AT13</f>
        <v>0.51974670449929716</v>
      </c>
      <c r="AU67" s="145">
        <f>AU32/IS!AU13</f>
        <v>0.44154568934224375</v>
      </c>
      <c r="AV67" s="145">
        <f>AV32/IS!AV13</f>
        <v>0.38455504550961017</v>
      </c>
      <c r="AX67" s="145">
        <f>AX32/IS!AX13</f>
        <v>0.33256302789727932</v>
      </c>
      <c r="AY67" s="145">
        <f>AY32/IS!AY13</f>
        <v>0.28529200303217389</v>
      </c>
      <c r="AZ67" s="145">
        <f>AZ32/IS!AZ13</f>
        <v>0.24976946190667379</v>
      </c>
      <c r="BA67" s="145">
        <f>BA32/IS!BA13</f>
        <v>0.21751706184963535</v>
      </c>
      <c r="BC67" s="145">
        <f>BC32/IS!BC13</f>
        <v>0.19530756320792536</v>
      </c>
      <c r="BD67" s="145">
        <f>BD32/IS!BD13</f>
        <v>0.14542161161328482</v>
      </c>
      <c r="BE67" s="145">
        <f>BE32/IS!BE13</f>
        <v>0.12585849227608709</v>
      </c>
      <c r="BF67" s="145">
        <f>BF32/IS!BF13</f>
        <v>0.21430130871954103</v>
      </c>
      <c r="BH67" s="145">
        <f>BH32/IS!BH13</f>
        <v>0.2059955729465911</v>
      </c>
      <c r="BI67" s="145">
        <f>BI32/IS!BI13</f>
        <v>0.1901242861941552</v>
      </c>
      <c r="BJ67" s="145">
        <f>BJ32/IS!BJ13</f>
        <v>0.17782305213578692</v>
      </c>
      <c r="BK67" s="145">
        <f>BK32/IS!BK13</f>
        <v>0.16960327687517723</v>
      </c>
      <c r="BM67" s="145">
        <f>BM32/IS!BM13</f>
        <v>0.16549799898540105</v>
      </c>
      <c r="BN67" s="145">
        <f>BN32/IS!BN13</f>
        <v>0.15737466152736246</v>
      </c>
      <c r="BO67" s="145">
        <f>BO32/IS!BO13</f>
        <v>0.14722980313187251</v>
      </c>
      <c r="BP67" s="145">
        <f>BP32/IS!BP13</f>
        <v>0.13571623647990602</v>
      </c>
      <c r="BQ67" s="834"/>
      <c r="BR67" s="145">
        <f>BR32/IS!BR13</f>
        <v>0.14551354409195788</v>
      </c>
      <c r="BS67" s="145">
        <f>BS32/IS!BS13</f>
        <v>0.13209123746621437</v>
      </c>
      <c r="BT67" s="145">
        <f>BT32/IS!BT13</f>
        <v>0.16439542982831307</v>
      </c>
      <c r="BU67" s="834">
        <v>0.14499999999999999</v>
      </c>
      <c r="BW67" s="834">
        <v>0.14499999999999999</v>
      </c>
      <c r="BX67" s="834">
        <v>0.14499999999999999</v>
      </c>
      <c r="BY67" s="834">
        <v>0.14499999999999999</v>
      </c>
      <c r="BZ67" s="834">
        <v>0.14499999999999999</v>
      </c>
    </row>
    <row r="68" spans="3:79">
      <c r="C68" s="81" t="s">
        <v>392</v>
      </c>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c r="AH68" s="145"/>
      <c r="AI68" s="145">
        <f>AI34/IS!AI13</f>
        <v>5.1762425549394128E-2</v>
      </c>
      <c r="AJ68" s="145">
        <f>AJ34/IS!AJ13</f>
        <v>4.6113598812288978E-2</v>
      </c>
      <c r="AK68" s="145">
        <f>AK34/IS!AK13</f>
        <v>3.9997757658995992E-2</v>
      </c>
      <c r="AL68" s="145">
        <f>AL34/IS!AL13</f>
        <v>3.8611739731239859E-2</v>
      </c>
      <c r="AN68" s="145">
        <f>AN34/IS!AN13</f>
        <v>3.5454893859657326E-2</v>
      </c>
      <c r="AO68" s="145">
        <f>AO34/IS!AO13</f>
        <v>3.3037366517834406E-2</v>
      </c>
      <c r="AP68" s="145">
        <f>AP34/IS!AP13</f>
        <v>3.7430561678864299E-2</v>
      </c>
      <c r="AQ68" s="145">
        <f>AQ34/IS!AQ13</f>
        <v>4.1754124302006222E-2</v>
      </c>
      <c r="AS68" s="145">
        <f>AS34/IS!AS13</f>
        <v>3.8001191850971491E-2</v>
      </c>
      <c r="AT68" s="145">
        <f>AT34/IS!AT13</f>
        <v>3.4589972794403422E-2</v>
      </c>
      <c r="AU68" s="145">
        <f>AU34/IS!AU13</f>
        <v>3.8433314269448425E-2</v>
      </c>
      <c r="AV68" s="145">
        <f>AV34/IS!AV13</f>
        <v>3.8273558939702669E-2</v>
      </c>
      <c r="AX68" s="145">
        <f>AX34/IS!AX13</f>
        <v>3.8240974848532651E-2</v>
      </c>
      <c r="AY68" s="145">
        <f>AY34/IS!AY13</f>
        <v>3.5436578332460673E-2</v>
      </c>
      <c r="AZ68" s="145">
        <f>AZ34/IS!AZ13</f>
        <v>3.129451493501851E-2</v>
      </c>
      <c r="BA68" s="145">
        <f>BA34/IS!BA13</f>
        <v>2.8795099409808067E-2</v>
      </c>
      <c r="BC68" s="145">
        <f>BC34/IS!BC13</f>
        <v>2.682896998770155E-2</v>
      </c>
      <c r="BD68" s="145">
        <f>BD34/IS!BD13</f>
        <v>2.3513944428014865E-2</v>
      </c>
      <c r="BE68" s="145">
        <f>BE34/IS!BE13</f>
        <v>2.3614056886297124E-2</v>
      </c>
      <c r="BF68" s="145">
        <f>BF34/IS!BF13</f>
        <v>2.566042427256298E-2</v>
      </c>
      <c r="BH68" s="145">
        <f>BH34/IS!BH13</f>
        <v>2.6784580306869796E-2</v>
      </c>
      <c r="BI68" s="145">
        <f>BI34/IS!BI13</f>
        <v>3.175718022879595E-2</v>
      </c>
      <c r="BJ68" s="145">
        <f>BJ34/IS!BJ13</f>
        <v>3.1508192929680864E-2</v>
      </c>
      <c r="BK68" s="145">
        <f>BK34/IS!BK13</f>
        <v>3.0854059456530587E-2</v>
      </c>
      <c r="BM68" s="145">
        <f>BM34/IS!BM13</f>
        <v>3.3594498619018094E-2</v>
      </c>
      <c r="BN68" s="145">
        <f>BN34/IS!BN13</f>
        <v>3.1276026558808304E-2</v>
      </c>
      <c r="BO68" s="145">
        <f>BO34/IS!BO13</f>
        <v>3.0379428208049602E-2</v>
      </c>
      <c r="BP68" s="145">
        <f>BP34/IS!BP13</f>
        <v>2.7726820671637561E-2</v>
      </c>
      <c r="BR68" s="145">
        <f>BR34/IS!BR13</f>
        <v>3.1891406317520764E-2</v>
      </c>
      <c r="BS68" s="145">
        <f>BS34/IS!BS13</f>
        <v>3.4257765076763973E-2</v>
      </c>
      <c r="BT68" s="145">
        <f>BT34/IS!BT13</f>
        <v>3.4248182318079058E-2</v>
      </c>
      <c r="BU68" s="834">
        <v>4.5999999999999999E-2</v>
      </c>
      <c r="BW68" s="834">
        <v>3.4000000000000002E-2</v>
      </c>
      <c r="BX68" s="834">
        <v>3.4000000000000002E-2</v>
      </c>
      <c r="BY68" s="834">
        <v>0.04</v>
      </c>
      <c r="BZ68" s="834">
        <v>4.4999999999999998E-2</v>
      </c>
    </row>
    <row r="69" spans="3:79">
      <c r="C69" s="81" t="s">
        <v>393</v>
      </c>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t="e">
        <f>#REF!/IS!AD13</f>
        <v>#REF!</v>
      </c>
      <c r="AE69" s="145" t="e">
        <f>#REF!/IS!AE13</f>
        <v>#REF!</v>
      </c>
      <c r="AF69" s="145" t="e">
        <f>#REF!/IS!AF13</f>
        <v>#REF!</v>
      </c>
      <c r="AG69" s="145" t="e">
        <f>#REF!/IS!AG13</f>
        <v>#REF!</v>
      </c>
      <c r="AH69" s="145"/>
      <c r="AI69" s="145">
        <f>AI36/IS!AI13</f>
        <v>1.6077479975354282E-2</v>
      </c>
      <c r="AJ69" s="145">
        <f>AJ36/IS!AJ13</f>
        <v>1.4960130265079859E-2</v>
      </c>
      <c r="AK69" s="145">
        <f>AK36/IS!AK13</f>
        <v>1.4014631275051153E-2</v>
      </c>
      <c r="AL69" s="145">
        <f>AL36/IS!AL13</f>
        <v>2.106322472112631E-2</v>
      </c>
      <c r="AN69" s="145">
        <f>AN36/IS!AN13</f>
        <v>1.9942793580168441E-2</v>
      </c>
      <c r="AO69" s="145">
        <f>AO36/IS!AO13</f>
        <v>1.8123015805646573E-2</v>
      </c>
      <c r="AP69" s="145">
        <f>AP36/IS!AP13</f>
        <v>1.7134131189329143E-2</v>
      </c>
      <c r="AQ69" s="145">
        <f>AQ36/IS!AQ13</f>
        <v>1.7897742774513906E-2</v>
      </c>
      <c r="AS69" s="145">
        <f>AS36/IS!AS13</f>
        <v>1.620782648804614E-2</v>
      </c>
      <c r="AT69" s="145">
        <f>AT36/IS!AT13</f>
        <v>2.5539947809671868E-2</v>
      </c>
      <c r="AU69" s="145">
        <f>AU36/IS!AU13</f>
        <v>2.0824029896349919E-2</v>
      </c>
      <c r="AV69" s="145">
        <f>AV36/IS!AV13</f>
        <v>1.5001229989463865E-2</v>
      </c>
      <c r="AX69" s="145">
        <f>AX36/IS!AX13</f>
        <v>1.3822861016717902E-2</v>
      </c>
      <c r="AY69" s="145">
        <f>AY36/IS!AY13</f>
        <v>1.255069904111409E-2</v>
      </c>
      <c r="AZ69" s="145">
        <f>AZ36/IS!AZ13</f>
        <v>1.1694652066226307E-2</v>
      </c>
      <c r="BA69" s="145">
        <f>BA36/IS!BA13</f>
        <v>1.6039171665277845E-2</v>
      </c>
      <c r="BC69" s="145">
        <f>BC36/IS!BC13</f>
        <v>1.5422326106011294E-2</v>
      </c>
      <c r="BD69" s="145">
        <f>BD36/IS!BD13</f>
        <v>1.6591554909801604E-2</v>
      </c>
      <c r="BE69" s="145">
        <f>BE36/IS!BE13</f>
        <v>1.6112465005740064E-2</v>
      </c>
      <c r="BF69" s="145">
        <f>BF36/IS!BF13</f>
        <v>1.625741385374847E-2</v>
      </c>
      <c r="BH69" s="145">
        <f>BH36/IS!BH13</f>
        <v>1.8633540372670808E-2</v>
      </c>
      <c r="BI69" s="145">
        <f>BI36/IS!BI13</f>
        <v>2.0246129416435093E-2</v>
      </c>
      <c r="BJ69" s="145">
        <f>BJ36/IS!BJ13</f>
        <v>2.4499550984336562E-2</v>
      </c>
      <c r="BK69" s="145">
        <f>BK36/IS!BK13</f>
        <v>2.3575701936871304E-2</v>
      </c>
      <c r="BM69" s="145">
        <f>BM36/IS!BM13</f>
        <v>2.5417112902316668E-2</v>
      </c>
      <c r="BN69" s="145">
        <f>BN36/IS!BN13</f>
        <v>2.4621379378745617E-2</v>
      </c>
      <c r="BO69" s="145">
        <f>BO36/IS!BO13</f>
        <v>2.5572984287644738E-2</v>
      </c>
      <c r="BP69" s="145">
        <f>BP36/IS!BP13</f>
        <v>2.6532620849930178E-2</v>
      </c>
      <c r="BR69" s="145">
        <f>BR36/IS!BR13</f>
        <v>2.9307775510898915E-2</v>
      </c>
      <c r="BS69" s="145">
        <f>BS36/IS!BS13</f>
        <v>2.3811070199191642E-2</v>
      </c>
      <c r="BT69" s="145">
        <f>BT36/IS!BT13</f>
        <v>2.2602798313679964E-2</v>
      </c>
      <c r="BU69" s="834">
        <v>0.03</v>
      </c>
      <c r="BW69" s="834">
        <v>2.5000000000000001E-2</v>
      </c>
      <c r="BX69" s="834">
        <v>2.5000000000000001E-2</v>
      </c>
      <c r="BY69" s="834">
        <v>2.5000000000000001E-2</v>
      </c>
      <c r="BZ69" s="834">
        <v>2.5000000000000001E-2</v>
      </c>
    </row>
    <row r="70" spans="3:79">
      <c r="C70" s="81" t="s">
        <v>119</v>
      </c>
      <c r="E70" s="145" t="e">
        <f>E37/IS!E13</f>
        <v>#DIV/0!</v>
      </c>
      <c r="F70" s="145" t="e">
        <f>F37/IS!F13</f>
        <v>#DIV/0!</v>
      </c>
      <c r="G70" s="145" t="e">
        <f>G37/IS!G13</f>
        <v>#DIV/0!</v>
      </c>
      <c r="H70" s="145" t="e">
        <f>H37/IS!H13</f>
        <v>#DIV/0!</v>
      </c>
      <c r="I70" s="145"/>
      <c r="J70" s="145" t="e">
        <f>J37/IS!J13</f>
        <v>#DIV/0!</v>
      </c>
      <c r="K70" s="145" t="e">
        <f>K37/IS!K13</f>
        <v>#DIV/0!</v>
      </c>
      <c r="L70" s="145" t="e">
        <f>L37/IS!L13</f>
        <v>#DIV/0!</v>
      </c>
      <c r="M70" s="145" t="e">
        <f>M37/IS!M13</f>
        <v>#DIV/0!</v>
      </c>
      <c r="N70" s="145"/>
      <c r="O70" s="145"/>
      <c r="P70" s="145"/>
      <c r="Q70" s="145"/>
      <c r="R70" s="145" t="e">
        <f>R37/IS!R13</f>
        <v>#DIV/0!</v>
      </c>
      <c r="S70" s="145"/>
      <c r="T70" s="145" t="e">
        <f>T37/IS!T13</f>
        <v>#DIV/0!</v>
      </c>
      <c r="U70" s="145" t="e">
        <f>U37/IS!U13</f>
        <v>#DIV/0!</v>
      </c>
      <c r="V70" s="145" t="e">
        <f>V37/IS!V13</f>
        <v>#DIV/0!</v>
      </c>
      <c r="W70" s="145" t="e">
        <f>W37/IS!W13</f>
        <v>#DIV/0!</v>
      </c>
      <c r="X70" s="145"/>
      <c r="Y70" s="145" t="e">
        <f>Y37/IS!Y13</f>
        <v>#DIV/0!</v>
      </c>
      <c r="Z70" s="145" t="e">
        <f>Z37/IS!Z13</f>
        <v>#DIV/0!</v>
      </c>
      <c r="AA70" s="145" t="e">
        <f>AA37/IS!AA13</f>
        <v>#DIV/0!</v>
      </c>
      <c r="AB70" s="145" t="e">
        <f>AB37/IS!AB13</f>
        <v>#DIV/0!</v>
      </c>
      <c r="AC70" s="145"/>
      <c r="AD70" s="145">
        <f>AD37/IS!AD13</f>
        <v>0</v>
      </c>
      <c r="AE70" s="145">
        <f>AE37/IS!AE13</f>
        <v>0</v>
      </c>
      <c r="AF70" s="145">
        <f>AF37/IS!AF13</f>
        <v>0</v>
      </c>
      <c r="AG70" s="145">
        <f>AG37/IS!AG13</f>
        <v>2.6935529373832905E-2</v>
      </c>
      <c r="AH70" s="145"/>
      <c r="AI70" s="145">
        <f>AI37/IS!AI13</f>
        <v>2.8361829944547137E-2</v>
      </c>
      <c r="AJ70" s="145">
        <f>AJ37/IS!AJ13</f>
        <v>2.2766456741936256E-2</v>
      </c>
      <c r="AK70" s="145">
        <f>AK37/IS!AK13</f>
        <v>5.2549261428931807E-2</v>
      </c>
      <c r="AL70" s="145">
        <f>AL37/IS!AL13</f>
        <v>4.8545050367492439E-2</v>
      </c>
      <c r="AM70" s="244"/>
      <c r="AN70" s="145">
        <f>AN37/IS!AN13</f>
        <v>2.8486366738018902E-2</v>
      </c>
      <c r="AO70" s="145">
        <f>AO37/IS!AO13</f>
        <v>2.7702324160059761E-2</v>
      </c>
      <c r="AP70" s="145">
        <f>AP37/IS!AP13</f>
        <v>2.3867544147942701E-2</v>
      </c>
      <c r="AQ70" s="145">
        <f>AQ37/IS!AQ13</f>
        <v>2.4354753633205405E-2</v>
      </c>
      <c r="AR70" s="244"/>
      <c r="AS70" s="145">
        <f>AS37/IS!AS13</f>
        <v>2.3894255210981191E-2</v>
      </c>
      <c r="AT70" s="145">
        <f>AT37/IS!AT13</f>
        <v>5.7967499393645407E-2</v>
      </c>
      <c r="AU70" s="145">
        <f>AU37/IS!AU13</f>
        <v>6.2855978878260124E-2</v>
      </c>
      <c r="AV70" s="145">
        <f>AV37/IS!AV13</f>
        <v>7.5024715826019148E-2</v>
      </c>
      <c r="AX70" s="145">
        <f>AX37/IS!AX13</f>
        <v>7.0295345337022835E-2</v>
      </c>
      <c r="AY70" s="145">
        <f>AY37/IS!AY13</f>
        <v>6.5101866975093972E-2</v>
      </c>
      <c r="AZ70" s="145">
        <f>AZ37/IS!AZ13</f>
        <v>5.8770255727702884E-2</v>
      </c>
      <c r="BA70" s="145">
        <f>BA37/IS!BA13</f>
        <v>4.0037670360244339E-2</v>
      </c>
      <c r="BC70" s="145">
        <f>BC37/IS!BC13</f>
        <v>3.7372683848260209E-2</v>
      </c>
      <c r="BD70" s="145">
        <f>BD37/IS!BD13</f>
        <v>3.5135908348655702E-2</v>
      </c>
      <c r="BE70" s="145">
        <f>BE37/IS!BE13</f>
        <v>3.378505042117054E-2</v>
      </c>
      <c r="BF70" s="145">
        <f>BF37/IS!BF13</f>
        <v>2.7464613630574793E-2</v>
      </c>
      <c r="BH70" s="145">
        <f>BH37/IS!BH13</f>
        <v>2.8214905622720703E-2</v>
      </c>
      <c r="BI70" s="145">
        <f>BI37/IS!BI13</f>
        <v>2.7881870676630501E-2</v>
      </c>
      <c r="BJ70" s="145">
        <f>BJ37/IS!BJ13</f>
        <v>2.7973176132640228E-2</v>
      </c>
      <c r="BK70" s="145">
        <f>BK37/IS!BK13</f>
        <v>2.9944440233244336E-2</v>
      </c>
      <c r="BM70" s="145">
        <f>BM37/IS!BM13</f>
        <v>3.5802660503917477E-2</v>
      </c>
      <c r="BN70" s="145">
        <f>BN37/IS!BN13</f>
        <v>3.8391254668646665E-2</v>
      </c>
      <c r="BO70" s="145">
        <f>BO37/IS!BO13</f>
        <v>3.8015685858880266E-2</v>
      </c>
      <c r="BP70" s="145">
        <f>BP37/IS!BP13</f>
        <v>3.9463988498580356E-2</v>
      </c>
      <c r="BR70" s="145">
        <f>BR37/IS!BR13</f>
        <v>4.3619230698719577E-2</v>
      </c>
      <c r="BS70" s="145">
        <f>BS37/IS!BS13</f>
        <v>4.153448008832978E-2</v>
      </c>
      <c r="BT70" s="145">
        <f>BT37/IS!BT13</f>
        <v>4.3645139610191237E-2</v>
      </c>
      <c r="BU70" s="834">
        <v>0.04</v>
      </c>
      <c r="BW70" s="834">
        <v>0.04</v>
      </c>
      <c r="BX70" s="834">
        <v>0.04</v>
      </c>
      <c r="BY70" s="834">
        <v>0.04</v>
      </c>
      <c r="BZ70" s="834">
        <v>0.04</v>
      </c>
    </row>
    <row r="71" spans="3:79">
      <c r="M71" s="145"/>
      <c r="N71" s="145"/>
      <c r="O71" s="145"/>
      <c r="P71" s="145"/>
      <c r="Q71" s="145"/>
      <c r="R71" s="145"/>
      <c r="S71" s="145"/>
    </row>
    <row r="73" spans="3:79">
      <c r="C73" s="81" t="s">
        <v>110</v>
      </c>
      <c r="BM73" s="1248">
        <f>CF!BM48</f>
        <v>232073</v>
      </c>
      <c r="BN73" s="1248">
        <f>CF!BN48</f>
        <v>197928</v>
      </c>
      <c r="BO73" s="1248">
        <f>CF!BO48</f>
        <v>210713</v>
      </c>
      <c r="BP73" s="1248">
        <f>CF!BP48</f>
        <v>279570</v>
      </c>
      <c r="BQ73" s="1248">
        <f>CF!BQ48</f>
        <v>920284</v>
      </c>
      <c r="BR73" s="1248">
        <f>CF!BR48</f>
        <v>227815</v>
      </c>
      <c r="BS73" s="1248">
        <f>CF!BS48</f>
        <v>217648</v>
      </c>
      <c r="BT73" s="1248">
        <f>CF!BT48</f>
        <v>262900</v>
      </c>
      <c r="BU73" s="1248">
        <f>CF!BU48</f>
        <v>271781.32637919998</v>
      </c>
      <c r="BV73" s="1248">
        <f>CF!BV48</f>
        <v>980144.32637920068</v>
      </c>
      <c r="BW73" s="1248">
        <f>CF!BW48</f>
        <v>363553.26225093193</v>
      </c>
      <c r="BX73" s="1248">
        <f>CF!BX48</f>
        <v>269253.69819506106</v>
      </c>
      <c r="BY73" s="1248">
        <f>CF!BY48</f>
        <v>156796.84918621587</v>
      </c>
      <c r="BZ73" s="1248">
        <f>CF!BZ48</f>
        <v>295282.35513264872</v>
      </c>
      <c r="CA73" s="1248">
        <f>CF!CA48</f>
        <v>1084886.1647648572</v>
      </c>
    </row>
    <row r="74" spans="3:79">
      <c r="C74" s="81" t="s">
        <v>634</v>
      </c>
      <c r="U74" s="63"/>
      <c r="X74" s="63"/>
      <c r="AB74" s="75">
        <v>259000</v>
      </c>
      <c r="AG74" s="75"/>
      <c r="BM74" s="145">
        <f>CF!BM49</f>
        <v>0.32702919790316215</v>
      </c>
      <c r="BN74" s="145">
        <f>CF!BN49</f>
        <v>0.26891404799008733</v>
      </c>
      <c r="BO74" s="145">
        <f>CF!BO49</f>
        <v>0.27915662012135345</v>
      </c>
      <c r="BP74" s="145">
        <f>CF!BP49</f>
        <v>0.36015366143984168</v>
      </c>
      <c r="BQ74" s="145">
        <f>CF!BQ49</f>
        <v>0.30915844486197813</v>
      </c>
      <c r="BR74" s="145">
        <f>CF!BR49</f>
        <v>0.29832227684265389</v>
      </c>
      <c r="BS74" s="145">
        <f>CF!BS49</f>
        <v>0.27184388411213084</v>
      </c>
      <c r="BT74" s="145">
        <f>CF!BT49</f>
        <v>0.32125618622838636</v>
      </c>
      <c r="BU74" s="145">
        <f>CF!BU49</f>
        <v>0.32855079205788673</v>
      </c>
      <c r="BV74" s="145">
        <f>CF!BV49</f>
        <v>0.30535494150558351</v>
      </c>
      <c r="BW74" s="145">
        <f>CF!BW49</f>
        <v>0.45087298576230417</v>
      </c>
      <c r="BX74" s="145">
        <f>CF!BX49</f>
        <v>0.31836104168886914</v>
      </c>
      <c r="BY74" s="145">
        <f>CF!BY49</f>
        <v>0.18141055322747643</v>
      </c>
      <c r="BZ74" s="145">
        <f>CF!BZ49</f>
        <v>0.33792997763735394</v>
      </c>
      <c r="CA74" s="145">
        <f>CF!CA49</f>
        <v>0.32000660424222155</v>
      </c>
    </row>
    <row r="75" spans="3:79">
      <c r="AB75" s="103">
        <f>AB74-AB49</f>
        <v>226288</v>
      </c>
      <c r="AG75" s="103"/>
    </row>
    <row r="78" spans="3:79">
      <c r="U78" s="63"/>
      <c r="X78" s="63"/>
    </row>
    <row r="80" spans="3:79">
      <c r="U80" s="101"/>
      <c r="X80" s="101"/>
      <c r="Z80" s="63"/>
    </row>
    <row r="81" spans="21:26">
      <c r="U81" s="101"/>
      <c r="X81" s="101"/>
      <c r="Z81" s="63"/>
    </row>
  </sheetData>
  <pageMargins left="0.17" right="0.17" top="0.75" bottom="0.75" header="0.3" footer="0.3"/>
  <pageSetup scale="60" orientation="landscape" r:id="rId1"/>
  <ignoredErrors>
    <ignoredError sqref="X41:X42 AE12 AF12:AM12 AR12:BL12 AR31:BL31 AH39:BL42 AH31:AQ38 AR22:BL23 AR14:BD14 BG14 AR15:BD15 BG15 AR16:BD16 BG16 AR17:BD17 BG17 AR18:BD18 BG18 AR20:BD20 BG20 AR27:BD27 AR24:BD24 BG24 AR25:BD25 BG25 AR26:BD26 BG26 AR29:BL29 AR28:BD28 BG28 AR30:BD30 BG30 BG27 AR35:BG35 AR32:BD32 BG32 AR33:BD33 BG33 AR34:BD34 BG34 AR38:BE38 AR36:BD36 BG36 AR37:BD37 BG37 BG38:BL38 BL14 BL15 BL16 BL17 BL18 BL20 BL24 BL25 BL26 BL27 BL28 BL30 BL34 BL32 BL33 BL37 BL36"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A120"/>
  <sheetViews>
    <sheetView showGridLines="0" zoomScale="110" zoomScaleNormal="110" workbookViewId="0">
      <pane xSplit="3" ySplit="4" topLeftCell="BL44" activePane="bottomRight" state="frozen"/>
      <selection activeCell="B4" sqref="B4:BV87"/>
      <selection pane="topRight" activeCell="B4" sqref="B4:BV87"/>
      <selection pane="bottomLeft" activeCell="B4" sqref="B4:BV87"/>
      <selection pane="bottomRight" activeCell="BT73" sqref="BT73"/>
    </sheetView>
  </sheetViews>
  <sheetFormatPr defaultColWidth="9" defaultRowHeight="12.75" outlineLevelCol="2"/>
  <cols>
    <col min="1" max="1" width="1.5625" style="53" customWidth="1"/>
    <col min="2" max="2" width="2.0625" style="53" customWidth="1"/>
    <col min="3" max="3" width="43" style="53" customWidth="1"/>
    <col min="4" max="4" width="7.0625" style="53" hidden="1" customWidth="1" outlineLevel="1"/>
    <col min="5" max="9" width="7.5625" style="53" hidden="1" customWidth="1" outlineLevel="1"/>
    <col min="10" max="15" width="8" style="53" hidden="1" customWidth="1" outlineLevel="1"/>
    <col min="16" max="16" width="6.5" style="53" hidden="1" customWidth="1" outlineLevel="1"/>
    <col min="17" max="17" width="8" style="53" hidden="1" customWidth="1" outlineLevel="1"/>
    <col min="18" max="18" width="7.0625" style="53" hidden="1" customWidth="1" outlineLevel="1"/>
    <col min="19" max="19" width="7.5625" style="53" hidden="1" customWidth="1" outlineLevel="1"/>
    <col min="20" max="20" width="7.0625" style="53" hidden="1" customWidth="1" outlineLevel="2"/>
    <col min="21" max="21" width="7.5625" style="53" hidden="1" customWidth="1" outlineLevel="2"/>
    <col min="22" max="22" width="7.0625" style="53" hidden="1" customWidth="1" outlineLevel="1"/>
    <col min="23" max="23" width="7.5625" style="53" hidden="1" customWidth="1" outlineLevel="1"/>
    <col min="24" max="24" width="9.5625" style="53" hidden="1" customWidth="1" collapsed="1"/>
    <col min="25" max="28" width="9.5625" style="53" hidden="1" customWidth="1" outlineLevel="1"/>
    <col min="29" max="29" width="9.5625" style="53" hidden="1" customWidth="1" collapsed="1"/>
    <col min="30" max="33" width="9.5625" style="53" hidden="1" customWidth="1" outlineLevel="1"/>
    <col min="34" max="34" width="9.5625" style="53" hidden="1" customWidth="1" collapsed="1"/>
    <col min="35" max="38" width="9.5625" style="53" hidden="1" customWidth="1" outlineLevel="1"/>
    <col min="39" max="39" width="9.5625" style="53" customWidth="1" collapsed="1"/>
    <col min="40" max="43" width="9.5625" style="53" hidden="1" customWidth="1" outlineLevel="1"/>
    <col min="44" max="44" width="9.5625" style="53" customWidth="1" collapsed="1"/>
    <col min="45" max="48" width="9.5625" style="53" hidden="1" customWidth="1" outlineLevel="1"/>
    <col min="49" max="49" width="9.5625" style="53" customWidth="1" collapsed="1"/>
    <col min="50" max="53" width="9.5625" style="53" hidden="1" customWidth="1" outlineLevel="1"/>
    <col min="54" max="54" width="9.5625" style="53" customWidth="1" collapsed="1"/>
    <col min="55" max="58" width="9.5625" style="53" hidden="1" customWidth="1" outlineLevel="1"/>
    <col min="59" max="59" width="9.5625" style="53" customWidth="1" collapsed="1"/>
    <col min="60" max="63" width="9.5625" style="53" customWidth="1" outlineLevel="1"/>
    <col min="64" max="64" width="9.5625" style="53" customWidth="1"/>
    <col min="65" max="68" width="9.5625" style="53" customWidth="1" outlineLevel="1"/>
    <col min="69" max="69" width="9.5625" style="53" customWidth="1"/>
    <col min="70" max="73" width="9.5625" style="53" customWidth="1" outlineLevel="1"/>
    <col min="74" max="74" width="9.5625" style="53" customWidth="1"/>
    <col min="75" max="78" width="9.5625" style="53" customWidth="1" outlineLevel="1"/>
    <col min="79" max="79" width="9.5625" style="53" customWidth="1"/>
    <col min="80" max="16384" width="9" style="53"/>
  </cols>
  <sheetData>
    <row r="1" spans="1:79" ht="10.5" customHeight="1">
      <c r="A1" s="81"/>
      <c r="B1" s="81"/>
      <c r="C1" s="81"/>
      <c r="D1" s="81"/>
      <c r="E1" s="81"/>
      <c r="F1" s="81"/>
      <c r="G1" s="81"/>
      <c r="H1" s="81"/>
      <c r="I1" s="81"/>
      <c r="J1" s="81"/>
      <c r="K1" s="81"/>
      <c r="L1" s="81"/>
      <c r="M1" s="81"/>
      <c r="N1" s="81"/>
      <c r="O1" s="81"/>
      <c r="P1" s="81"/>
      <c r="Q1" s="81"/>
      <c r="R1" s="81"/>
      <c r="S1" s="81"/>
    </row>
    <row r="2" spans="1:79" ht="15">
      <c r="A2" s="81"/>
      <c r="B2" s="134" t="str">
        <f>IS!B2</f>
        <v>DocuSign, Inc (DOCU)</v>
      </c>
      <c r="E2" s="134"/>
      <c r="F2" s="134"/>
      <c r="G2" s="134"/>
      <c r="H2" s="134"/>
      <c r="I2" s="134"/>
      <c r="J2" s="81"/>
      <c r="K2" s="81"/>
      <c r="L2" s="81"/>
      <c r="M2" s="81"/>
      <c r="N2" s="100"/>
      <c r="O2" s="81"/>
      <c r="P2" s="81"/>
      <c r="Q2" s="81"/>
      <c r="R2" s="81"/>
      <c r="S2" s="81"/>
      <c r="AT2" s="130"/>
      <c r="BD2" s="1075">
        <f>BD48/AY48-1</f>
        <v>-0.34783684018524585</v>
      </c>
      <c r="BE2" s="1075">
        <f>BE48/AZ48-1</f>
        <v>-0.599417900665415</v>
      </c>
      <c r="BF2" s="1187">
        <f>BE48-AZ48</f>
        <v>-53959</v>
      </c>
      <c r="BH2" s="1187">
        <f>BH48-BC48</f>
        <v>40001</v>
      </c>
      <c r="BI2" s="1187">
        <f>BI33-BD33</f>
        <v>90137</v>
      </c>
      <c r="BN2" s="1187">
        <f>BN33-BI33</f>
        <v>9192</v>
      </c>
      <c r="BO2" s="1187">
        <f>BO33-BJ33</f>
        <v>-29851</v>
      </c>
      <c r="BR2" s="1187">
        <f>BR48-BM48</f>
        <v>-4258</v>
      </c>
      <c r="BV2" s="53">
        <v>28.3</v>
      </c>
    </row>
    <row r="3" spans="1:79" ht="5.55" customHeight="1" thickBot="1">
      <c r="A3" s="81"/>
      <c r="B3" s="81"/>
      <c r="C3" s="81"/>
      <c r="D3" s="81"/>
      <c r="E3" s="81"/>
      <c r="F3" s="81"/>
      <c r="G3" s="81"/>
      <c r="H3" s="81"/>
      <c r="I3" s="81"/>
      <c r="J3" s="81"/>
      <c r="K3" s="81"/>
      <c r="L3" s="81"/>
      <c r="M3" s="81"/>
      <c r="N3" s="81"/>
      <c r="O3" s="81"/>
      <c r="P3" s="81"/>
      <c r="Q3" s="81"/>
      <c r="R3" s="81"/>
      <c r="S3" s="81"/>
      <c r="BF3" s="1186"/>
    </row>
    <row r="4" spans="1:79" ht="13.5" thickBot="1">
      <c r="A4" s="81"/>
      <c r="B4" s="1169" t="s">
        <v>406</v>
      </c>
      <c r="C4" s="1171"/>
      <c r="D4" s="1171">
        <v>2012</v>
      </c>
      <c r="E4" s="1171" t="s">
        <v>102</v>
      </c>
      <c r="F4" s="1171" t="s">
        <v>101</v>
      </c>
      <c r="G4" s="1171" t="s">
        <v>100</v>
      </c>
      <c r="H4" s="1171" t="s">
        <v>99</v>
      </c>
      <c r="I4" s="1171">
        <v>2013</v>
      </c>
      <c r="J4" s="1171" t="s">
        <v>67</v>
      </c>
      <c r="K4" s="1171" t="s">
        <v>66</v>
      </c>
      <c r="L4" s="1171" t="s">
        <v>65</v>
      </c>
      <c r="M4" s="1171" t="s">
        <v>64</v>
      </c>
      <c r="N4" s="1171">
        <v>2014</v>
      </c>
      <c r="O4" s="1171" t="s">
        <v>63</v>
      </c>
      <c r="P4" s="1171" t="s">
        <v>62</v>
      </c>
      <c r="Q4" s="1171" t="s">
        <v>61</v>
      </c>
      <c r="R4" s="1171" t="s">
        <v>140</v>
      </c>
      <c r="S4" s="1171">
        <v>2015</v>
      </c>
      <c r="T4" s="1171" t="s">
        <v>155</v>
      </c>
      <c r="U4" s="1171" t="s">
        <v>156</v>
      </c>
      <c r="V4" s="1171" t="s">
        <v>164</v>
      </c>
      <c r="W4" s="1171" t="s">
        <v>165</v>
      </c>
      <c r="X4" s="1171">
        <v>2016</v>
      </c>
      <c r="Y4" s="1171" t="s">
        <v>179</v>
      </c>
      <c r="Z4" s="1171" t="s">
        <v>183</v>
      </c>
      <c r="AA4" s="1171" t="s">
        <v>184</v>
      </c>
      <c r="AB4" s="1171" t="s">
        <v>185</v>
      </c>
      <c r="AC4" s="1171">
        <v>2017</v>
      </c>
      <c r="AD4" s="1174" t="s">
        <v>186</v>
      </c>
      <c r="AE4" s="1172" t="s">
        <v>187</v>
      </c>
      <c r="AF4" s="1172" t="s">
        <v>189</v>
      </c>
      <c r="AG4" s="1175" t="s">
        <v>207</v>
      </c>
      <c r="AH4" s="1171">
        <v>2018</v>
      </c>
      <c r="AI4" s="1174" t="s">
        <v>208</v>
      </c>
      <c r="AJ4" s="1172" t="s">
        <v>212</v>
      </c>
      <c r="AK4" s="1172" t="s">
        <v>226</v>
      </c>
      <c r="AL4" s="1175" t="s">
        <v>227</v>
      </c>
      <c r="AM4" s="1171">
        <v>2019</v>
      </c>
      <c r="AN4" s="1174" t="s">
        <v>241</v>
      </c>
      <c r="AO4" s="1172" t="s">
        <v>245</v>
      </c>
      <c r="AP4" s="1172" t="s">
        <v>246</v>
      </c>
      <c r="AQ4" s="1175" t="s">
        <v>247</v>
      </c>
      <c r="AR4" s="1171">
        <v>2020</v>
      </c>
      <c r="AS4" s="1174" t="s">
        <v>254</v>
      </c>
      <c r="AT4" s="1172" t="s">
        <v>255</v>
      </c>
      <c r="AU4" s="1172" t="s">
        <v>399</v>
      </c>
      <c r="AV4" s="1175" t="s">
        <v>400</v>
      </c>
      <c r="AW4" s="1171">
        <v>2021</v>
      </c>
      <c r="AX4" s="1174" t="s">
        <v>408</v>
      </c>
      <c r="AY4" s="1172" t="s">
        <v>417</v>
      </c>
      <c r="AZ4" s="1172" t="s">
        <v>475</v>
      </c>
      <c r="BA4" s="1175" t="s">
        <v>569</v>
      </c>
      <c r="BB4" s="1171">
        <v>2022</v>
      </c>
      <c r="BC4" s="1174" t="s">
        <v>570</v>
      </c>
      <c r="BD4" s="1172" t="s">
        <v>579</v>
      </c>
      <c r="BE4" s="1172" t="s">
        <v>582</v>
      </c>
      <c r="BF4" s="1175" t="s">
        <v>589</v>
      </c>
      <c r="BG4" s="1171">
        <v>2023</v>
      </c>
      <c r="BH4" s="1174" t="str">
        <f>IS!BH4</f>
        <v>1Q24</v>
      </c>
      <c r="BI4" s="1174" t="str">
        <f>IS!BI4</f>
        <v>2Q24</v>
      </c>
      <c r="BJ4" s="1174" t="str">
        <f>IS!BJ4</f>
        <v>3Q24</v>
      </c>
      <c r="BK4" s="1174" t="str">
        <f>IS!BK4</f>
        <v>4Q24</v>
      </c>
      <c r="BL4" s="1182" t="str">
        <f>IS!BL4</f>
        <v>FY24</v>
      </c>
      <c r="BM4" s="1174" t="str">
        <f>IS!BM4</f>
        <v>1Q25</v>
      </c>
      <c r="BN4" s="1174" t="str">
        <f>IS!BN4</f>
        <v>2Q25</v>
      </c>
      <c r="BO4" s="1174" t="str">
        <f>IS!BO4</f>
        <v>3Q25</v>
      </c>
      <c r="BP4" s="1174" t="str">
        <f>IS!BP4</f>
        <v>4Q25</v>
      </c>
      <c r="BQ4" s="1182" t="str">
        <f>IS!BQ4</f>
        <v>FY25</v>
      </c>
      <c r="BR4" s="1174" t="str">
        <f>IS!BR4</f>
        <v>1Q26</v>
      </c>
      <c r="BS4" s="1174" t="str">
        <f>IS!BS4</f>
        <v>2Q26</v>
      </c>
      <c r="BT4" s="1174" t="str">
        <f>IS!BT4</f>
        <v>3Q26</v>
      </c>
      <c r="BU4" s="1174" t="str">
        <f>IS!BU4</f>
        <v>4Q26E</v>
      </c>
      <c r="BV4" s="1182" t="str">
        <f>IS!BV4</f>
        <v>FY26E</v>
      </c>
      <c r="BW4" s="1174" t="str">
        <f>IS!BW4</f>
        <v>1Q27E</v>
      </c>
      <c r="BX4" s="1174" t="str">
        <f>IS!BX4</f>
        <v>2Q27E</v>
      </c>
      <c r="BY4" s="1174" t="str">
        <f>IS!BY4</f>
        <v>3Q27E</v>
      </c>
      <c r="BZ4" s="1174" t="str">
        <f>IS!BZ4</f>
        <v>4Q27E</v>
      </c>
      <c r="CA4" s="1182" t="str">
        <f>IS!CA4</f>
        <v>FY27E</v>
      </c>
    </row>
    <row r="5" spans="1:79" ht="18" customHeight="1">
      <c r="B5" s="1076" t="s">
        <v>116</v>
      </c>
      <c r="C5" s="1077"/>
      <c r="D5" s="185"/>
      <c r="E5" s="183"/>
      <c r="F5" s="1078"/>
      <c r="G5" s="1078"/>
      <c r="H5" s="1079"/>
      <c r="I5" s="182"/>
      <c r="J5" s="100"/>
      <c r="K5" s="100"/>
      <c r="L5" s="100"/>
      <c r="M5" s="100"/>
      <c r="N5" s="182"/>
      <c r="O5" s="81"/>
      <c r="P5" s="81"/>
      <c r="Q5" s="81"/>
      <c r="R5" s="81"/>
      <c r="S5" s="185"/>
      <c r="T5" s="103"/>
      <c r="U5" s="103"/>
      <c r="V5" s="103"/>
      <c r="W5" s="81"/>
      <c r="X5" s="185"/>
      <c r="Y5" s="81"/>
      <c r="Z5" s="81"/>
      <c r="AA5" s="81"/>
      <c r="AB5" s="81"/>
      <c r="AC5" s="185"/>
      <c r="AD5" s="81"/>
      <c r="AE5" s="81"/>
      <c r="AF5" s="81"/>
      <c r="AG5" s="81"/>
      <c r="AH5" s="185"/>
      <c r="AI5" s="81"/>
      <c r="AJ5" s="81"/>
      <c r="AK5" s="81"/>
      <c r="AL5" s="81"/>
      <c r="AM5" s="185"/>
      <c r="AN5" s="81"/>
      <c r="AO5" s="81"/>
      <c r="AP5" s="81"/>
      <c r="AQ5" s="81"/>
      <c r="AR5" s="185"/>
      <c r="AS5" s="81"/>
      <c r="AT5" s="81"/>
      <c r="AU5" s="81"/>
      <c r="AV5" s="81"/>
      <c r="AW5" s="185"/>
      <c r="AX5" s="81"/>
      <c r="AY5" s="81"/>
      <c r="AZ5" s="81"/>
      <c r="BA5" s="81"/>
      <c r="BB5" s="185"/>
      <c r="BC5" s="81"/>
      <c r="BD5" s="81"/>
      <c r="BE5" s="81"/>
      <c r="BF5" s="81"/>
      <c r="BG5" s="185"/>
      <c r="BH5" s="81"/>
      <c r="BI5" s="81"/>
      <c r="BJ5" s="81"/>
      <c r="BK5" s="81"/>
      <c r="BL5" s="185"/>
      <c r="BM5" s="81"/>
      <c r="BN5" s="81"/>
      <c r="BO5" s="81"/>
      <c r="BP5" s="81"/>
      <c r="BQ5" s="185"/>
      <c r="BR5" s="81"/>
      <c r="BS5" s="81"/>
      <c r="BT5" s="81"/>
      <c r="BU5" s="81"/>
      <c r="BV5" s="185"/>
      <c r="BW5" s="81"/>
      <c r="BX5" s="81"/>
      <c r="BY5" s="81"/>
      <c r="BZ5" s="81"/>
      <c r="CA5" s="185"/>
    </row>
    <row r="6" spans="1:79">
      <c r="B6" s="92" t="s">
        <v>39</v>
      </c>
      <c r="C6" s="81"/>
      <c r="D6" s="291">
        <f>IS!D71</f>
        <v>0</v>
      </c>
      <c r="E6" s="83">
        <f>IS!E71</f>
        <v>0</v>
      </c>
      <c r="F6" s="83">
        <f>IS!F71</f>
        <v>0</v>
      </c>
      <c r="G6" s="83">
        <f>IS!G71</f>
        <v>0</v>
      </c>
      <c r="H6" s="83">
        <f>IS!H71</f>
        <v>0</v>
      </c>
      <c r="I6" s="291">
        <f>IS!I71</f>
        <v>0</v>
      </c>
      <c r="J6" s="83">
        <f>IS!J71</f>
        <v>0</v>
      </c>
      <c r="K6" s="83">
        <f>IS!K71</f>
        <v>0</v>
      </c>
      <c r="L6" s="83">
        <f>IS!L71</f>
        <v>0</v>
      </c>
      <c r="M6" s="83">
        <f>IS!M71</f>
        <v>0</v>
      </c>
      <c r="N6" s="291">
        <f>IS!N71</f>
        <v>0</v>
      </c>
      <c r="O6" s="83">
        <f>IS!O71</f>
        <v>0</v>
      </c>
      <c r="P6" s="83">
        <f>IS!P71</f>
        <v>0</v>
      </c>
      <c r="Q6" s="83">
        <v>0</v>
      </c>
      <c r="R6" s="114">
        <v>0</v>
      </c>
      <c r="S6" s="291"/>
      <c r="T6" s="83">
        <f>IS!T71</f>
        <v>0</v>
      </c>
      <c r="U6" s="83">
        <f>IS!U71</f>
        <v>0</v>
      </c>
      <c r="V6" s="83">
        <f>IS!V71</f>
        <v>0</v>
      </c>
      <c r="W6" s="83">
        <f>IS!W71</f>
        <v>0</v>
      </c>
      <c r="X6" s="291"/>
      <c r="Y6" s="83"/>
      <c r="Z6" s="83"/>
      <c r="AA6" s="83"/>
      <c r="AB6" s="83"/>
      <c r="AC6" s="291">
        <v>-115412</v>
      </c>
      <c r="AD6" s="83">
        <v>-19382</v>
      </c>
      <c r="AE6" s="114">
        <v>-12037</v>
      </c>
      <c r="AF6" s="83">
        <v>-14505</v>
      </c>
      <c r="AG6" s="83">
        <v>-6352</v>
      </c>
      <c r="AH6" s="291">
        <f>SUM(AD6:AG6)</f>
        <v>-52276</v>
      </c>
      <c r="AI6" s="83">
        <v>-270687</v>
      </c>
      <c r="AJ6" s="83">
        <v>-36714</v>
      </c>
      <c r="AK6" s="83">
        <v>-52813</v>
      </c>
      <c r="AL6" s="83">
        <v>-66244</v>
      </c>
      <c r="AM6" s="291">
        <f>SUM(AI6:AL6)</f>
        <v>-426458</v>
      </c>
      <c r="AN6" s="83">
        <v>-45722</v>
      </c>
      <c r="AO6" s="83">
        <v>-68632</v>
      </c>
      <c r="AP6" s="83">
        <v>-46598</v>
      </c>
      <c r="AQ6" s="83">
        <v>-47407</v>
      </c>
      <c r="AR6" s="291">
        <f>SUM(AN6:AQ6)</f>
        <v>-208359</v>
      </c>
      <c r="AS6" s="83">
        <f>IS!AS71</f>
        <v>-47804</v>
      </c>
      <c r="AT6" s="83">
        <f>IS!AT71</f>
        <v>-64560</v>
      </c>
      <c r="AU6" s="83">
        <f>IS!AU71</f>
        <v>-58491</v>
      </c>
      <c r="AV6" s="83">
        <f>IS!AV71</f>
        <v>-72412</v>
      </c>
      <c r="AW6" s="291">
        <f>IS!AW71</f>
        <v>-243267</v>
      </c>
      <c r="AX6" s="83">
        <f>IS!AX71</f>
        <v>-8354</v>
      </c>
      <c r="AY6" s="83">
        <f>IS!AY71</f>
        <v>-25501</v>
      </c>
      <c r="AZ6" s="83">
        <f>IS!AZ71</f>
        <v>-5676</v>
      </c>
      <c r="BA6" s="83">
        <f>IS!BA71</f>
        <v>-30445</v>
      </c>
      <c r="BB6" s="291">
        <f>IS!BB71</f>
        <v>-69976</v>
      </c>
      <c r="BC6" s="83">
        <f>IS!BC71</f>
        <v>-27373</v>
      </c>
      <c r="BD6" s="83">
        <f>IS!BD71</f>
        <v>-45078</v>
      </c>
      <c r="BE6" s="83">
        <f>IS!BE71</f>
        <v>-29866</v>
      </c>
      <c r="BF6" s="83">
        <f>IS!BF71</f>
        <v>4863</v>
      </c>
      <c r="BG6" s="291">
        <f>IS!BG71</f>
        <v>-97454</v>
      </c>
      <c r="BH6" s="83">
        <f>IS!BH71</f>
        <v>539</v>
      </c>
      <c r="BI6" s="83">
        <f>IS!BI71</f>
        <v>7395</v>
      </c>
      <c r="BJ6" s="83">
        <v>38805</v>
      </c>
      <c r="BK6" s="83">
        <v>27241</v>
      </c>
      <c r="BL6" s="291">
        <f t="shared" ref="BL6:BL20" si="0">SUM(BH6:BK6)</f>
        <v>73980</v>
      </c>
      <c r="BM6" s="83">
        <v>33760</v>
      </c>
      <c r="BN6" s="83">
        <v>888211</v>
      </c>
      <c r="BO6" s="83">
        <f>IS!BO71</f>
        <v>62423</v>
      </c>
      <c r="BP6" s="83">
        <v>83491</v>
      </c>
      <c r="BQ6" s="291">
        <f>IS!BQ71</f>
        <v>1067885</v>
      </c>
      <c r="BR6" s="83">
        <f>IS!BR71</f>
        <v>72087</v>
      </c>
      <c r="BS6" s="83">
        <f>IS!BS71</f>
        <v>62970</v>
      </c>
      <c r="BT6" s="83">
        <f>IS!BT71</f>
        <v>83725</v>
      </c>
      <c r="BU6" s="83">
        <f>IS!BU71</f>
        <v>78978.532683099969</v>
      </c>
      <c r="BV6" s="291">
        <f>IS!BV71</f>
        <v>297760.53268310032</v>
      </c>
      <c r="BW6" s="83">
        <f>IS!BW71</f>
        <v>60893.110279999964</v>
      </c>
      <c r="BX6" s="83">
        <f>IS!BX71</f>
        <v>79007.681279999902</v>
      </c>
      <c r="BY6" s="83">
        <f>IS!BY71</f>
        <v>90067.445799999987</v>
      </c>
      <c r="BZ6" s="83">
        <f>IS!BZ71</f>
        <v>39199.581332489848</v>
      </c>
      <c r="CA6" s="291">
        <f>IS!CA71</f>
        <v>269167.81869248906</v>
      </c>
    </row>
    <row r="7" spans="1:79">
      <c r="B7" s="92"/>
      <c r="C7" s="81" t="s">
        <v>216</v>
      </c>
      <c r="D7" s="1080"/>
      <c r="E7" s="1081"/>
      <c r="F7" s="1081"/>
      <c r="G7" s="1081"/>
      <c r="H7" s="1081"/>
      <c r="I7" s="291">
        <f>SUM(E7:H7)</f>
        <v>0</v>
      </c>
      <c r="J7" s="83"/>
      <c r="K7" s="83"/>
      <c r="L7" s="83"/>
      <c r="M7" s="83"/>
      <c r="N7" s="291">
        <f>SUM(J7:M7)</f>
        <v>0</v>
      </c>
      <c r="O7" s="83"/>
      <c r="P7" s="83"/>
      <c r="Q7" s="114"/>
      <c r="R7" s="114"/>
      <c r="S7" s="291"/>
      <c r="T7" s="83"/>
      <c r="U7" s="83"/>
      <c r="V7" s="114"/>
      <c r="W7" s="114"/>
      <c r="X7" s="291"/>
      <c r="Y7" s="83"/>
      <c r="Z7" s="114"/>
      <c r="AA7" s="83"/>
      <c r="AB7" s="83"/>
      <c r="AC7" s="291">
        <v>28471</v>
      </c>
      <c r="AD7" s="83">
        <v>7686</v>
      </c>
      <c r="AE7" s="114">
        <v>7699</v>
      </c>
      <c r="AF7" s="83">
        <v>8318</v>
      </c>
      <c r="AG7" s="83">
        <v>8047</v>
      </c>
      <c r="AH7" s="291">
        <f t="shared" ref="AH7:AH20" si="1">SUM(AD7:AG7)</f>
        <v>31750</v>
      </c>
      <c r="AI7" s="83">
        <v>8600</v>
      </c>
      <c r="AJ7" s="83">
        <v>7081</v>
      </c>
      <c r="AK7" s="83">
        <v>10343</v>
      </c>
      <c r="AL7" s="83">
        <v>12003</v>
      </c>
      <c r="AM7" s="291">
        <f t="shared" ref="AM7:AM20" si="2">SUM(AI7:AL7)</f>
        <v>38027</v>
      </c>
      <c r="AN7" s="83">
        <v>11971</v>
      </c>
      <c r="AO7" s="83">
        <v>12290</v>
      </c>
      <c r="AP7" s="83">
        <v>12655</v>
      </c>
      <c r="AQ7" s="83">
        <v>13266</v>
      </c>
      <c r="AR7" s="291">
        <f t="shared" ref="AR7:AR20" si="3">SUM(AN7:AQ7)</f>
        <v>50182</v>
      </c>
      <c r="AS7" s="83">
        <v>14039</v>
      </c>
      <c r="AT7" s="83">
        <v>17937</v>
      </c>
      <c r="AU7" s="83">
        <v>19479</v>
      </c>
      <c r="AV7" s="83">
        <v>19635</v>
      </c>
      <c r="AW7" s="291">
        <f t="shared" ref="AW7:AW20" si="4">SUM(AS7:AV7)</f>
        <v>71090</v>
      </c>
      <c r="AX7" s="83">
        <v>20037</v>
      </c>
      <c r="AY7" s="83">
        <v>20960</v>
      </c>
      <c r="AZ7" s="83">
        <v>20166</v>
      </c>
      <c r="BA7" s="83">
        <v>20750</v>
      </c>
      <c r="BB7" s="291">
        <f t="shared" ref="BB7:BB20" si="5">SUM(AX7:BA7)</f>
        <v>81913</v>
      </c>
      <c r="BC7" s="83">
        <v>21301</v>
      </c>
      <c r="BD7" s="83">
        <v>21143</v>
      </c>
      <c r="BE7" s="83">
        <v>21532</v>
      </c>
      <c r="BF7" s="83">
        <v>22279</v>
      </c>
      <c r="BG7" s="291">
        <f t="shared" ref="BG7:BG20" si="6">SUM(BC7:BF7)</f>
        <v>86255</v>
      </c>
      <c r="BH7" s="83">
        <v>22867</v>
      </c>
      <c r="BI7" s="83">
        <v>25238</v>
      </c>
      <c r="BJ7" s="83">
        <v>23324</v>
      </c>
      <c r="BK7" s="83">
        <v>23633</v>
      </c>
      <c r="BL7" s="291">
        <f t="shared" si="0"/>
        <v>95062</v>
      </c>
      <c r="BM7" s="83">
        <v>24506</v>
      </c>
      <c r="BN7" s="83">
        <v>27022</v>
      </c>
      <c r="BO7" s="83">
        <v>27569</v>
      </c>
      <c r="BP7" s="83">
        <v>28707</v>
      </c>
      <c r="BQ7" s="291">
        <f t="shared" ref="BQ7:BQ20" si="7">SUM(BM7:BP7)</f>
        <v>107804</v>
      </c>
      <c r="BR7" s="83">
        <v>30369</v>
      </c>
      <c r="BS7" s="83">
        <v>28880</v>
      </c>
      <c r="BT7" s="83">
        <v>30399</v>
      </c>
      <c r="BU7" s="83">
        <f>BU8+BU9</f>
        <v>50092.943999999996</v>
      </c>
      <c r="BV7" s="291">
        <f t="shared" ref="BV7:BV20" si="8">SUM(BR7:BU7)</f>
        <v>139740.94399999999</v>
      </c>
      <c r="BW7" s="83">
        <f>BW8+BW9</f>
        <v>47604.606147031991</v>
      </c>
      <c r="BX7" s="83">
        <f>BX8+BX9</f>
        <v>46404.672675061185</v>
      </c>
      <c r="BY7" s="83">
        <f>BY8+BY9</f>
        <v>44229.542746215804</v>
      </c>
      <c r="BZ7" s="83">
        <f>BZ8+BZ9</f>
        <v>43185.904399588806</v>
      </c>
      <c r="CA7" s="291">
        <f t="shared" ref="CA7:CA20" si="9">SUM(BW7:BZ7)</f>
        <v>181424.7259678978</v>
      </c>
    </row>
    <row r="8" spans="1:79" s="1082" customFormat="1">
      <c r="B8" s="1083"/>
      <c r="C8" s="1084" t="s">
        <v>192</v>
      </c>
      <c r="D8" s="1085"/>
      <c r="E8" s="1086"/>
      <c r="F8" s="1086"/>
      <c r="G8" s="1086"/>
      <c r="H8" s="1086"/>
      <c r="I8" s="1087"/>
      <c r="J8" s="1088"/>
      <c r="K8" s="1088"/>
      <c r="L8" s="1088"/>
      <c r="M8" s="1088"/>
      <c r="N8" s="1087"/>
      <c r="O8" s="1088"/>
      <c r="P8" s="1088"/>
      <c r="Q8" s="1089"/>
      <c r="R8" s="1089"/>
      <c r="S8" s="1087"/>
      <c r="T8" s="1088"/>
      <c r="U8" s="1088"/>
      <c r="V8" s="1089"/>
      <c r="W8" s="1089"/>
      <c r="X8" s="1088">
        <f>X7-X9</f>
        <v>-5995</v>
      </c>
      <c r="Y8" s="1088"/>
      <c r="Z8" s="1088"/>
      <c r="AA8" s="1088"/>
      <c r="AB8" s="1088"/>
      <c r="AC8" s="1087">
        <f>AC7-AC9</f>
        <v>18146</v>
      </c>
      <c r="AD8" s="1088">
        <f>AD7-AD9</f>
        <v>-720</v>
      </c>
      <c r="AE8" s="1088">
        <f>AE7-AE9</f>
        <v>5343</v>
      </c>
      <c r="AF8" s="1088">
        <f>AF7-AF9</f>
        <v>5612</v>
      </c>
      <c r="AG8" s="1088">
        <f>AG7-AG9</f>
        <v>5603</v>
      </c>
      <c r="AH8" s="1087">
        <f t="shared" si="1"/>
        <v>15838</v>
      </c>
      <c r="AI8" s="1088">
        <f>AI7-AI9</f>
        <v>6167</v>
      </c>
      <c r="AJ8" s="1088">
        <f>AJ7-AJ9</f>
        <v>5313</v>
      </c>
      <c r="AK8" s="1088">
        <f>AK7-AK9</f>
        <v>6454</v>
      </c>
      <c r="AL8" s="1088">
        <f>AL7-AL9</f>
        <v>6991</v>
      </c>
      <c r="AM8" s="1087">
        <f t="shared" si="2"/>
        <v>24925</v>
      </c>
      <c r="AN8" s="1088">
        <f>AN7-AN9</f>
        <v>7238</v>
      </c>
      <c r="AO8" s="1088">
        <f>AO7-AO9</f>
        <v>7870</v>
      </c>
      <c r="AP8" s="1088">
        <f>AP7-AP9</f>
        <v>8350</v>
      </c>
      <c r="AQ8" s="1088">
        <f>AQ7-AQ9</f>
        <v>9007</v>
      </c>
      <c r="AR8" s="1087">
        <f t="shared" si="3"/>
        <v>32465</v>
      </c>
      <c r="AS8" s="1088">
        <f>AS7-AS9</f>
        <v>9780</v>
      </c>
      <c r="AT8" s="1088">
        <f>AT7-AT9</f>
        <v>10521</v>
      </c>
      <c r="AU8" s="1088">
        <f>AU7-AU9</f>
        <v>12122</v>
      </c>
      <c r="AV8" s="1088">
        <f>AV7-AV9</f>
        <v>13049</v>
      </c>
      <c r="AW8" s="1087">
        <f t="shared" si="4"/>
        <v>45472</v>
      </c>
      <c r="AX8" s="1088">
        <f>AX7-AX9</f>
        <v>13508</v>
      </c>
      <c r="AY8" s="1088">
        <f>AY7-AY9</f>
        <v>14299</v>
      </c>
      <c r="AZ8" s="1088">
        <f>AZ7-AZ9</f>
        <v>14195</v>
      </c>
      <c r="BA8" s="1088">
        <f>BA7-BA9</f>
        <v>15142</v>
      </c>
      <c r="BB8" s="1087">
        <f t="shared" si="5"/>
        <v>57144</v>
      </c>
      <c r="BC8" s="1088">
        <f>BC7-BC9</f>
        <v>15693</v>
      </c>
      <c r="BD8" s="1088">
        <f>BD7-BD9</f>
        <v>16110</v>
      </c>
      <c r="BE8" s="1088">
        <f>BE7-BE9</f>
        <v>16419</v>
      </c>
      <c r="BF8" s="1088">
        <f>BF7-BF9</f>
        <v>17326</v>
      </c>
      <c r="BG8" s="1087">
        <f t="shared" si="6"/>
        <v>65548</v>
      </c>
      <c r="BH8" s="1088">
        <f>BH7-BH9</f>
        <v>17835</v>
      </c>
      <c r="BI8" s="1088">
        <f>BI7-BI9</f>
        <v>20294</v>
      </c>
      <c r="BJ8" s="1088">
        <f>BJ7-BJ9</f>
        <v>18625</v>
      </c>
      <c r="BK8" s="1088">
        <f>BK7-BK9</f>
        <v>18932</v>
      </c>
      <c r="BL8" s="1087">
        <f t="shared" si="0"/>
        <v>75686</v>
      </c>
      <c r="BM8" s="1088">
        <f>BM7-BM9</f>
        <v>19807</v>
      </c>
      <c r="BN8" s="1088">
        <f>BN7-BN9</f>
        <v>20842</v>
      </c>
      <c r="BO8" s="1088">
        <f>BO7-BO9</f>
        <v>20649</v>
      </c>
      <c r="BP8" s="1088">
        <f>BP7-BP9</f>
        <v>21789</v>
      </c>
      <c r="BQ8" s="1087">
        <f t="shared" si="7"/>
        <v>83087</v>
      </c>
      <c r="BR8" s="1088">
        <f>BR7-BR9</f>
        <v>23450</v>
      </c>
      <c r="BS8" s="1088">
        <f>BS7-BS9</f>
        <v>23964</v>
      </c>
      <c r="BT8" s="1088">
        <f>BT7-BT9</f>
        <v>25526</v>
      </c>
      <c r="BU8" s="1088">
        <f>BU77*(BS!BT14+BS!BT20)</f>
        <v>45219.943999999996</v>
      </c>
      <c r="BV8" s="1087">
        <f t="shared" si="8"/>
        <v>118159.94399999999</v>
      </c>
      <c r="BW8" s="1088">
        <f>BW77*(BS!BV14+BS!BV20)</f>
        <v>42731.606147031991</v>
      </c>
      <c r="BX8" s="1088">
        <f>BX77*(BS!BW14+BS!BW20)</f>
        <v>41531.672675061185</v>
      </c>
      <c r="BY8" s="1088">
        <f>BY77*(BS!BX14+BS!BX20)</f>
        <v>39356.542746215804</v>
      </c>
      <c r="BZ8" s="1088">
        <f>BZ77*(BS!BY14+BS!BY20)</f>
        <v>38312.904399588806</v>
      </c>
      <c r="CA8" s="1087">
        <f t="shared" si="9"/>
        <v>161932.7259678978</v>
      </c>
    </row>
    <row r="9" spans="1:79" s="1082" customFormat="1">
      <c r="B9" s="1083"/>
      <c r="C9" s="1084" t="s">
        <v>193</v>
      </c>
      <c r="D9" s="1085"/>
      <c r="E9" s="1086"/>
      <c r="F9" s="1086"/>
      <c r="G9" s="1086"/>
      <c r="H9" s="1086"/>
      <c r="I9" s="1087"/>
      <c r="J9" s="1088"/>
      <c r="K9" s="1088"/>
      <c r="L9" s="1088"/>
      <c r="M9" s="1088"/>
      <c r="N9" s="1087"/>
      <c r="O9" s="1088"/>
      <c r="P9" s="1088"/>
      <c r="Q9" s="1089"/>
      <c r="R9" s="1089"/>
      <c r="S9" s="1087"/>
      <c r="T9" s="1088"/>
      <c r="U9" s="1088"/>
      <c r="V9" s="1089"/>
      <c r="W9" s="1089"/>
      <c r="X9" s="1088">
        <f>IS!X39</f>
        <v>5995</v>
      </c>
      <c r="Y9" s="1088"/>
      <c r="Z9" s="1088"/>
      <c r="AA9" s="1088"/>
      <c r="AB9" s="1088"/>
      <c r="AC9" s="1087">
        <f>IS!AC39</f>
        <v>10325</v>
      </c>
      <c r="AD9" s="1088">
        <f>IS!AD39</f>
        <v>8406</v>
      </c>
      <c r="AE9" s="1088">
        <f>IS!AE39</f>
        <v>2356</v>
      </c>
      <c r="AF9" s="1088">
        <f>IS!AF39</f>
        <v>2706</v>
      </c>
      <c r="AG9" s="1088">
        <f>IS!AG39</f>
        <v>2444</v>
      </c>
      <c r="AH9" s="291">
        <f t="shared" si="1"/>
        <v>15912</v>
      </c>
      <c r="AI9" s="1088">
        <f>IS!AI39</f>
        <v>2433</v>
      </c>
      <c r="AJ9" s="1088">
        <f>IS!AJ39</f>
        <v>1768</v>
      </c>
      <c r="AK9" s="1088">
        <f>IS!AK39</f>
        <v>3889</v>
      </c>
      <c r="AL9" s="1088">
        <f>IS!AL39</f>
        <v>5012</v>
      </c>
      <c r="AM9" s="291">
        <f t="shared" si="2"/>
        <v>13102</v>
      </c>
      <c r="AN9" s="1088">
        <f>IS!AN39</f>
        <v>4733</v>
      </c>
      <c r="AO9" s="1088">
        <f>IS!AO39</f>
        <v>4420</v>
      </c>
      <c r="AP9" s="1088">
        <f>IS!AP39</f>
        <v>4305</v>
      </c>
      <c r="AQ9" s="1088">
        <f>IS!AQ39</f>
        <v>4259</v>
      </c>
      <c r="AR9" s="291">
        <f t="shared" si="3"/>
        <v>17717</v>
      </c>
      <c r="AS9" s="1088">
        <f>IS!AS39</f>
        <v>4259</v>
      </c>
      <c r="AT9" s="1088">
        <f>IS!AT39</f>
        <v>7416</v>
      </c>
      <c r="AU9" s="1088">
        <f>IS!AU39</f>
        <v>7357</v>
      </c>
      <c r="AV9" s="1088">
        <f>IS!AV39</f>
        <v>6586</v>
      </c>
      <c r="AW9" s="291">
        <f t="shared" si="4"/>
        <v>25618</v>
      </c>
      <c r="AX9" s="1088">
        <f>IS!AX39</f>
        <v>6529</v>
      </c>
      <c r="AY9" s="1088">
        <f>IS!AY39</f>
        <v>6661</v>
      </c>
      <c r="AZ9" s="1088">
        <f>IS!AZ39</f>
        <v>5971</v>
      </c>
      <c r="BA9" s="1088">
        <f>IS!BA39</f>
        <v>5608</v>
      </c>
      <c r="BB9" s="291">
        <f t="shared" si="5"/>
        <v>24769</v>
      </c>
      <c r="BC9" s="1088">
        <f>IS!BC39</f>
        <v>5608</v>
      </c>
      <c r="BD9" s="1088">
        <f>IS!BD39</f>
        <v>5033</v>
      </c>
      <c r="BE9" s="1088">
        <f>IS!BE39</f>
        <v>5113</v>
      </c>
      <c r="BF9" s="1088">
        <f>IS!BF39</f>
        <v>4953</v>
      </c>
      <c r="BG9" s="291">
        <f t="shared" si="6"/>
        <v>20707</v>
      </c>
      <c r="BH9" s="1088">
        <f>IS!BH39</f>
        <v>5032</v>
      </c>
      <c r="BI9" s="1088">
        <f>IS!BI39</f>
        <v>4944</v>
      </c>
      <c r="BJ9" s="1088">
        <f>IS!BJ39</f>
        <v>4699</v>
      </c>
      <c r="BK9" s="1088">
        <f>IS!BK39</f>
        <v>4701</v>
      </c>
      <c r="BL9" s="291">
        <f t="shared" si="0"/>
        <v>19376</v>
      </c>
      <c r="BM9" s="1088">
        <f>IS!BM39</f>
        <v>4699</v>
      </c>
      <c r="BN9" s="1088">
        <f>IS!BN39</f>
        <v>6180</v>
      </c>
      <c r="BO9" s="1088">
        <f>IS!BO39</f>
        <v>6920</v>
      </c>
      <c r="BP9" s="1088">
        <f>IS!BP39</f>
        <v>6918</v>
      </c>
      <c r="BQ9" s="291">
        <f t="shared" si="7"/>
        <v>24717</v>
      </c>
      <c r="BR9" s="1088">
        <f>IS!BR39</f>
        <v>6919</v>
      </c>
      <c r="BS9" s="1088">
        <f>IS!BS39</f>
        <v>4916</v>
      </c>
      <c r="BT9" s="1088">
        <f>IS!BT39</f>
        <v>4873</v>
      </c>
      <c r="BU9" s="1088">
        <f>IS!BU39</f>
        <v>4873</v>
      </c>
      <c r="BV9" s="291">
        <f t="shared" si="8"/>
        <v>21581</v>
      </c>
      <c r="BW9" s="1088">
        <f>IS!BW39</f>
        <v>4873</v>
      </c>
      <c r="BX9" s="1088">
        <f>IS!BX39</f>
        <v>4873</v>
      </c>
      <c r="BY9" s="1088">
        <f>IS!BY39</f>
        <v>4873</v>
      </c>
      <c r="BZ9" s="1088">
        <f>IS!BZ39</f>
        <v>4873</v>
      </c>
      <c r="CA9" s="291">
        <f t="shared" si="9"/>
        <v>19492</v>
      </c>
    </row>
    <row r="10" spans="1:79">
      <c r="B10" s="92"/>
      <c r="C10" s="81" t="s">
        <v>266</v>
      </c>
      <c r="D10" s="291"/>
      <c r="E10" s="83"/>
      <c r="F10" s="83"/>
      <c r="G10" s="83"/>
      <c r="H10" s="83"/>
      <c r="I10" s="291">
        <f>SUM(E10:H10)</f>
        <v>0</v>
      </c>
      <c r="J10" s="83"/>
      <c r="K10" s="83"/>
      <c r="L10" s="83"/>
      <c r="M10" s="83"/>
      <c r="N10" s="291">
        <f>SUM(J10:M10)</f>
        <v>0</v>
      </c>
      <c r="O10" s="83"/>
      <c r="P10" s="83"/>
      <c r="Q10" s="83"/>
      <c r="R10" s="83"/>
      <c r="S10" s="291"/>
      <c r="T10" s="83"/>
      <c r="U10" s="114"/>
      <c r="V10" s="83"/>
      <c r="W10" s="83"/>
      <c r="X10" s="291"/>
      <c r="Y10" s="83"/>
      <c r="Z10" s="114"/>
      <c r="AA10" s="83"/>
      <c r="AB10" s="83"/>
      <c r="AC10" s="291">
        <v>22369</v>
      </c>
      <c r="AD10" s="83">
        <v>7013</v>
      </c>
      <c r="AE10" s="114">
        <v>7278</v>
      </c>
      <c r="AF10" s="114">
        <v>7731</v>
      </c>
      <c r="AG10" s="114">
        <v>8355</v>
      </c>
      <c r="AH10" s="291">
        <f t="shared" si="1"/>
        <v>30377</v>
      </c>
      <c r="AI10" s="114">
        <v>9246</v>
      </c>
      <c r="AJ10" s="114">
        <v>9900</v>
      </c>
      <c r="AK10" s="114">
        <v>10743</v>
      </c>
      <c r="AL10" s="114">
        <v>12223</v>
      </c>
      <c r="AM10" s="291">
        <f t="shared" si="2"/>
        <v>42112</v>
      </c>
      <c r="AN10" s="114">
        <v>14260</v>
      </c>
      <c r="AO10" s="114">
        <v>16889</v>
      </c>
      <c r="AP10" s="114">
        <v>18211</v>
      </c>
      <c r="AQ10" s="114">
        <v>20387</v>
      </c>
      <c r="AR10" s="291">
        <f t="shared" si="3"/>
        <v>69747</v>
      </c>
      <c r="AS10" s="114">
        <v>21360</v>
      </c>
      <c r="AT10" s="114">
        <v>23834</v>
      </c>
      <c r="AU10" s="114">
        <v>25593</v>
      </c>
      <c r="AV10" s="114">
        <v>28597</v>
      </c>
      <c r="AW10" s="291">
        <f t="shared" si="4"/>
        <v>99384</v>
      </c>
      <c r="AX10" s="114">
        <v>30933</v>
      </c>
      <c r="AY10" s="114">
        <v>32543</v>
      </c>
      <c r="AZ10" s="114">
        <v>37283</v>
      </c>
      <c r="BA10" s="114">
        <v>43683</v>
      </c>
      <c r="BB10" s="291">
        <f t="shared" si="5"/>
        <v>144442</v>
      </c>
      <c r="BC10" s="114">
        <v>43990</v>
      </c>
      <c r="BD10" s="114">
        <v>45585</v>
      </c>
      <c r="BE10" s="114">
        <v>44806</v>
      </c>
      <c r="BF10" s="114">
        <v>50664</v>
      </c>
      <c r="BG10" s="291">
        <f t="shared" si="6"/>
        <v>185045</v>
      </c>
      <c r="BH10" s="114">
        <v>48230</v>
      </c>
      <c r="BI10" s="114">
        <v>50152</v>
      </c>
      <c r="BJ10" s="114">
        <v>49399</v>
      </c>
      <c r="BK10" s="114">
        <v>52382</v>
      </c>
      <c r="BL10" s="291">
        <f t="shared" si="0"/>
        <v>200163</v>
      </c>
      <c r="BM10" s="114">
        <v>54212</v>
      </c>
      <c r="BN10" s="114">
        <v>57255</v>
      </c>
      <c r="BO10" s="114">
        <v>61264</v>
      </c>
      <c r="BP10" s="114">
        <v>64486</v>
      </c>
      <c r="BQ10" s="291">
        <f t="shared" si="7"/>
        <v>237217</v>
      </c>
      <c r="BR10" s="114">
        <v>66482</v>
      </c>
      <c r="BS10" s="114">
        <v>68654</v>
      </c>
      <c r="BT10" s="114">
        <v>68374</v>
      </c>
      <c r="BU10" s="114">
        <v>25000</v>
      </c>
      <c r="BV10" s="291">
        <f t="shared" si="8"/>
        <v>228510</v>
      </c>
      <c r="BW10" s="114">
        <v>25000</v>
      </c>
      <c r="BX10" s="114">
        <v>25000</v>
      </c>
      <c r="BY10" s="114">
        <v>25000</v>
      </c>
      <c r="BZ10" s="114">
        <v>25000</v>
      </c>
      <c r="CA10" s="291">
        <f t="shared" si="9"/>
        <v>100000</v>
      </c>
    </row>
    <row r="11" spans="1:79">
      <c r="B11" s="92"/>
      <c r="C11" s="81" t="s">
        <v>267</v>
      </c>
      <c r="D11" s="291"/>
      <c r="E11" s="83"/>
      <c r="F11" s="83"/>
      <c r="G11" s="83"/>
      <c r="H11" s="83"/>
      <c r="I11" s="291"/>
      <c r="J11" s="83"/>
      <c r="K11" s="83"/>
      <c r="L11" s="83"/>
      <c r="M11" s="83"/>
      <c r="N11" s="291"/>
      <c r="O11" s="83"/>
      <c r="P11" s="83"/>
      <c r="Q11" s="83"/>
      <c r="R11" s="83"/>
      <c r="S11" s="291"/>
      <c r="T11" s="83"/>
      <c r="U11" s="114"/>
      <c r="V11" s="83"/>
      <c r="W11" s="83"/>
      <c r="X11" s="291"/>
      <c r="Y11" s="83"/>
      <c r="Z11" s="114"/>
      <c r="AA11" s="83"/>
      <c r="AB11" s="83"/>
      <c r="AC11" s="291">
        <v>0</v>
      </c>
      <c r="AD11" s="83"/>
      <c r="AE11" s="114">
        <v>0</v>
      </c>
      <c r="AF11" s="114">
        <v>0</v>
      </c>
      <c r="AG11" s="114">
        <v>0</v>
      </c>
      <c r="AH11" s="291">
        <f t="shared" si="1"/>
        <v>0</v>
      </c>
      <c r="AI11" s="114">
        <v>0</v>
      </c>
      <c r="AJ11" s="114">
        <v>0</v>
      </c>
      <c r="AK11" s="114">
        <v>3147</v>
      </c>
      <c r="AL11" s="114">
        <v>6360</v>
      </c>
      <c r="AM11" s="291">
        <f t="shared" si="2"/>
        <v>9507</v>
      </c>
      <c r="AN11" s="114">
        <v>6454</v>
      </c>
      <c r="AO11" s="114">
        <v>6548</v>
      </c>
      <c r="AP11" s="114">
        <v>6645</v>
      </c>
      <c r="AQ11" s="114">
        <v>6742</v>
      </c>
      <c r="AR11" s="291">
        <f t="shared" si="3"/>
        <v>26389</v>
      </c>
      <c r="AS11" s="114">
        <v>6842</v>
      </c>
      <c r="AT11" s="114">
        <v>6942</v>
      </c>
      <c r="AU11" s="114">
        <v>7044</v>
      </c>
      <c r="AV11" s="114">
        <v>7173</v>
      </c>
      <c r="AW11" s="291">
        <f t="shared" si="4"/>
        <v>28001</v>
      </c>
      <c r="AX11" s="114">
        <v>1319</v>
      </c>
      <c r="AY11" s="114">
        <v>1274</v>
      </c>
      <c r="AZ11" s="114">
        <v>1255</v>
      </c>
      <c r="BA11" s="114">
        <v>1250</v>
      </c>
      <c r="BB11" s="291">
        <f t="shared" si="5"/>
        <v>5098</v>
      </c>
      <c r="BC11" s="114">
        <v>1284</v>
      </c>
      <c r="BD11" s="114">
        <v>1198</v>
      </c>
      <c r="BE11" s="114">
        <v>1243</v>
      </c>
      <c r="BF11" s="114">
        <v>1245</v>
      </c>
      <c r="BG11" s="291">
        <f t="shared" si="6"/>
        <v>4970</v>
      </c>
      <c r="BH11" s="114">
        <v>1246</v>
      </c>
      <c r="BI11" s="114">
        <v>1249</v>
      </c>
      <c r="BJ11" s="114">
        <v>1227</v>
      </c>
      <c r="BK11" s="114">
        <v>1027</v>
      </c>
      <c r="BL11" s="291">
        <f t="shared" si="0"/>
        <v>4749</v>
      </c>
      <c r="BM11" s="114">
        <v>138</v>
      </c>
      <c r="BN11" s="114">
        <v>139</v>
      </c>
      <c r="BO11" s="114">
        <v>138</v>
      </c>
      <c r="BP11" s="114">
        <v>139</v>
      </c>
      <c r="BQ11" s="291">
        <f t="shared" si="7"/>
        <v>554</v>
      </c>
      <c r="BR11" s="114">
        <v>138</v>
      </c>
      <c r="BS11" s="114">
        <v>302</v>
      </c>
      <c r="BT11" s="114">
        <v>167</v>
      </c>
      <c r="BU11" s="114">
        <f>-IS!BU50</f>
        <v>0</v>
      </c>
      <c r="BV11" s="291">
        <f t="shared" si="8"/>
        <v>607</v>
      </c>
      <c r="BW11" s="114">
        <f>-IS!BW50</f>
        <v>0</v>
      </c>
      <c r="BX11" s="114">
        <f>-IS!BX50</f>
        <v>0</v>
      </c>
      <c r="BY11" s="114">
        <f>-IS!BY50</f>
        <v>0</v>
      </c>
      <c r="BZ11" s="114">
        <f>-IS!BZ50</f>
        <v>0</v>
      </c>
      <c r="CA11" s="291">
        <f t="shared" si="9"/>
        <v>0</v>
      </c>
    </row>
    <row r="12" spans="1:79">
      <c r="B12" s="92"/>
      <c r="C12" s="81" t="s">
        <v>471</v>
      </c>
      <c r="D12" s="291"/>
      <c r="E12" s="83"/>
      <c r="F12" s="83"/>
      <c r="G12" s="83"/>
      <c r="H12" s="83"/>
      <c r="I12" s="291"/>
      <c r="J12" s="83"/>
      <c r="K12" s="83"/>
      <c r="L12" s="83"/>
      <c r="M12" s="83"/>
      <c r="N12" s="291"/>
      <c r="O12" s="83"/>
      <c r="P12" s="83"/>
      <c r="Q12" s="83"/>
      <c r="R12" s="83"/>
      <c r="S12" s="291"/>
      <c r="T12" s="83"/>
      <c r="U12" s="114"/>
      <c r="V12" s="83"/>
      <c r="W12" s="83"/>
      <c r="X12" s="291"/>
      <c r="Y12" s="83"/>
      <c r="Z12" s="114"/>
      <c r="AA12" s="83"/>
      <c r="AB12" s="83"/>
      <c r="AC12" s="291"/>
      <c r="AD12" s="83"/>
      <c r="AE12" s="114"/>
      <c r="AF12" s="114"/>
      <c r="AG12" s="114"/>
      <c r="AH12" s="291">
        <f t="shared" si="1"/>
        <v>0</v>
      </c>
      <c r="AI12" s="114"/>
      <c r="AJ12" s="114"/>
      <c r="AK12" s="114"/>
      <c r="AL12" s="114"/>
      <c r="AM12" s="291">
        <f t="shared" si="2"/>
        <v>0</v>
      </c>
      <c r="AN12" s="114"/>
      <c r="AO12" s="114"/>
      <c r="AP12" s="114"/>
      <c r="AQ12" s="114"/>
      <c r="AR12" s="291">
        <f t="shared" si="3"/>
        <v>0</v>
      </c>
      <c r="AS12" s="114"/>
      <c r="AT12" s="114"/>
      <c r="AU12" s="114"/>
      <c r="AV12" s="114"/>
      <c r="AW12" s="291">
        <f t="shared" si="4"/>
        <v>0</v>
      </c>
      <c r="AX12" s="114"/>
      <c r="AY12" s="114">
        <v>3892</v>
      </c>
      <c r="AZ12" s="114"/>
      <c r="BA12" s="114"/>
      <c r="BB12" s="291">
        <f t="shared" si="5"/>
        <v>3892</v>
      </c>
      <c r="BC12" s="114"/>
      <c r="BD12" s="114"/>
      <c r="BE12" s="114"/>
      <c r="BF12" s="114"/>
      <c r="BG12" s="291">
        <f t="shared" si="6"/>
        <v>0</v>
      </c>
      <c r="BH12" s="114"/>
      <c r="BI12" s="114"/>
      <c r="BJ12" s="114"/>
      <c r="BK12" s="114"/>
      <c r="BL12" s="291">
        <f t="shared" si="0"/>
        <v>0</v>
      </c>
      <c r="BM12" s="114"/>
      <c r="BN12" s="114"/>
      <c r="BO12" s="114"/>
      <c r="BP12" s="114"/>
      <c r="BQ12" s="291">
        <f t="shared" si="7"/>
        <v>0</v>
      </c>
      <c r="BR12" s="114"/>
      <c r="BS12" s="114"/>
      <c r="BT12" s="114"/>
      <c r="BU12" s="114"/>
      <c r="BV12" s="291">
        <f t="shared" si="8"/>
        <v>0</v>
      </c>
      <c r="BW12" s="114"/>
      <c r="BX12" s="114"/>
      <c r="BY12" s="114"/>
      <c r="BZ12" s="114"/>
      <c r="CA12" s="291">
        <f t="shared" si="9"/>
        <v>0</v>
      </c>
    </row>
    <row r="13" spans="1:79">
      <c r="B13" s="92"/>
      <c r="C13" s="81" t="s">
        <v>410</v>
      </c>
      <c r="D13" s="291"/>
      <c r="E13" s="83"/>
      <c r="F13" s="83"/>
      <c r="G13" s="83"/>
      <c r="H13" s="83"/>
      <c r="I13" s="291"/>
      <c r="J13" s="83"/>
      <c r="K13" s="83"/>
      <c r="L13" s="83"/>
      <c r="M13" s="83"/>
      <c r="N13" s="291"/>
      <c r="O13" s="83"/>
      <c r="P13" s="83"/>
      <c r="Q13" s="83"/>
      <c r="R13" s="83"/>
      <c r="S13" s="291"/>
      <c r="T13" s="83"/>
      <c r="U13" s="114"/>
      <c r="V13" s="83"/>
      <c r="W13" s="83"/>
      <c r="X13" s="291"/>
      <c r="Y13" s="83"/>
      <c r="Z13" s="114"/>
      <c r="AA13" s="83"/>
      <c r="AB13" s="83"/>
      <c r="AC13" s="291"/>
      <c r="AD13" s="83"/>
      <c r="AE13" s="114"/>
      <c r="AF13" s="114"/>
      <c r="AG13" s="114"/>
      <c r="AH13" s="291">
        <f t="shared" si="1"/>
        <v>0</v>
      </c>
      <c r="AI13" s="114"/>
      <c r="AJ13" s="114"/>
      <c r="AK13" s="114"/>
      <c r="AL13" s="114"/>
      <c r="AM13" s="291">
        <f t="shared" si="2"/>
        <v>0</v>
      </c>
      <c r="AN13" s="114"/>
      <c r="AO13" s="114"/>
      <c r="AP13" s="114"/>
      <c r="AQ13" s="114"/>
      <c r="AR13" s="291">
        <f t="shared" si="3"/>
        <v>0</v>
      </c>
      <c r="AS13" s="114"/>
      <c r="AT13" s="114"/>
      <c r="AU13" s="114"/>
      <c r="AV13" s="114"/>
      <c r="AW13" s="291">
        <f t="shared" si="4"/>
        <v>0</v>
      </c>
      <c r="AX13" s="114">
        <v>-5119</v>
      </c>
      <c r="AY13" s="114"/>
      <c r="AZ13" s="114"/>
      <c r="BA13" s="114"/>
      <c r="BB13" s="291">
        <f t="shared" si="5"/>
        <v>-5119</v>
      </c>
      <c r="BC13" s="114"/>
      <c r="BD13" s="114"/>
      <c r="BE13" s="114"/>
      <c r="BF13" s="114"/>
      <c r="BG13" s="291">
        <f t="shared" si="6"/>
        <v>0</v>
      </c>
      <c r="BH13" s="114"/>
      <c r="BI13" s="114"/>
      <c r="BJ13" s="114"/>
      <c r="BK13" s="114"/>
      <c r="BL13" s="291">
        <f t="shared" si="0"/>
        <v>0</v>
      </c>
      <c r="BM13" s="114"/>
      <c r="BN13" s="114"/>
      <c r="BO13" s="114"/>
      <c r="BP13" s="114"/>
      <c r="BQ13" s="291">
        <f t="shared" si="7"/>
        <v>0</v>
      </c>
      <c r="BR13" s="114"/>
      <c r="BS13" s="114"/>
      <c r="BT13" s="114"/>
      <c r="BU13" s="114"/>
      <c r="BV13" s="291">
        <f t="shared" si="8"/>
        <v>0</v>
      </c>
      <c r="BW13" s="114"/>
      <c r="BX13" s="114"/>
      <c r="BY13" s="114"/>
      <c r="BZ13" s="114"/>
      <c r="CA13" s="291">
        <f t="shared" si="9"/>
        <v>0</v>
      </c>
    </row>
    <row r="14" spans="1:79">
      <c r="B14" s="92"/>
      <c r="C14" s="81" t="s">
        <v>401</v>
      </c>
      <c r="D14" s="291"/>
      <c r="E14" s="83"/>
      <c r="F14" s="83"/>
      <c r="G14" s="83"/>
      <c r="H14" s="83"/>
      <c r="I14" s="291"/>
      <c r="J14" s="83"/>
      <c r="K14" s="83"/>
      <c r="L14" s="83"/>
      <c r="M14" s="83"/>
      <c r="N14" s="291"/>
      <c r="O14" s="83"/>
      <c r="P14" s="83"/>
      <c r="Q14" s="83"/>
      <c r="R14" s="83"/>
      <c r="S14" s="291"/>
      <c r="T14" s="83"/>
      <c r="U14" s="114"/>
      <c r="V14" s="83"/>
      <c r="W14" s="83"/>
      <c r="X14" s="291"/>
      <c r="Y14" s="83"/>
      <c r="Z14" s="114"/>
      <c r="AA14" s="83"/>
      <c r="AB14" s="83"/>
      <c r="AC14" s="291"/>
      <c r="AD14" s="83"/>
      <c r="AE14" s="114"/>
      <c r="AF14" s="114"/>
      <c r="AG14" s="114"/>
      <c r="AH14" s="291">
        <f t="shared" si="1"/>
        <v>0</v>
      </c>
      <c r="AI14" s="114"/>
      <c r="AJ14" s="114"/>
      <c r="AK14" s="114"/>
      <c r="AL14" s="114"/>
      <c r="AM14" s="291">
        <f t="shared" si="2"/>
        <v>0</v>
      </c>
      <c r="AN14" s="114"/>
      <c r="AO14" s="114"/>
      <c r="AP14" s="114"/>
      <c r="AQ14" s="114"/>
      <c r="AR14" s="291">
        <f t="shared" si="3"/>
        <v>0</v>
      </c>
      <c r="AS14" s="114"/>
      <c r="AT14" s="114"/>
      <c r="AU14" s="114"/>
      <c r="AV14" s="114">
        <v>33752</v>
      </c>
      <c r="AW14" s="291">
        <f t="shared" si="4"/>
        <v>33752</v>
      </c>
      <c r="AX14" s="114"/>
      <c r="AY14" s="114"/>
      <c r="AZ14" s="114"/>
      <c r="BA14" s="114"/>
      <c r="BB14" s="291">
        <f t="shared" si="5"/>
        <v>0</v>
      </c>
      <c r="BC14" s="114"/>
      <c r="BD14" s="114"/>
      <c r="BE14" s="114"/>
      <c r="BF14" s="114"/>
      <c r="BG14" s="291">
        <f t="shared" si="6"/>
        <v>0</v>
      </c>
      <c r="BH14" s="114"/>
      <c r="BI14" s="114"/>
      <c r="BJ14" s="114"/>
      <c r="BK14" s="114"/>
      <c r="BL14" s="291">
        <f t="shared" si="0"/>
        <v>0</v>
      </c>
      <c r="BM14" s="114"/>
      <c r="BN14" s="114"/>
      <c r="BO14" s="114"/>
      <c r="BP14" s="114"/>
      <c r="BQ14" s="291">
        <f t="shared" si="7"/>
        <v>0</v>
      </c>
      <c r="BR14" s="114"/>
      <c r="BS14" s="114"/>
      <c r="BT14" s="114"/>
      <c r="BU14" s="114"/>
      <c r="BV14" s="291">
        <f t="shared" si="8"/>
        <v>0</v>
      </c>
      <c r="BW14" s="114"/>
      <c r="BX14" s="114"/>
      <c r="BY14" s="114"/>
      <c r="BZ14" s="114"/>
      <c r="CA14" s="291">
        <f t="shared" si="9"/>
        <v>0</v>
      </c>
    </row>
    <row r="15" spans="1:79">
      <c r="B15" s="92"/>
      <c r="C15" s="81" t="s">
        <v>402</v>
      </c>
      <c r="D15" s="291"/>
      <c r="E15" s="83"/>
      <c r="F15" s="83"/>
      <c r="G15" s="83"/>
      <c r="H15" s="83"/>
      <c r="I15" s="291"/>
      <c r="J15" s="83"/>
      <c r="K15" s="83"/>
      <c r="L15" s="83"/>
      <c r="M15" s="83"/>
      <c r="N15" s="291"/>
      <c r="O15" s="83"/>
      <c r="P15" s="83"/>
      <c r="Q15" s="83"/>
      <c r="R15" s="83"/>
      <c r="S15" s="291"/>
      <c r="T15" s="83"/>
      <c r="U15" s="114"/>
      <c r="V15" s="83"/>
      <c r="W15" s="83"/>
      <c r="X15" s="291"/>
      <c r="Y15" s="83"/>
      <c r="Z15" s="114"/>
      <c r="AA15" s="83"/>
      <c r="AB15" s="83"/>
      <c r="AC15" s="291"/>
      <c r="AD15" s="83"/>
      <c r="AE15" s="114"/>
      <c r="AF15" s="114"/>
      <c r="AG15" s="114"/>
      <c r="AH15" s="291">
        <f t="shared" si="1"/>
        <v>0</v>
      </c>
      <c r="AI15" s="114"/>
      <c r="AJ15" s="114"/>
      <c r="AK15" s="114"/>
      <c r="AL15" s="114"/>
      <c r="AM15" s="291">
        <f t="shared" si="2"/>
        <v>0</v>
      </c>
      <c r="AN15" s="114"/>
      <c r="AO15" s="114"/>
      <c r="AP15" s="114"/>
      <c r="AQ15" s="114"/>
      <c r="AR15" s="291">
        <f t="shared" si="3"/>
        <v>0</v>
      </c>
      <c r="AS15" s="114"/>
      <c r="AT15" s="114"/>
      <c r="AU15" s="114"/>
      <c r="AV15" s="114">
        <v>-75165</v>
      </c>
      <c r="AW15" s="291">
        <f t="shared" si="4"/>
        <v>-75165</v>
      </c>
      <c r="AX15" s="114"/>
      <c r="AY15" s="114"/>
      <c r="AZ15" s="114"/>
      <c r="BA15" s="114"/>
      <c r="BB15" s="291">
        <f t="shared" si="5"/>
        <v>0</v>
      </c>
      <c r="BC15" s="114"/>
      <c r="BD15" s="114"/>
      <c r="BE15" s="114"/>
      <c r="BF15" s="114"/>
      <c r="BG15" s="291">
        <f t="shared" si="6"/>
        <v>0</v>
      </c>
      <c r="BH15" s="114"/>
      <c r="BI15" s="114"/>
      <c r="BJ15" s="114"/>
      <c r="BK15" s="114"/>
      <c r="BL15" s="291">
        <f t="shared" si="0"/>
        <v>0</v>
      </c>
      <c r="BM15" s="114"/>
      <c r="BN15" s="114"/>
      <c r="BO15" s="114"/>
      <c r="BP15" s="114"/>
      <c r="BQ15" s="291">
        <f t="shared" si="7"/>
        <v>0</v>
      </c>
      <c r="BR15" s="114"/>
      <c r="BS15" s="114"/>
      <c r="BT15" s="114"/>
      <c r="BU15" s="114"/>
      <c r="BV15" s="291">
        <f t="shared" si="8"/>
        <v>0</v>
      </c>
      <c r="BW15" s="114"/>
      <c r="BX15" s="114"/>
      <c r="BY15" s="114"/>
      <c r="BZ15" s="114"/>
      <c r="CA15" s="291">
        <f t="shared" si="9"/>
        <v>0</v>
      </c>
    </row>
    <row r="16" spans="1:79" s="1090" customFormat="1">
      <c r="B16" s="1091"/>
      <c r="C16" s="81" t="s">
        <v>176</v>
      </c>
      <c r="D16" s="291"/>
      <c r="E16" s="83"/>
      <c r="F16" s="83"/>
      <c r="G16" s="83"/>
      <c r="H16" s="83"/>
      <c r="I16" s="291">
        <f>SUM(E16:H16)</f>
        <v>0</v>
      </c>
      <c r="J16" s="83"/>
      <c r="K16" s="83"/>
      <c r="L16" s="83"/>
      <c r="M16" s="83"/>
      <c r="N16" s="291">
        <f>SUM(J16:M16)</f>
        <v>0</v>
      </c>
      <c r="O16" s="83"/>
      <c r="P16" s="83"/>
      <c r="Q16" s="83"/>
      <c r="R16" s="114"/>
      <c r="S16" s="291"/>
      <c r="T16" s="83"/>
      <c r="U16" s="83"/>
      <c r="V16" s="83"/>
      <c r="W16" s="83"/>
      <c r="X16" s="291"/>
      <c r="Y16" s="83"/>
      <c r="Z16" s="114"/>
      <c r="AA16" s="83"/>
      <c r="AB16" s="83"/>
      <c r="AC16" s="291">
        <v>35443</v>
      </c>
      <c r="AD16" s="83">
        <v>8406</v>
      </c>
      <c r="AE16" s="114">
        <v>8512</v>
      </c>
      <c r="AF16" s="83">
        <v>6595</v>
      </c>
      <c r="AG16" s="114">
        <v>6234</v>
      </c>
      <c r="AH16" s="291">
        <f t="shared" si="1"/>
        <v>29747</v>
      </c>
      <c r="AI16" s="114">
        <v>269794</v>
      </c>
      <c r="AJ16" s="83">
        <v>40165</v>
      </c>
      <c r="AK16" s="83">
        <v>51748</v>
      </c>
      <c r="AL16" s="83">
        <v>49271</v>
      </c>
      <c r="AM16" s="291">
        <f t="shared" si="2"/>
        <v>410978</v>
      </c>
      <c r="AN16" s="83">
        <v>42271</v>
      </c>
      <c r="AO16" s="83">
        <v>55792</v>
      </c>
      <c r="AP16" s="83">
        <v>52736</v>
      </c>
      <c r="AQ16" s="83">
        <v>55605</v>
      </c>
      <c r="AR16" s="291">
        <f t="shared" si="3"/>
        <v>206404</v>
      </c>
      <c r="AS16" s="83">
        <v>53551</v>
      </c>
      <c r="AT16" s="83">
        <v>68767</v>
      </c>
      <c r="AU16" s="83">
        <v>80920</v>
      </c>
      <c r="AV16" s="83">
        <f>IS!AV40</f>
        <v>83639</v>
      </c>
      <c r="AW16" s="291">
        <f t="shared" si="4"/>
        <v>286877</v>
      </c>
      <c r="AX16" s="83">
        <v>81637</v>
      </c>
      <c r="AY16" s="83">
        <v>99458</v>
      </c>
      <c r="AZ16" s="83">
        <v>109441</v>
      </c>
      <c r="BA16" s="83">
        <v>118006</v>
      </c>
      <c r="BB16" s="291">
        <f t="shared" si="5"/>
        <v>408542</v>
      </c>
      <c r="BC16" s="83">
        <v>110723</v>
      </c>
      <c r="BD16" s="83">
        <v>141207</v>
      </c>
      <c r="BE16" s="83">
        <v>140835</v>
      </c>
      <c r="BF16" s="278">
        <v>145961</v>
      </c>
      <c r="BG16" s="291">
        <f t="shared" si="6"/>
        <v>538726</v>
      </c>
      <c r="BH16" s="83">
        <v>144706</v>
      </c>
      <c r="BI16" s="83">
        <v>151707</v>
      </c>
      <c r="BJ16" s="83">
        <v>159418</v>
      </c>
      <c r="BK16" s="83">
        <v>161016</v>
      </c>
      <c r="BL16" s="291">
        <f t="shared" si="0"/>
        <v>616847</v>
      </c>
      <c r="BM16" s="83">
        <v>142504</v>
      </c>
      <c r="BN16" s="83">
        <v>164656</v>
      </c>
      <c r="BO16" s="83">
        <v>153228</v>
      </c>
      <c r="BP16" s="83">
        <v>149947</v>
      </c>
      <c r="BQ16" s="291">
        <f t="shared" si="7"/>
        <v>610335</v>
      </c>
      <c r="BR16" s="83">
        <v>145596</v>
      </c>
      <c r="BS16" s="83">
        <v>160538</v>
      </c>
      <c r="BT16" s="83">
        <v>160642</v>
      </c>
      <c r="BU16" s="83">
        <f>IS!BU40</f>
        <v>150000</v>
      </c>
      <c r="BV16" s="291">
        <f t="shared" si="8"/>
        <v>616776</v>
      </c>
      <c r="BW16" s="83">
        <f>IS!BW40</f>
        <v>160000</v>
      </c>
      <c r="BX16" s="83">
        <f>IS!BX40</f>
        <v>160000</v>
      </c>
      <c r="BY16" s="83">
        <f>IS!BY40</f>
        <v>160000</v>
      </c>
      <c r="BZ16" s="83">
        <f>IS!BZ40</f>
        <v>160000</v>
      </c>
      <c r="CA16" s="291">
        <f t="shared" si="9"/>
        <v>640000</v>
      </c>
    </row>
    <row r="17" spans="2:79" s="1090" customFormat="1">
      <c r="B17" s="1091"/>
      <c r="C17" s="81" t="s">
        <v>472</v>
      </c>
      <c r="D17" s="291"/>
      <c r="E17" s="83"/>
      <c r="F17" s="83"/>
      <c r="G17" s="83"/>
      <c r="H17" s="83"/>
      <c r="I17" s="291"/>
      <c r="J17" s="83"/>
      <c r="K17" s="83"/>
      <c r="L17" s="83"/>
      <c r="M17" s="83"/>
      <c r="N17" s="291"/>
      <c r="O17" s="83"/>
      <c r="P17" s="83"/>
      <c r="Q17" s="83"/>
      <c r="R17" s="114"/>
      <c r="S17" s="291"/>
      <c r="T17" s="83"/>
      <c r="U17" s="83"/>
      <c r="V17" s="83"/>
      <c r="W17" s="83"/>
      <c r="X17" s="291"/>
      <c r="Y17" s="83"/>
      <c r="Z17" s="114"/>
      <c r="AA17" s="83"/>
      <c r="AB17" s="83"/>
      <c r="AC17" s="291"/>
      <c r="AD17" s="83"/>
      <c r="AE17" s="114"/>
      <c r="AF17" s="83"/>
      <c r="AG17" s="114"/>
      <c r="AH17" s="291">
        <f t="shared" si="1"/>
        <v>0</v>
      </c>
      <c r="AI17" s="114"/>
      <c r="AJ17" s="83"/>
      <c r="AK17" s="83"/>
      <c r="AL17" s="83"/>
      <c r="AM17" s="291">
        <f t="shared" si="2"/>
        <v>0</v>
      </c>
      <c r="AN17" s="83"/>
      <c r="AO17" s="83"/>
      <c r="AP17" s="83"/>
      <c r="AQ17" s="83"/>
      <c r="AR17" s="291">
        <f t="shared" si="3"/>
        <v>0</v>
      </c>
      <c r="AS17" s="83"/>
      <c r="AT17" s="83"/>
      <c r="AU17" s="83"/>
      <c r="AV17" s="83"/>
      <c r="AW17" s="291">
        <f t="shared" si="4"/>
        <v>0</v>
      </c>
      <c r="AX17" s="83"/>
      <c r="AY17" s="83">
        <v>3000</v>
      </c>
      <c r="AZ17" s="83"/>
      <c r="BA17" s="83"/>
      <c r="BB17" s="291">
        <f t="shared" si="5"/>
        <v>3000</v>
      </c>
      <c r="BC17" s="83"/>
      <c r="BD17" s="83"/>
      <c r="BE17" s="83"/>
      <c r="BF17" s="83"/>
      <c r="BG17" s="291">
        <f t="shared" si="6"/>
        <v>0</v>
      </c>
      <c r="BH17" s="83"/>
      <c r="BI17" s="83"/>
      <c r="BJ17" s="83"/>
      <c r="BK17" s="83"/>
      <c r="BL17" s="291">
        <f t="shared" si="0"/>
        <v>0</v>
      </c>
      <c r="BM17" s="83"/>
      <c r="BN17" s="83"/>
      <c r="BO17" s="83"/>
      <c r="BP17" s="83"/>
      <c r="BQ17" s="291">
        <f t="shared" si="7"/>
        <v>0</v>
      </c>
      <c r="BR17" s="83"/>
      <c r="BS17" s="83"/>
      <c r="BT17" s="83"/>
      <c r="BU17" s="83"/>
      <c r="BV17" s="291">
        <f t="shared" si="8"/>
        <v>0</v>
      </c>
      <c r="BW17" s="83"/>
      <c r="BX17" s="83"/>
      <c r="BY17" s="83"/>
      <c r="BZ17" s="83"/>
      <c r="CA17" s="291">
        <f t="shared" si="9"/>
        <v>0</v>
      </c>
    </row>
    <row r="18" spans="2:79">
      <c r="B18" s="92"/>
      <c r="C18" s="81" t="s">
        <v>253</v>
      </c>
      <c r="D18" s="291"/>
      <c r="E18" s="83"/>
      <c r="F18" s="83"/>
      <c r="G18" s="83"/>
      <c r="H18" s="83"/>
      <c r="I18" s="291">
        <f t="shared" ref="I18:I30" si="10">SUM(E18:H18)</f>
        <v>0</v>
      </c>
      <c r="J18" s="83"/>
      <c r="K18" s="83"/>
      <c r="L18" s="83"/>
      <c r="M18" s="83"/>
      <c r="N18" s="291">
        <f t="shared" ref="N18:N30" si="11">SUM(J18:M18)</f>
        <v>0</v>
      </c>
      <c r="O18" s="83"/>
      <c r="P18" s="83"/>
      <c r="Q18" s="83"/>
      <c r="R18" s="83"/>
      <c r="S18" s="291"/>
      <c r="T18" s="83"/>
      <c r="U18" s="114"/>
      <c r="V18" s="83"/>
      <c r="W18" s="83"/>
      <c r="X18" s="291"/>
      <c r="Y18" s="83"/>
      <c r="Z18" s="114"/>
      <c r="AA18" s="83"/>
      <c r="AB18" s="83"/>
      <c r="AC18" s="291"/>
      <c r="AD18" s="83"/>
      <c r="AE18" s="114">
        <v>0</v>
      </c>
      <c r="AF18" s="114">
        <v>0</v>
      </c>
      <c r="AG18" s="114"/>
      <c r="AH18" s="291">
        <f t="shared" si="1"/>
        <v>0</v>
      </c>
      <c r="AI18" s="114">
        <v>0</v>
      </c>
      <c r="AJ18" s="114">
        <v>0</v>
      </c>
      <c r="AK18" s="114">
        <v>0</v>
      </c>
      <c r="AL18" s="114">
        <v>0</v>
      </c>
      <c r="AM18" s="291">
        <f t="shared" si="2"/>
        <v>0</v>
      </c>
      <c r="AN18" s="114">
        <v>4128</v>
      </c>
      <c r="AO18" s="114">
        <v>4735</v>
      </c>
      <c r="AP18" s="114">
        <v>4980</v>
      </c>
      <c r="AQ18" s="114">
        <v>5592</v>
      </c>
      <c r="AR18" s="291">
        <f t="shared" si="3"/>
        <v>19435</v>
      </c>
      <c r="AS18" s="114">
        <v>6324</v>
      </c>
      <c r="AT18" s="114">
        <v>6795</v>
      </c>
      <c r="AU18" s="114">
        <v>6963</v>
      </c>
      <c r="AV18" s="114">
        <v>6646</v>
      </c>
      <c r="AW18" s="291">
        <f t="shared" si="4"/>
        <v>26728</v>
      </c>
      <c r="AX18" s="114">
        <v>6943</v>
      </c>
      <c r="AY18" s="114">
        <v>6706</v>
      </c>
      <c r="AZ18" s="114">
        <v>6527</v>
      </c>
      <c r="BA18" s="114">
        <v>6643</v>
      </c>
      <c r="BB18" s="291">
        <f t="shared" si="5"/>
        <v>26819</v>
      </c>
      <c r="BC18" s="114">
        <v>6442</v>
      </c>
      <c r="BD18" s="114">
        <v>7024</v>
      </c>
      <c r="BE18" s="114">
        <v>7002</v>
      </c>
      <c r="BF18" s="114">
        <v>7033</v>
      </c>
      <c r="BG18" s="291">
        <f t="shared" si="6"/>
        <v>27501</v>
      </c>
      <c r="BH18" s="114">
        <v>5980</v>
      </c>
      <c r="BI18" s="114">
        <v>5751</v>
      </c>
      <c r="BJ18" s="114">
        <v>4768</v>
      </c>
      <c r="BK18" s="114">
        <v>4811</v>
      </c>
      <c r="BL18" s="291">
        <f t="shared" si="0"/>
        <v>21310</v>
      </c>
      <c r="BM18" s="114">
        <v>4878</v>
      </c>
      <c r="BN18" s="114">
        <v>4984</v>
      </c>
      <c r="BO18" s="114">
        <v>4601</v>
      </c>
      <c r="BP18" s="114">
        <v>4602</v>
      </c>
      <c r="BQ18" s="291">
        <f t="shared" si="7"/>
        <v>19065</v>
      </c>
      <c r="BR18" s="114">
        <v>4660</v>
      </c>
      <c r="BS18" s="114">
        <v>4704</v>
      </c>
      <c r="BT18" s="114">
        <v>4804</v>
      </c>
      <c r="BU18" s="114">
        <v>8800</v>
      </c>
      <c r="BV18" s="291">
        <f t="shared" si="8"/>
        <v>22968</v>
      </c>
      <c r="BW18" s="114">
        <v>7600</v>
      </c>
      <c r="BX18" s="114">
        <v>8000</v>
      </c>
      <c r="BY18" s="114">
        <v>8400</v>
      </c>
      <c r="BZ18" s="114">
        <v>8800</v>
      </c>
      <c r="CA18" s="291">
        <f t="shared" si="9"/>
        <v>32800</v>
      </c>
    </row>
    <row r="19" spans="2:79">
      <c r="B19" s="92"/>
      <c r="C19" s="81" t="s">
        <v>268</v>
      </c>
      <c r="D19" s="291"/>
      <c r="E19" s="83"/>
      <c r="F19" s="83"/>
      <c r="G19" s="83"/>
      <c r="H19" s="83"/>
      <c r="I19" s="291"/>
      <c r="J19" s="83"/>
      <c r="K19" s="83"/>
      <c r="L19" s="83"/>
      <c r="M19" s="83"/>
      <c r="N19" s="291"/>
      <c r="O19" s="83"/>
      <c r="P19" s="83"/>
      <c r="Q19" s="83"/>
      <c r="R19" s="83"/>
      <c r="S19" s="291"/>
      <c r="T19" s="83"/>
      <c r="U19" s="114"/>
      <c r="V19" s="83"/>
      <c r="W19" s="83"/>
      <c r="X19" s="291"/>
      <c r="Y19" s="83"/>
      <c r="Z19" s="114"/>
      <c r="AA19" s="83"/>
      <c r="AB19" s="83"/>
      <c r="AC19" s="291">
        <v>12</v>
      </c>
      <c r="AD19" s="83">
        <v>-13</v>
      </c>
      <c r="AE19" s="114">
        <v>13</v>
      </c>
      <c r="AF19" s="114">
        <v>58</v>
      </c>
      <c r="AG19" s="114">
        <v>-1054</v>
      </c>
      <c r="AH19" s="291">
        <f t="shared" si="1"/>
        <v>-996</v>
      </c>
      <c r="AI19" s="114">
        <v>-6</v>
      </c>
      <c r="AJ19" s="114">
        <v>-6</v>
      </c>
      <c r="AK19" s="114">
        <v>-7335</v>
      </c>
      <c r="AL19" s="114">
        <v>2346</v>
      </c>
      <c r="AM19" s="291">
        <f t="shared" si="2"/>
        <v>-5001</v>
      </c>
      <c r="AN19" s="114">
        <v>52</v>
      </c>
      <c r="AO19" s="114">
        <v>-24</v>
      </c>
      <c r="AP19" s="114">
        <v>14</v>
      </c>
      <c r="AQ19" s="114">
        <v>1245</v>
      </c>
      <c r="AR19" s="291">
        <f t="shared" si="3"/>
        <v>1287</v>
      </c>
      <c r="AS19" s="114">
        <v>-104</v>
      </c>
      <c r="AT19" s="114">
        <v>-180</v>
      </c>
      <c r="AU19" s="114">
        <v>-766</v>
      </c>
      <c r="AV19" s="114">
        <v>-1360</v>
      </c>
      <c r="AW19" s="291">
        <f t="shared" si="4"/>
        <v>-2410</v>
      </c>
      <c r="AX19" s="114">
        <v>264</v>
      </c>
      <c r="AY19" s="114">
        <v>-1514</v>
      </c>
      <c r="AZ19" s="114">
        <v>-1110</v>
      </c>
      <c r="BA19" s="114">
        <v>3729</v>
      </c>
      <c r="BB19" s="291">
        <f t="shared" si="5"/>
        <v>1369</v>
      </c>
      <c r="BC19" s="114">
        <v>72</v>
      </c>
      <c r="BD19" s="114">
        <v>2996</v>
      </c>
      <c r="BE19" s="114">
        <v>-23</v>
      </c>
      <c r="BF19" s="114">
        <v>-1348</v>
      </c>
      <c r="BG19" s="291">
        <f t="shared" si="6"/>
        <v>1697</v>
      </c>
      <c r="BH19" s="114">
        <v>1623</v>
      </c>
      <c r="BI19" s="114">
        <v>1797</v>
      </c>
      <c r="BJ19" s="114">
        <v>3845</v>
      </c>
      <c r="BK19" s="114">
        <v>-973</v>
      </c>
      <c r="BL19" s="291">
        <f t="shared" si="0"/>
        <v>6292</v>
      </c>
      <c r="BM19" s="114">
        <v>1477</v>
      </c>
      <c r="BN19" s="114">
        <v>-826038</v>
      </c>
      <c r="BO19" s="114">
        <v>6675</v>
      </c>
      <c r="BP19" s="114">
        <v>-22103</v>
      </c>
      <c r="BQ19" s="291">
        <f t="shared" si="7"/>
        <v>-839989</v>
      </c>
      <c r="BR19" s="114">
        <v>-3465</v>
      </c>
      <c r="BS19" s="114">
        <v>4997</v>
      </c>
      <c r="BT19" s="114">
        <v>-2347</v>
      </c>
      <c r="BU19" s="114">
        <f>BS!BU36-BS!BT36</f>
        <v>0</v>
      </c>
      <c r="BV19" s="291">
        <f t="shared" si="8"/>
        <v>-815</v>
      </c>
      <c r="BW19" s="114">
        <f>BS!BW36-BS!BV36</f>
        <v>0</v>
      </c>
      <c r="BX19" s="114">
        <f>BS!BX36-BS!BW36</f>
        <v>0</v>
      </c>
      <c r="BY19" s="114">
        <f>BS!BY36-BS!BX36</f>
        <v>0</v>
      </c>
      <c r="BZ19" s="114">
        <f>BS!BZ36-BS!BY36</f>
        <v>0</v>
      </c>
      <c r="CA19" s="291">
        <f t="shared" si="9"/>
        <v>0</v>
      </c>
    </row>
    <row r="20" spans="2:79">
      <c r="B20" s="92"/>
      <c r="C20" s="81" t="s">
        <v>220</v>
      </c>
      <c r="D20" s="291"/>
      <c r="E20" s="83"/>
      <c r="F20" s="83"/>
      <c r="G20" s="83"/>
      <c r="H20" s="83"/>
      <c r="I20" s="291"/>
      <c r="J20" s="83"/>
      <c r="K20" s="83"/>
      <c r="L20" s="83"/>
      <c r="M20" s="83"/>
      <c r="N20" s="291"/>
      <c r="O20" s="83"/>
      <c r="P20" s="83"/>
      <c r="Q20" s="83"/>
      <c r="R20" s="83"/>
      <c r="S20" s="291"/>
      <c r="T20" s="83"/>
      <c r="U20" s="114"/>
      <c r="V20" s="83"/>
      <c r="W20" s="83"/>
      <c r="X20" s="291"/>
      <c r="Y20" s="83"/>
      <c r="Z20" s="114"/>
      <c r="AA20" s="83"/>
      <c r="AB20" s="83"/>
      <c r="AC20" s="291">
        <v>-1767</v>
      </c>
      <c r="AD20" s="83">
        <v>-803</v>
      </c>
      <c r="AE20" s="114">
        <v>-1023</v>
      </c>
      <c r="AF20" s="114">
        <v>1805</v>
      </c>
      <c r="AG20" s="114">
        <v>-1856</v>
      </c>
      <c r="AH20" s="291">
        <f t="shared" si="1"/>
        <v>-1877</v>
      </c>
      <c r="AI20" s="114">
        <v>2225</v>
      </c>
      <c r="AJ20" s="114">
        <v>-3100</v>
      </c>
      <c r="AK20" s="114">
        <v>-1204</v>
      </c>
      <c r="AL20" s="114">
        <v>2879</v>
      </c>
      <c r="AM20" s="291">
        <f t="shared" si="2"/>
        <v>800</v>
      </c>
      <c r="AN20" s="114">
        <v>-1111</v>
      </c>
      <c r="AO20" s="114">
        <v>-1260</v>
      </c>
      <c r="AP20" s="114">
        <v>229</v>
      </c>
      <c r="AQ20" s="114">
        <v>401</v>
      </c>
      <c r="AR20" s="291">
        <f t="shared" si="3"/>
        <v>-1741</v>
      </c>
      <c r="AS20" s="114">
        <v>504</v>
      </c>
      <c r="AT20" s="114">
        <v>-997</v>
      </c>
      <c r="AU20" s="114">
        <v>1699</v>
      </c>
      <c r="AV20" s="114">
        <v>-1416</v>
      </c>
      <c r="AW20" s="291">
        <f t="shared" si="4"/>
        <v>-210</v>
      </c>
      <c r="AX20" s="114">
        <v>-1240</v>
      </c>
      <c r="AY20" s="114">
        <v>1906</v>
      </c>
      <c r="AZ20" s="114">
        <v>3159</v>
      </c>
      <c r="BA20" s="114">
        <v>4274</v>
      </c>
      <c r="BB20" s="291">
        <f t="shared" si="5"/>
        <v>8099</v>
      </c>
      <c r="BC20" s="114">
        <v>4907</v>
      </c>
      <c r="BD20" s="114">
        <v>3192</v>
      </c>
      <c r="BE20" s="114">
        <v>5441</v>
      </c>
      <c r="BF20" s="114">
        <v>2183</v>
      </c>
      <c r="BG20" s="291">
        <f t="shared" si="6"/>
        <v>15723</v>
      </c>
      <c r="BH20" s="114">
        <v>-831</v>
      </c>
      <c r="BI20" s="114">
        <v>49</v>
      </c>
      <c r="BJ20" s="114">
        <v>-571</v>
      </c>
      <c r="BK20" s="114">
        <v>-551</v>
      </c>
      <c r="BL20" s="291">
        <f t="shared" si="0"/>
        <v>-1904</v>
      </c>
      <c r="BM20" s="114">
        <v>1472</v>
      </c>
      <c r="BN20" s="114">
        <v>3851</v>
      </c>
      <c r="BO20" s="114">
        <v>1149</v>
      </c>
      <c r="BP20" s="114">
        <v>-361</v>
      </c>
      <c r="BQ20" s="291">
        <f t="shared" si="7"/>
        <v>6111</v>
      </c>
      <c r="BR20" s="114">
        <v>1723</v>
      </c>
      <c r="BS20" s="114">
        <v>-218</v>
      </c>
      <c r="BT20" s="114">
        <v>634</v>
      </c>
      <c r="BU20" s="114"/>
      <c r="BV20" s="291">
        <f t="shared" si="8"/>
        <v>2139</v>
      </c>
      <c r="BW20" s="114"/>
      <c r="BX20" s="114"/>
      <c r="BY20" s="114"/>
      <c r="BZ20" s="114"/>
      <c r="CA20" s="291">
        <f t="shared" si="9"/>
        <v>0</v>
      </c>
    </row>
    <row r="21" spans="2:79" ht="13.15">
      <c r="B21" s="120" t="s">
        <v>158</v>
      </c>
      <c r="C21" s="81"/>
      <c r="D21" s="291"/>
      <c r="E21" s="83"/>
      <c r="F21" s="83"/>
      <c r="G21" s="83"/>
      <c r="H21" s="83"/>
      <c r="I21" s="291"/>
      <c r="J21" s="83"/>
      <c r="K21" s="83"/>
      <c r="L21" s="83"/>
      <c r="M21" s="83"/>
      <c r="N21" s="291"/>
      <c r="O21" s="83"/>
      <c r="P21" s="83"/>
      <c r="Q21" s="114"/>
      <c r="R21" s="114"/>
      <c r="S21" s="291"/>
      <c r="T21" s="83"/>
      <c r="U21" s="83"/>
      <c r="V21" s="83"/>
      <c r="W21" s="83"/>
      <c r="X21" s="291"/>
      <c r="Y21" s="83"/>
      <c r="Z21" s="114"/>
      <c r="AA21" s="83"/>
      <c r="AB21" s="83"/>
      <c r="AC21" s="291"/>
      <c r="AD21" s="83"/>
      <c r="AE21" s="114"/>
      <c r="AF21" s="83"/>
      <c r="AG21" s="114"/>
      <c r="AH21" s="291"/>
      <c r="AI21" s="114"/>
      <c r="AJ21" s="83"/>
      <c r="AK21" s="83"/>
      <c r="AL21" s="83"/>
      <c r="AM21" s="291"/>
      <c r="AN21" s="83"/>
      <c r="AO21" s="83"/>
      <c r="AP21" s="83"/>
      <c r="AQ21" s="83"/>
      <c r="AR21" s="291"/>
      <c r="AS21" s="83"/>
      <c r="AT21" s="83"/>
      <c r="AU21" s="83"/>
      <c r="AV21" s="83"/>
      <c r="AW21" s="291"/>
      <c r="AX21" s="83"/>
      <c r="AY21" s="83"/>
      <c r="AZ21" s="83"/>
      <c r="BA21" s="83"/>
      <c r="BB21" s="291">
        <f>SUM(AX21:BA21)</f>
        <v>0</v>
      </c>
      <c r="BC21" s="83"/>
      <c r="BD21" s="83"/>
      <c r="BE21" s="83"/>
      <c r="BF21" s="83"/>
      <c r="BG21" s="291">
        <f>SUM(BC21:BF21)</f>
        <v>0</v>
      </c>
      <c r="BH21" s="83"/>
      <c r="BI21" s="83"/>
      <c r="BJ21" s="83"/>
      <c r="BK21" s="83"/>
      <c r="BL21" s="291">
        <f>SUM(BH21:BK21)</f>
        <v>0</v>
      </c>
      <c r="BM21" s="83"/>
      <c r="BN21" s="83"/>
      <c r="BO21" s="83"/>
      <c r="BP21" s="83"/>
      <c r="BQ21" s="291">
        <f>SUM(BM21:BP21)</f>
        <v>0</v>
      </c>
      <c r="BR21" s="83"/>
      <c r="BS21" s="83"/>
      <c r="BT21" s="83"/>
      <c r="BU21" s="83"/>
      <c r="BV21" s="291">
        <f>SUM(BR21:BU21)</f>
        <v>0</v>
      </c>
      <c r="BW21" s="83"/>
      <c r="BX21" s="83"/>
      <c r="BY21" s="83"/>
      <c r="BZ21" s="83"/>
      <c r="CA21" s="291">
        <f>SUM(BW21:BZ21)</f>
        <v>0</v>
      </c>
    </row>
    <row r="22" spans="2:79">
      <c r="B22" s="92"/>
      <c r="C22" s="81" t="s">
        <v>115</v>
      </c>
      <c r="D22" s="291"/>
      <c r="E22" s="83"/>
      <c r="F22" s="83"/>
      <c r="G22" s="83"/>
      <c r="H22" s="83"/>
      <c r="I22" s="291">
        <f t="shared" si="10"/>
        <v>0</v>
      </c>
      <c r="J22" s="103"/>
      <c r="K22" s="103"/>
      <c r="L22" s="103"/>
      <c r="M22" s="83"/>
      <c r="N22" s="291">
        <f t="shared" si="11"/>
        <v>0</v>
      </c>
      <c r="O22" s="103"/>
      <c r="P22" s="103"/>
      <c r="Q22" s="103"/>
      <c r="R22" s="83"/>
      <c r="S22" s="291"/>
      <c r="T22" s="83"/>
      <c r="U22" s="83"/>
      <c r="V22" s="83"/>
      <c r="W22" s="83"/>
      <c r="X22" s="291"/>
      <c r="Y22" s="83"/>
      <c r="Z22" s="114"/>
      <c r="AA22" s="83"/>
      <c r="AB22" s="83"/>
      <c r="AC22" s="291">
        <v>-17454</v>
      </c>
      <c r="AD22" s="83">
        <v>11577</v>
      </c>
      <c r="AE22" s="114">
        <v>1531</v>
      </c>
      <c r="AF22" s="83">
        <v>-146</v>
      </c>
      <c r="AG22" s="114">
        <v>-41039</v>
      </c>
      <c r="AH22" s="291">
        <f t="shared" ref="AH22:AH29" si="12">SUM(AD22:AG22)</f>
        <v>-28077</v>
      </c>
      <c r="AI22" s="114">
        <v>19622</v>
      </c>
      <c r="AJ22" s="83">
        <v>-4237</v>
      </c>
      <c r="AK22" s="83">
        <v>-14019</v>
      </c>
      <c r="AL22" s="83">
        <v>-43937</v>
      </c>
      <c r="AM22" s="291">
        <f t="shared" ref="AM22:AM29" si="13">SUM(AI22:AL22)</f>
        <v>-42571</v>
      </c>
      <c r="AN22" s="83">
        <v>57414</v>
      </c>
      <c r="AO22" s="83">
        <v>-21518</v>
      </c>
      <c r="AP22" s="83">
        <v>-20812</v>
      </c>
      <c r="AQ22" s="83">
        <v>-78377</v>
      </c>
      <c r="AR22" s="291">
        <f t="shared" ref="AR22:AR29" si="14">SUM(AN22:AQ22)</f>
        <v>-63293</v>
      </c>
      <c r="AS22" s="83">
        <v>17239</v>
      </c>
      <c r="AT22" s="83">
        <v>7915</v>
      </c>
      <c r="AU22" s="83">
        <v>-36583</v>
      </c>
      <c r="AV22" s="83">
        <v>-62484</v>
      </c>
      <c r="AW22" s="291">
        <f t="shared" ref="AW22:AW29" si="15">SUM(AS22:AV22)</f>
        <v>-73913</v>
      </c>
      <c r="AX22" s="83">
        <v>73205</v>
      </c>
      <c r="AY22" s="83">
        <v>-34365</v>
      </c>
      <c r="AZ22" s="83">
        <f>BS!AY8-BS!AZ8</f>
        <v>-20869</v>
      </c>
      <c r="BA22" s="83">
        <v>-135349</v>
      </c>
      <c r="BB22" s="291">
        <f t="shared" ref="BB22:BB29" si="16">SUM(AX22:BA22)</f>
        <v>-117378</v>
      </c>
      <c r="BC22" s="83">
        <v>140078</v>
      </c>
      <c r="BD22" s="83">
        <v>-38656</v>
      </c>
      <c r="BE22" s="83">
        <v>-83084</v>
      </c>
      <c r="BF22" s="83">
        <v>-94302</v>
      </c>
      <c r="BG22" s="291">
        <f t="shared" ref="BG22:BG29" si="17">SUM(BC22:BF22)</f>
        <v>-75964</v>
      </c>
      <c r="BH22" s="83">
        <v>108281</v>
      </c>
      <c r="BI22" s="83">
        <v>-8478</v>
      </c>
      <c r="BJ22" s="83">
        <v>53099</v>
      </c>
      <c r="BK22" s="83">
        <v>-81221</v>
      </c>
      <c r="BL22" s="291">
        <f t="shared" ref="BL22:BL29" si="18">SUM(BH22:BK22)</f>
        <v>71681</v>
      </c>
      <c r="BM22" s="83">
        <v>130639</v>
      </c>
      <c r="BN22" s="83">
        <v>-7068</v>
      </c>
      <c r="BO22" s="83">
        <v>7120</v>
      </c>
      <c r="BP22" s="83">
        <v>-128616</v>
      </c>
      <c r="BQ22" s="291">
        <f t="shared" ref="BQ22:BQ29" si="19">SUM(BM22:BP22)</f>
        <v>2075</v>
      </c>
      <c r="BR22" s="83">
        <v>121003</v>
      </c>
      <c r="BS22" s="83">
        <v>-50674</v>
      </c>
      <c r="BT22" s="83">
        <v>707</v>
      </c>
      <c r="BU22" s="83">
        <f>BS!BT8-BS!BU8</f>
        <v>-133077.38272899995</v>
      </c>
      <c r="BV22" s="291">
        <f t="shared" ref="BV22:BV29" si="20">SUM(BR22:BU22)</f>
        <v>-62041.382728999946</v>
      </c>
      <c r="BW22" s="83">
        <f>BS!BV8-BS!BW8</f>
        <v>125206.03672899993</v>
      </c>
      <c r="BX22" s="83">
        <f>BS!BW8-BS!BX8</f>
        <v>-17737.938000000024</v>
      </c>
      <c r="BY22" s="83">
        <f>BS!BX8-BS!BY8</f>
        <v>-86145.753599999996</v>
      </c>
      <c r="BZ22" s="83">
        <f>BS!BY8-BS!BZ8</f>
        <v>-57545.436651599943</v>
      </c>
      <c r="CA22" s="291">
        <f t="shared" ref="CA22:CA29" si="21">SUM(BW22:BZ22)</f>
        <v>-36223.091522600036</v>
      </c>
    </row>
    <row r="23" spans="2:79">
      <c r="B23" s="92"/>
      <c r="C23" s="81" t="s">
        <v>269</v>
      </c>
      <c r="D23" s="291"/>
      <c r="E23" s="83"/>
      <c r="F23" s="83"/>
      <c r="G23" s="83"/>
      <c r="H23" s="83"/>
      <c r="I23" s="291"/>
      <c r="J23" s="103"/>
      <c r="K23" s="103"/>
      <c r="L23" s="103"/>
      <c r="M23" s="83"/>
      <c r="N23" s="291"/>
      <c r="O23" s="103"/>
      <c r="P23" s="103"/>
      <c r="Q23" s="103"/>
      <c r="R23" s="83"/>
      <c r="S23" s="291"/>
      <c r="T23" s="83"/>
      <c r="U23" s="83"/>
      <c r="V23" s="83"/>
      <c r="W23" s="83"/>
      <c r="X23" s="291"/>
      <c r="Y23" s="83"/>
      <c r="Z23" s="114"/>
      <c r="AA23" s="83"/>
      <c r="AB23" s="83"/>
      <c r="AC23" s="291">
        <v>-7111</v>
      </c>
      <c r="AD23" s="83">
        <v>-38</v>
      </c>
      <c r="AE23" s="114">
        <v>-937</v>
      </c>
      <c r="AF23" s="83">
        <v>-1338</v>
      </c>
      <c r="AG23" s="114">
        <v>-4621</v>
      </c>
      <c r="AH23" s="291">
        <f t="shared" si="12"/>
        <v>-6934</v>
      </c>
      <c r="AI23" s="114">
        <v>2546</v>
      </c>
      <c r="AJ23" s="83">
        <v>3113</v>
      </c>
      <c r="AK23" s="83">
        <v>1625</v>
      </c>
      <c r="AL23" s="83">
        <v>1430</v>
      </c>
      <c r="AM23" s="291">
        <f t="shared" si="13"/>
        <v>8714</v>
      </c>
      <c r="AN23" s="83">
        <v>-2701</v>
      </c>
      <c r="AO23" s="83">
        <v>-2204</v>
      </c>
      <c r="AP23" s="83">
        <v>-2318</v>
      </c>
      <c r="AQ23" s="83">
        <v>5715</v>
      </c>
      <c r="AR23" s="291">
        <f t="shared" si="14"/>
        <v>-1508</v>
      </c>
      <c r="AS23" s="83">
        <v>-740</v>
      </c>
      <c r="AT23" s="83">
        <v>2310</v>
      </c>
      <c r="AU23" s="83">
        <v>-5460</v>
      </c>
      <c r="AV23" s="83">
        <v>5802</v>
      </c>
      <c r="AW23" s="291">
        <f t="shared" si="15"/>
        <v>1912</v>
      </c>
      <c r="AX23" s="83">
        <v>1607</v>
      </c>
      <c r="AY23" s="83">
        <v>1213</v>
      </c>
      <c r="AZ23" s="83">
        <v>-398</v>
      </c>
      <c r="BA23" s="83">
        <v>2471</v>
      </c>
      <c r="BB23" s="291">
        <f t="shared" si="16"/>
        <v>4893</v>
      </c>
      <c r="BC23" s="83">
        <v>-808</v>
      </c>
      <c r="BD23" s="83">
        <v>0</v>
      </c>
      <c r="BE23" s="83">
        <v>0</v>
      </c>
      <c r="BF23" s="83"/>
      <c r="BG23" s="291">
        <f t="shared" si="17"/>
        <v>-808</v>
      </c>
      <c r="BI23" s="83"/>
      <c r="BJ23" s="83"/>
      <c r="BK23" s="83"/>
      <c r="BL23" s="291">
        <f t="shared" si="18"/>
        <v>0</v>
      </c>
      <c r="BM23" s="83"/>
      <c r="BN23" s="83"/>
      <c r="BO23" s="83"/>
      <c r="BP23" s="83"/>
      <c r="BQ23" s="291">
        <f t="shared" si="19"/>
        <v>0</v>
      </c>
      <c r="BR23" s="83"/>
      <c r="BS23" s="83"/>
      <c r="BT23" s="83"/>
      <c r="BU23" s="83">
        <f>BS!BT10-BS!BU10</f>
        <v>-7566.2502620000014</v>
      </c>
      <c r="BV23" s="291">
        <f t="shared" si="20"/>
        <v>-7566.2502620000014</v>
      </c>
      <c r="BW23" s="83">
        <f>BS!BV10-BS!BW10</f>
        <v>417.61266200000136</v>
      </c>
      <c r="BX23" s="83">
        <f>BS!BW10-BS!BX10</f>
        <v>-788.35280000000239</v>
      </c>
      <c r="BY23" s="83">
        <f>BS!BX10-BS!BY10</f>
        <v>-371.41839999999866</v>
      </c>
      <c r="BZ23" s="83">
        <f>BS!BY10-BS!BZ10</f>
        <v>-189.54034171999956</v>
      </c>
      <c r="CA23" s="291">
        <f t="shared" si="21"/>
        <v>-931.69887971999924</v>
      </c>
    </row>
    <row r="24" spans="2:79">
      <c r="B24" s="92"/>
      <c r="C24" s="81" t="s">
        <v>270</v>
      </c>
      <c r="D24" s="291"/>
      <c r="E24" s="83"/>
      <c r="F24" s="83"/>
      <c r="G24" s="83"/>
      <c r="H24" s="83"/>
      <c r="I24" s="291">
        <f t="shared" si="10"/>
        <v>0</v>
      </c>
      <c r="J24" s="103"/>
      <c r="K24" s="103"/>
      <c r="L24" s="103"/>
      <c r="M24" s="103"/>
      <c r="N24" s="291">
        <f t="shared" si="11"/>
        <v>0</v>
      </c>
      <c r="O24" s="103"/>
      <c r="P24" s="103"/>
      <c r="Q24" s="103"/>
      <c r="R24" s="103"/>
      <c r="S24" s="291"/>
      <c r="T24" s="83"/>
      <c r="U24" s="83"/>
      <c r="V24" s="83"/>
      <c r="W24" s="83"/>
      <c r="X24" s="291"/>
      <c r="Y24" s="83"/>
      <c r="Z24" s="114"/>
      <c r="AA24" s="83"/>
      <c r="AB24" s="83"/>
      <c r="AC24" s="291">
        <v>1630</v>
      </c>
      <c r="AD24" s="83">
        <v>-5570</v>
      </c>
      <c r="AE24" s="114">
        <v>4914</v>
      </c>
      <c r="AF24" s="83">
        <v>-3472</v>
      </c>
      <c r="AG24" s="114">
        <v>2621</v>
      </c>
      <c r="AH24" s="291">
        <f t="shared" si="12"/>
        <v>-1507</v>
      </c>
      <c r="AI24" s="114">
        <v>-6519</v>
      </c>
      <c r="AJ24" s="83">
        <v>-1397</v>
      </c>
      <c r="AK24" s="83">
        <v>1023</v>
      </c>
      <c r="AL24" s="83">
        <v>-900</v>
      </c>
      <c r="AM24" s="291">
        <f t="shared" si="13"/>
        <v>-7793</v>
      </c>
      <c r="AN24" s="83">
        <v>-7107</v>
      </c>
      <c r="AO24" s="83">
        <v>3950</v>
      </c>
      <c r="AP24" s="83">
        <v>-341</v>
      </c>
      <c r="AQ24" s="83">
        <v>-1106</v>
      </c>
      <c r="AR24" s="291">
        <f t="shared" si="14"/>
        <v>-4604</v>
      </c>
      <c r="AS24" s="83">
        <v>-9660</v>
      </c>
      <c r="AT24" s="83">
        <v>4272</v>
      </c>
      <c r="AU24" s="83">
        <v>3553</v>
      </c>
      <c r="AV24" s="83">
        <v>680</v>
      </c>
      <c r="AW24" s="291">
        <f t="shared" si="15"/>
        <v>-1155</v>
      </c>
      <c r="AX24" s="83">
        <v>-15670</v>
      </c>
      <c r="AY24" s="83">
        <v>5303</v>
      </c>
      <c r="AZ24" s="83">
        <v>-2523</v>
      </c>
      <c r="BA24" s="83">
        <v>5816</v>
      </c>
      <c r="BB24" s="291">
        <f t="shared" si="16"/>
        <v>-7074</v>
      </c>
      <c r="BC24" s="83">
        <v>-16351</v>
      </c>
      <c r="BD24" s="83">
        <v>323</v>
      </c>
      <c r="BE24" s="83">
        <v>8435</v>
      </c>
      <c r="BF24" s="83">
        <v>2555</v>
      </c>
      <c r="BG24" s="291">
        <f t="shared" si="17"/>
        <v>-5038</v>
      </c>
      <c r="BH24" s="83">
        <v>-16803</v>
      </c>
      <c r="BI24" s="83">
        <v>2383</v>
      </c>
      <c r="BJ24" s="83">
        <v>6463</v>
      </c>
      <c r="BK24" s="83">
        <v>7300</v>
      </c>
      <c r="BL24" s="291">
        <f t="shared" si="18"/>
        <v>-657</v>
      </c>
      <c r="BM24" s="83">
        <v>-17061</v>
      </c>
      <c r="BN24" s="83">
        <v>-6</v>
      </c>
      <c r="BO24" s="83">
        <v>8767</v>
      </c>
      <c r="BP24" s="83">
        <v>-9334</v>
      </c>
      <c r="BQ24" s="291">
        <f t="shared" si="19"/>
        <v>-17634</v>
      </c>
      <c r="BR24" s="83">
        <v>-28551</v>
      </c>
      <c r="BS24" s="83">
        <v>5544</v>
      </c>
      <c r="BT24" s="83">
        <v>2928</v>
      </c>
      <c r="BU24" s="83">
        <f>BS!BT11-BS!BU11</f>
        <v>-4209.6267030000017</v>
      </c>
      <c r="BV24" s="291">
        <f t="shared" si="20"/>
        <v>-24288.626703000002</v>
      </c>
      <c r="BW24" s="83">
        <f>BS!BV11-BS!BW11</f>
        <v>2714.482302999997</v>
      </c>
      <c r="BX24" s="83">
        <f>BS!BW11-BS!BX11</f>
        <v>3333.2020000000048</v>
      </c>
      <c r="BY24" s="83">
        <f>BS!BX11-BS!BY11</f>
        <v>6414.6939999999886</v>
      </c>
      <c r="BZ24" s="83">
        <f>BS!BY11-BS!BZ11</f>
        <v>-1042.4718794599903</v>
      </c>
      <c r="CA24" s="291">
        <f t="shared" si="21"/>
        <v>11419.90642354</v>
      </c>
    </row>
    <row r="25" spans="2:79">
      <c r="B25" s="92"/>
      <c r="C25" s="81" t="s">
        <v>271</v>
      </c>
      <c r="D25" s="291"/>
      <c r="E25" s="83"/>
      <c r="F25" s="83"/>
      <c r="G25" s="83"/>
      <c r="H25" s="83"/>
      <c r="I25" s="291">
        <f t="shared" si="10"/>
        <v>0</v>
      </c>
      <c r="J25" s="103"/>
      <c r="K25" s="103"/>
      <c r="L25" s="103"/>
      <c r="M25" s="83"/>
      <c r="N25" s="291">
        <f t="shared" si="11"/>
        <v>0</v>
      </c>
      <c r="O25" s="103"/>
      <c r="P25" s="103"/>
      <c r="Q25" s="103"/>
      <c r="R25" s="83"/>
      <c r="S25" s="291"/>
      <c r="T25" s="83"/>
      <c r="U25" s="83"/>
      <c r="V25" s="83"/>
      <c r="W25" s="83"/>
      <c r="X25" s="291"/>
      <c r="Y25" s="83"/>
      <c r="Z25" s="114"/>
      <c r="AA25" s="83"/>
      <c r="AB25" s="83"/>
      <c r="AC25" s="291">
        <v>-34761</v>
      </c>
      <c r="AD25" s="83">
        <v>-9372</v>
      </c>
      <c r="AE25" s="114">
        <v>-10827</v>
      </c>
      <c r="AF25" s="83">
        <v>-12023</v>
      </c>
      <c r="AG25" s="114">
        <v>-20756</v>
      </c>
      <c r="AH25" s="291">
        <f t="shared" si="12"/>
        <v>-52978</v>
      </c>
      <c r="AI25" s="114">
        <v>-12326</v>
      </c>
      <c r="AJ25" s="83">
        <v>-18013</v>
      </c>
      <c r="AK25" s="83">
        <v>-22206</v>
      </c>
      <c r="AL25" s="83">
        <v>-28324</v>
      </c>
      <c r="AM25" s="291">
        <f t="shared" si="13"/>
        <v>-80869</v>
      </c>
      <c r="AN25" s="83">
        <v>-20487</v>
      </c>
      <c r="AO25" s="83">
        <v>-27952</v>
      </c>
      <c r="AP25" s="83">
        <v>-27899</v>
      </c>
      <c r="AQ25" s="83">
        <v>-37923</v>
      </c>
      <c r="AR25" s="291">
        <f t="shared" si="14"/>
        <v>-114261</v>
      </c>
      <c r="AS25" s="83">
        <v>-41037</v>
      </c>
      <c r="AT25" s="83">
        <v>-51377</v>
      </c>
      <c r="AU25" s="83">
        <v>-52225</v>
      </c>
      <c r="AV25" s="83">
        <v>-63871</v>
      </c>
      <c r="AW25" s="291">
        <f t="shared" si="15"/>
        <v>-208510</v>
      </c>
      <c r="AX25" s="83">
        <v>-46154</v>
      </c>
      <c r="AY25" s="83">
        <v>-49264</v>
      </c>
      <c r="AZ25" s="83">
        <v>-52528</v>
      </c>
      <c r="BA25" s="83">
        <v>-59447</v>
      </c>
      <c r="BB25" s="291">
        <f t="shared" si="16"/>
        <v>-207393</v>
      </c>
      <c r="BC25" s="83">
        <v>-50512</v>
      </c>
      <c r="BD25" s="83">
        <v>-57803</v>
      </c>
      <c r="BE25" s="83">
        <v>-53305</v>
      </c>
      <c r="BF25" s="83">
        <v>-70695</v>
      </c>
      <c r="BG25" s="291">
        <f t="shared" si="17"/>
        <v>-232315</v>
      </c>
      <c r="BH25" s="83">
        <v>-56526</v>
      </c>
      <c r="BI25" s="83">
        <v>-56830</v>
      </c>
      <c r="BJ25" s="83">
        <v>-63154</v>
      </c>
      <c r="BK25" s="83">
        <v>-78649</v>
      </c>
      <c r="BL25" s="291">
        <f t="shared" si="18"/>
        <v>-255159</v>
      </c>
      <c r="BM25" s="83">
        <v>-63072</v>
      </c>
      <c r="BN25" s="83">
        <v>-68183</v>
      </c>
      <c r="BO25" s="83">
        <v>-83293</v>
      </c>
      <c r="BP25" s="83">
        <v>-87618</v>
      </c>
      <c r="BQ25" s="291">
        <f t="shared" si="19"/>
        <v>-302166</v>
      </c>
      <c r="BR25" s="83">
        <v>-56648</v>
      </c>
      <c r="BS25" s="83">
        <v>-71340</v>
      </c>
      <c r="BT25" s="83">
        <v>-67266</v>
      </c>
      <c r="BU25" s="83">
        <f>BS!BT15-BS!BU15-BU10</f>
        <v>-100136.13351499999</v>
      </c>
      <c r="BV25" s="291">
        <f t="shared" si="20"/>
        <v>-295390.13351499999</v>
      </c>
      <c r="BW25" s="83">
        <f>BS!BV15-BS!BW15-BW10</f>
        <v>28889.005515000026</v>
      </c>
      <c r="BX25" s="83">
        <f>BS!BW15-BS!BX15-BX10</f>
        <v>-48650.584000000032</v>
      </c>
      <c r="BY25" s="83">
        <f>BS!BX15-BS!BY15-BY10</f>
        <v>-53428.960800000059</v>
      </c>
      <c r="BZ25" s="83">
        <f>BS!BY15-BS!BZ15-BZ10</f>
        <v>-57089.6743059</v>
      </c>
      <c r="CA25" s="291">
        <f t="shared" si="21"/>
        <v>-130280.21359090006</v>
      </c>
    </row>
    <row r="26" spans="2:79">
      <c r="B26" s="92"/>
      <c r="C26" s="81" t="s">
        <v>170</v>
      </c>
      <c r="D26" s="291"/>
      <c r="E26" s="83"/>
      <c r="F26" s="83"/>
      <c r="G26" s="83"/>
      <c r="H26" s="83"/>
      <c r="I26" s="291"/>
      <c r="J26" s="103"/>
      <c r="K26" s="103"/>
      <c r="L26" s="103"/>
      <c r="M26" s="83"/>
      <c r="N26" s="291"/>
      <c r="O26" s="103"/>
      <c r="P26" s="103"/>
      <c r="Q26" s="103"/>
      <c r="R26" s="83"/>
      <c r="S26" s="291"/>
      <c r="T26" s="83"/>
      <c r="U26" s="83"/>
      <c r="V26" s="83"/>
      <c r="W26" s="83"/>
      <c r="X26" s="291"/>
      <c r="Y26" s="83"/>
      <c r="Z26" s="114"/>
      <c r="AA26" s="83"/>
      <c r="AB26" s="83"/>
      <c r="AC26" s="291">
        <v>238</v>
      </c>
      <c r="AD26" s="83">
        <v>884</v>
      </c>
      <c r="AE26" s="114">
        <v>-1052</v>
      </c>
      <c r="AF26" s="83">
        <v>-165</v>
      </c>
      <c r="AG26" s="114">
        <v>-1271</v>
      </c>
      <c r="AH26" s="291">
        <f t="shared" si="12"/>
        <v>-1604</v>
      </c>
      <c r="AI26" s="114">
        <v>440</v>
      </c>
      <c r="AJ26" s="83">
        <v>895</v>
      </c>
      <c r="AK26" s="83">
        <v>667</v>
      </c>
      <c r="AL26" s="83">
        <v>656</v>
      </c>
      <c r="AM26" s="291">
        <f t="shared" si="13"/>
        <v>2658</v>
      </c>
      <c r="AN26" s="83">
        <v>541</v>
      </c>
      <c r="AO26" s="83">
        <v>418</v>
      </c>
      <c r="AP26" s="83">
        <v>-33</v>
      </c>
      <c r="AQ26" s="83">
        <v>612</v>
      </c>
      <c r="AR26" s="291">
        <f t="shared" si="14"/>
        <v>1538</v>
      </c>
      <c r="AS26" s="83">
        <v>-1364</v>
      </c>
      <c r="AT26" s="83">
        <v>-4768</v>
      </c>
      <c r="AU26" s="83">
        <v>-331</v>
      </c>
      <c r="AV26" s="83">
        <v>457</v>
      </c>
      <c r="AW26" s="291">
        <f t="shared" si="15"/>
        <v>-6006</v>
      </c>
      <c r="AX26" s="83">
        <v>-3167</v>
      </c>
      <c r="AY26" s="83">
        <v>-3509</v>
      </c>
      <c r="AZ26" s="83">
        <v>-7036</v>
      </c>
      <c r="BA26" s="83">
        <v>-2677</v>
      </c>
      <c r="BB26" s="291">
        <f t="shared" si="16"/>
        <v>-16389</v>
      </c>
      <c r="BC26" s="83">
        <v>-6651</v>
      </c>
      <c r="BD26" s="83">
        <v>204</v>
      </c>
      <c r="BE26" s="83">
        <v>-8452</v>
      </c>
      <c r="BF26" s="83">
        <v>-6612</v>
      </c>
      <c r="BG26" s="291">
        <f t="shared" si="17"/>
        <v>-21511</v>
      </c>
      <c r="BH26" s="83">
        <v>-7661</v>
      </c>
      <c r="BI26" s="83">
        <v>-772</v>
      </c>
      <c r="BJ26" s="83">
        <v>-5586</v>
      </c>
      <c r="BK26" s="83">
        <v>-1413</v>
      </c>
      <c r="BL26" s="291">
        <f t="shared" si="18"/>
        <v>-15432</v>
      </c>
      <c r="BM26" s="83">
        <v>1917</v>
      </c>
      <c r="BN26" s="83">
        <v>-16975</v>
      </c>
      <c r="BO26" s="83">
        <v>-1060</v>
      </c>
      <c r="BP26" s="83">
        <v>-5884</v>
      </c>
      <c r="BQ26" s="291">
        <f t="shared" si="19"/>
        <v>-22002</v>
      </c>
      <c r="BR26" s="83">
        <v>844</v>
      </c>
      <c r="BS26" s="83">
        <v>-2179</v>
      </c>
      <c r="BT26" s="83">
        <v>1034</v>
      </c>
      <c r="BU26" s="83">
        <f>BS!BT20-BS!BU20</f>
        <v>13056.622510999994</v>
      </c>
      <c r="BV26" s="291">
        <f t="shared" si="20"/>
        <v>12755.622510999994</v>
      </c>
      <c r="BW26" s="83">
        <f>BS!BV20-BS!BW20</f>
        <v>-4095.9985110000125</v>
      </c>
      <c r="BX26" s="83">
        <f>BS!BW20-BS!BX20</f>
        <v>8185.7128800000064</v>
      </c>
      <c r="BY26" s="83">
        <f>BS!BX20-BS!BY20</f>
        <v>-2497.0160800000012</v>
      </c>
      <c r="BZ26" s="83">
        <f>BS!BY20-BS!BZ20</f>
        <v>-1705.8630754799815</v>
      </c>
      <c r="CA26" s="291">
        <f t="shared" si="21"/>
        <v>-113.16478647998883</v>
      </c>
    </row>
    <row r="27" spans="2:79">
      <c r="B27" s="92"/>
      <c r="C27" s="81" t="s">
        <v>114</v>
      </c>
      <c r="D27" s="291"/>
      <c r="E27" s="83"/>
      <c r="F27" s="83"/>
      <c r="G27" s="83"/>
      <c r="H27" s="83"/>
      <c r="I27" s="291">
        <f t="shared" si="10"/>
        <v>0</v>
      </c>
      <c r="J27" s="103"/>
      <c r="K27" s="103"/>
      <c r="L27" s="103"/>
      <c r="M27" s="83"/>
      <c r="N27" s="291">
        <f t="shared" si="11"/>
        <v>0</v>
      </c>
      <c r="O27" s="103"/>
      <c r="P27" s="103"/>
      <c r="Q27" s="103"/>
      <c r="R27" s="83"/>
      <c r="S27" s="291"/>
      <c r="T27" s="83"/>
      <c r="U27" s="83"/>
      <c r="V27" s="83"/>
      <c r="W27" s="83"/>
      <c r="X27" s="291"/>
      <c r="Y27" s="83"/>
      <c r="Z27" s="114"/>
      <c r="AA27" s="83"/>
      <c r="AB27" s="83"/>
      <c r="AC27" s="291">
        <v>4890</v>
      </c>
      <c r="AD27" s="83">
        <v>-2125</v>
      </c>
      <c r="AE27" s="114">
        <v>-4146</v>
      </c>
      <c r="AF27" s="83">
        <v>726</v>
      </c>
      <c r="AG27" s="114">
        <v>8409</v>
      </c>
      <c r="AH27" s="291">
        <f t="shared" si="12"/>
        <v>2864</v>
      </c>
      <c r="AI27" s="114">
        <v>-7218</v>
      </c>
      <c r="AJ27" s="83">
        <v>2184</v>
      </c>
      <c r="AK27" s="83">
        <v>-956</v>
      </c>
      <c r="AL27" s="83">
        <v>-1390</v>
      </c>
      <c r="AM27" s="291">
        <f t="shared" si="13"/>
        <v>-7380</v>
      </c>
      <c r="AN27" s="83">
        <v>282</v>
      </c>
      <c r="AO27" s="83">
        <v>1306</v>
      </c>
      <c r="AP27" s="83">
        <v>718</v>
      </c>
      <c r="AQ27" s="83">
        <v>1543</v>
      </c>
      <c r="AR27" s="291">
        <f t="shared" si="14"/>
        <v>3849</v>
      </c>
      <c r="AS27" s="83">
        <v>-2554</v>
      </c>
      <c r="AT27" s="83">
        <v>8829</v>
      </c>
      <c r="AU27" s="83">
        <v>-2620</v>
      </c>
      <c r="AV27" s="83">
        <v>8473</v>
      </c>
      <c r="AW27" s="291">
        <f t="shared" si="15"/>
        <v>12128</v>
      </c>
      <c r="AX27" s="83">
        <v>-21593</v>
      </c>
      <c r="AY27" s="83">
        <v>12150</v>
      </c>
      <c r="AZ27" s="83">
        <v>16146</v>
      </c>
      <c r="BA27" s="83">
        <v>5445</v>
      </c>
      <c r="BB27" s="291">
        <f t="shared" si="16"/>
        <v>12148</v>
      </c>
      <c r="BC27" s="83">
        <v>-23197</v>
      </c>
      <c r="BD27" s="83">
        <v>18510</v>
      </c>
      <c r="BE27" s="83">
        <v>2948</v>
      </c>
      <c r="BF27" s="83">
        <v>-24701</v>
      </c>
      <c r="BG27" s="291">
        <f t="shared" si="17"/>
        <v>-26440</v>
      </c>
      <c r="BH27" s="83">
        <v>-9021</v>
      </c>
      <c r="BI27" s="83">
        <v>-11273</v>
      </c>
      <c r="BJ27" s="83">
        <v>11205</v>
      </c>
      <c r="BK27" s="83">
        <v>4263</v>
      </c>
      <c r="BL27" s="291">
        <f t="shared" si="18"/>
        <v>-4826</v>
      </c>
      <c r="BM27" s="83">
        <v>-1163</v>
      </c>
      <c r="BN27" s="83">
        <v>-10412</v>
      </c>
      <c r="BO27" s="83">
        <v>10061</v>
      </c>
      <c r="BP27" s="83">
        <v>9152</v>
      </c>
      <c r="BQ27" s="291">
        <f t="shared" si="19"/>
        <v>7638</v>
      </c>
      <c r="BR27" s="83">
        <v>-6764</v>
      </c>
      <c r="BS27" s="83">
        <v>-14030</v>
      </c>
      <c r="BT27" s="83">
        <v>12477</v>
      </c>
      <c r="BU27" s="83">
        <f>BS!BU24-BS!BT24</f>
        <v>2334.3753929999984</v>
      </c>
      <c r="BV27" s="291">
        <f t="shared" si="20"/>
        <v>-5982.6246070000016</v>
      </c>
      <c r="BW27" s="83">
        <f>BS!BW24-BS!BV24</f>
        <v>-626.41899299999932</v>
      </c>
      <c r="BX27" s="83">
        <f>BS!BX24-BS!BW24</f>
        <v>1182.5292000000009</v>
      </c>
      <c r="BY27" s="83">
        <f>BS!BY24-BS!BX24</f>
        <v>557.1275999999998</v>
      </c>
      <c r="BZ27" s="83">
        <f>BS!BZ24-BS!BY24</f>
        <v>284.31051257999934</v>
      </c>
      <c r="CA27" s="291">
        <f t="shared" si="21"/>
        <v>1397.5483195800007</v>
      </c>
    </row>
    <row r="28" spans="2:79">
      <c r="B28" s="92"/>
      <c r="C28" s="81" t="s">
        <v>272</v>
      </c>
      <c r="D28" s="291"/>
      <c r="E28" s="83"/>
      <c r="F28" s="83"/>
      <c r="G28" s="83"/>
      <c r="H28" s="83"/>
      <c r="I28" s="291">
        <f t="shared" si="10"/>
        <v>0</v>
      </c>
      <c r="J28" s="103"/>
      <c r="K28" s="103"/>
      <c r="L28" s="103"/>
      <c r="M28" s="103"/>
      <c r="N28" s="291">
        <f t="shared" si="11"/>
        <v>0</v>
      </c>
      <c r="O28" s="103"/>
      <c r="P28" s="103"/>
      <c r="Q28" s="103"/>
      <c r="R28" s="103"/>
      <c r="S28" s="291"/>
      <c r="T28" s="83"/>
      <c r="U28" s="83"/>
      <c r="V28" s="83"/>
      <c r="W28" s="83"/>
      <c r="X28" s="291"/>
      <c r="Y28" s="83"/>
      <c r="Z28" s="114"/>
      <c r="AA28" s="83"/>
      <c r="AB28" s="83"/>
      <c r="AC28" s="291">
        <f>-2596-3693</f>
        <v>-6289</v>
      </c>
      <c r="AD28" s="83">
        <f>-1046+389</f>
        <v>-657</v>
      </c>
      <c r="AE28" s="114">
        <f>529-751</f>
        <v>-222</v>
      </c>
      <c r="AF28" s="83">
        <f>1735+1873</f>
        <v>3608</v>
      </c>
      <c r="AG28" s="114">
        <f>4774+2213</f>
        <v>6987</v>
      </c>
      <c r="AH28" s="291">
        <f t="shared" si="12"/>
        <v>9716</v>
      </c>
      <c r="AI28" s="114">
        <f>3302+309</f>
        <v>3611</v>
      </c>
      <c r="AJ28" s="83">
        <f>-996-379</f>
        <v>-1375</v>
      </c>
      <c r="AK28" s="83">
        <f>1304+4030</f>
        <v>5334</v>
      </c>
      <c r="AL28" s="83">
        <v>-1122</v>
      </c>
      <c r="AM28" s="291">
        <f t="shared" si="13"/>
        <v>6448</v>
      </c>
      <c r="AN28" s="83">
        <v>4710</v>
      </c>
      <c r="AO28" s="83">
        <f>5997+3795</f>
        <v>9792</v>
      </c>
      <c r="AP28" s="83">
        <f>-5203-4608</f>
        <v>-9811</v>
      </c>
      <c r="AQ28" s="83">
        <v>4662</v>
      </c>
      <c r="AR28" s="291">
        <f t="shared" si="14"/>
        <v>9353</v>
      </c>
      <c r="AS28" s="83">
        <v>-916</v>
      </c>
      <c r="AT28" s="83">
        <v>12626</v>
      </c>
      <c r="AU28" s="83">
        <v>10242</v>
      </c>
      <c r="AV28" s="83">
        <v>15203</v>
      </c>
      <c r="AW28" s="291">
        <f t="shared" si="15"/>
        <v>37155</v>
      </c>
      <c r="AX28" s="83">
        <v>11080</v>
      </c>
      <c r="AY28" s="83">
        <v>5942</v>
      </c>
      <c r="AZ28" s="83">
        <v>-5136</v>
      </c>
      <c r="BA28" s="83">
        <v>-1058</v>
      </c>
      <c r="BB28" s="291">
        <f t="shared" si="16"/>
        <v>10828</v>
      </c>
      <c r="BC28" s="83">
        <v>5148</v>
      </c>
      <c r="BD28" s="83">
        <v>-2181</v>
      </c>
      <c r="BE28" s="83">
        <v>-2094</v>
      </c>
      <c r="BF28" s="83">
        <v>6467</v>
      </c>
      <c r="BG28" s="291">
        <f t="shared" si="17"/>
        <v>7340</v>
      </c>
      <c r="BH28" s="83">
        <v>1095</v>
      </c>
      <c r="BI28" s="83">
        <v>9069</v>
      </c>
      <c r="BJ28" s="83">
        <v>-7792</v>
      </c>
      <c r="BK28" s="83">
        <v>4101</v>
      </c>
      <c r="BL28" s="291">
        <f>SUM(BH28:BK28)</f>
        <v>6473</v>
      </c>
      <c r="BM28" s="83">
        <v>-3480</v>
      </c>
      <c r="BN28" s="83">
        <v>-4680</v>
      </c>
      <c r="BO28" s="83">
        <v>1014</v>
      </c>
      <c r="BP28" s="83">
        <v>10081</v>
      </c>
      <c r="BQ28" s="291">
        <f t="shared" si="19"/>
        <v>2935</v>
      </c>
      <c r="BR28" s="83">
        <v>4625</v>
      </c>
      <c r="BS28" s="83">
        <v>175</v>
      </c>
      <c r="BT28" s="83">
        <v>19178</v>
      </c>
      <c r="BU28" s="83">
        <f>BS!BU25-BS!BT25+BS!BU37-BS!BT37</f>
        <v>-14931.872772999996</v>
      </c>
      <c r="BV28" s="291">
        <f t="shared" si="20"/>
        <v>9046.1272270000045</v>
      </c>
      <c r="BW28" s="83">
        <f>BS!BW25-BS!BV25+BS!BW37-BS!BV37</f>
        <v>20640.248772999999</v>
      </c>
      <c r="BX28" s="83">
        <f>BS!BX25-BS!BW25+BS!BX37-BS!BW37</f>
        <v>7883.5280000000239</v>
      </c>
      <c r="BY28" s="83">
        <f>BS!BY25-BS!BX25+BS!BY37-BS!BX37</f>
        <v>-13572.224800000004</v>
      </c>
      <c r="BZ28" s="83">
        <f>BS!BZ25-BS!BY25+BS!BZ37-BS!BY37</f>
        <v>1705.863075479996</v>
      </c>
      <c r="CA28" s="291">
        <f t="shared" si="21"/>
        <v>16657.415048480016</v>
      </c>
    </row>
    <row r="29" spans="2:79">
      <c r="B29" s="92"/>
      <c r="C29" s="81" t="s">
        <v>273</v>
      </c>
      <c r="D29" s="291"/>
      <c r="E29" s="83"/>
      <c r="F29" s="83"/>
      <c r="G29" s="83"/>
      <c r="H29" s="83"/>
      <c r="I29" s="291"/>
      <c r="J29" s="103"/>
      <c r="K29" s="103"/>
      <c r="L29" s="103"/>
      <c r="M29" s="103"/>
      <c r="N29" s="291"/>
      <c r="O29" s="103"/>
      <c r="P29" s="103"/>
      <c r="Q29" s="103"/>
      <c r="R29" s="103"/>
      <c r="S29" s="291"/>
      <c r="T29" s="83"/>
      <c r="U29" s="83"/>
      <c r="V29" s="83"/>
      <c r="W29" s="83"/>
      <c r="X29" s="291"/>
      <c r="Y29" s="83"/>
      <c r="Z29" s="114"/>
      <c r="AA29" s="83"/>
      <c r="AB29" s="83"/>
      <c r="AC29" s="291">
        <v>9532</v>
      </c>
      <c r="AD29" s="83">
        <v>-9128</v>
      </c>
      <c r="AE29" s="114">
        <v>4148</v>
      </c>
      <c r="AF29" s="83">
        <v>3227</v>
      </c>
      <c r="AG29" s="114">
        <v>10921</v>
      </c>
      <c r="AH29" s="291">
        <f t="shared" si="12"/>
        <v>9168</v>
      </c>
      <c r="AI29" s="114">
        <v>-16947</v>
      </c>
      <c r="AJ29" s="83">
        <v>17307</v>
      </c>
      <c r="AK29" s="83">
        <v>1811</v>
      </c>
      <c r="AL29" s="83">
        <v>23868</v>
      </c>
      <c r="AM29" s="291">
        <f t="shared" si="13"/>
        <v>26039</v>
      </c>
      <c r="AN29" s="83">
        <v>-19869</v>
      </c>
      <c r="AO29" s="83">
        <v>22296</v>
      </c>
      <c r="AP29" s="83">
        <v>-9120</v>
      </c>
      <c r="AQ29" s="83">
        <v>12329</v>
      </c>
      <c r="AR29" s="291">
        <f t="shared" si="14"/>
        <v>5636</v>
      </c>
      <c r="AS29" s="83">
        <v>-1536</v>
      </c>
      <c r="AT29" s="83">
        <v>24401</v>
      </c>
      <c r="AU29" s="83">
        <v>688</v>
      </c>
      <c r="AV29" s="83">
        <v>41033</v>
      </c>
      <c r="AW29" s="291">
        <f t="shared" si="15"/>
        <v>64586</v>
      </c>
      <c r="AX29" s="83">
        <v>-34048</v>
      </c>
      <c r="AY29" s="83">
        <v>21001</v>
      </c>
      <c r="AZ29" s="83">
        <v>-9734</v>
      </c>
      <c r="BA29" s="83">
        <v>23909</v>
      </c>
      <c r="BB29" s="291">
        <f t="shared" si="16"/>
        <v>1128</v>
      </c>
      <c r="BC29" s="83">
        <v>-23220</v>
      </c>
      <c r="BD29" s="83">
        <v>9201</v>
      </c>
      <c r="BE29" s="83">
        <v>-1808</v>
      </c>
      <c r="BF29" s="83">
        <v>14046</v>
      </c>
      <c r="BG29" s="291">
        <f t="shared" si="17"/>
        <v>-1781</v>
      </c>
      <c r="BH29" s="83">
        <v>-21582</v>
      </c>
      <c r="BI29" s="83">
        <v>18270</v>
      </c>
      <c r="BJ29" s="83">
        <v>-1056</v>
      </c>
      <c r="BK29" s="83">
        <v>38347</v>
      </c>
      <c r="BL29" s="291">
        <f t="shared" si="18"/>
        <v>33979</v>
      </c>
      <c r="BM29" s="83">
        <v>-45048</v>
      </c>
      <c r="BN29" s="83">
        <v>25146</v>
      </c>
      <c r="BO29" s="83">
        <v>-21226</v>
      </c>
      <c r="BP29" s="83">
        <v>70364</v>
      </c>
      <c r="BQ29" s="291">
        <f t="shared" si="19"/>
        <v>29236</v>
      </c>
      <c r="BR29" s="83">
        <v>-61451</v>
      </c>
      <c r="BS29" s="83">
        <v>37214</v>
      </c>
      <c r="BT29" s="83">
        <v>-28772</v>
      </c>
      <c r="BU29" s="83">
        <f>BS!BU26-BS!BT26</f>
        <v>67181.753929999977</v>
      </c>
      <c r="BV29" s="291">
        <f t="shared" si="20"/>
        <v>14172.753929999977</v>
      </c>
      <c r="BW29" s="83">
        <f>BS!BW26-BS!BV26</f>
        <v>-38517.465129999968</v>
      </c>
      <c r="BX29" s="83">
        <f>BS!BX26-BS!BW26</f>
        <v>10248.5864</v>
      </c>
      <c r="BY29" s="83">
        <f>BS!BY26-BS!BX26</f>
        <v>13471.64360000001</v>
      </c>
      <c r="BZ29" s="83">
        <f>BS!BZ26-BS!BY26</f>
        <v>11296.769184080011</v>
      </c>
      <c r="CA29" s="291">
        <f t="shared" si="21"/>
        <v>-3500.4659459199465</v>
      </c>
    </row>
    <row r="30" spans="2:79">
      <c r="B30" s="92"/>
      <c r="C30" s="81" t="s">
        <v>274</v>
      </c>
      <c r="D30" s="291"/>
      <c r="E30" s="83"/>
      <c r="F30" s="83"/>
      <c r="G30" s="83"/>
      <c r="H30" s="83"/>
      <c r="I30" s="291">
        <f t="shared" si="10"/>
        <v>0</v>
      </c>
      <c r="J30" s="103"/>
      <c r="K30" s="103"/>
      <c r="L30" s="103"/>
      <c r="M30" s="103"/>
      <c r="N30" s="291">
        <f t="shared" si="11"/>
        <v>0</v>
      </c>
      <c r="O30" s="103"/>
      <c r="P30" s="103"/>
      <c r="Q30" s="103"/>
      <c r="R30" s="103"/>
      <c r="S30" s="291"/>
      <c r="T30" s="83"/>
      <c r="U30" s="83"/>
      <c r="V30" s="83"/>
      <c r="W30" s="83"/>
      <c r="X30" s="291"/>
      <c r="Y30" s="83"/>
      <c r="Z30" s="114"/>
      <c r="AA30" s="83"/>
      <c r="AB30" s="83"/>
      <c r="AC30" s="291">
        <f>60440</f>
        <v>60440</v>
      </c>
      <c r="AD30" s="83">
        <v>13027</v>
      </c>
      <c r="AE30" s="114">
        <v>6109</v>
      </c>
      <c r="AF30" s="83">
        <v>11309</v>
      </c>
      <c r="AG30" s="114">
        <v>57329</v>
      </c>
      <c r="AH30" s="291">
        <f>SUM(AD30:AG30)</f>
        <v>87774</v>
      </c>
      <c r="AI30" s="114">
        <v>12611</v>
      </c>
      <c r="AJ30" s="83">
        <v>6892</v>
      </c>
      <c r="AK30" s="83">
        <v>16353</v>
      </c>
      <c r="AL30" s="83">
        <v>65018</v>
      </c>
      <c r="AM30" s="291">
        <f>SUM(AI30:AL30)</f>
        <v>100874</v>
      </c>
      <c r="AN30" s="83">
        <v>4274</v>
      </c>
      <c r="AO30" s="83">
        <f>17472</f>
        <v>17472</v>
      </c>
      <c r="AP30" s="83">
        <v>22563</v>
      </c>
      <c r="AQ30" s="83">
        <v>85957</v>
      </c>
      <c r="AR30" s="291">
        <f>SUM(AN30:AQ30)</f>
        <v>130266</v>
      </c>
      <c r="AS30" s="83">
        <v>44594</v>
      </c>
      <c r="AT30" s="83">
        <v>62892</v>
      </c>
      <c r="AU30" s="83">
        <v>65034</v>
      </c>
      <c r="AV30" s="83">
        <v>95230</v>
      </c>
      <c r="AW30" s="291">
        <f>SUM(AS30:AV30)</f>
        <v>267750</v>
      </c>
      <c r="AX30" s="83">
        <v>51648</v>
      </c>
      <c r="AY30" s="83">
        <v>84976</v>
      </c>
      <c r="AZ30" s="83">
        <v>24423</v>
      </c>
      <c r="BA30" s="83">
        <v>89435</v>
      </c>
      <c r="BB30" s="291">
        <f>SUM(AX30:BA30)</f>
        <v>250482</v>
      </c>
      <c r="BC30" s="83">
        <v>18712</v>
      </c>
      <c r="BD30" s="83">
        <v>23102</v>
      </c>
      <c r="BE30" s="83">
        <v>15010</v>
      </c>
      <c r="BF30" s="83">
        <v>86353</v>
      </c>
      <c r="BG30" s="291">
        <f>SUM(BC30:BF30)</f>
        <v>143177</v>
      </c>
      <c r="BH30" s="83">
        <v>18287</v>
      </c>
      <c r="BI30" s="83">
        <v>22171</v>
      </c>
      <c r="BJ30" s="83">
        <v>-3582</v>
      </c>
      <c r="BK30" s="83">
        <v>115371</v>
      </c>
      <c r="BL30" s="291">
        <f>SUM(BH30:BK30)</f>
        <v>152247</v>
      </c>
      <c r="BM30" s="83">
        <v>-4973</v>
      </c>
      <c r="BN30" s="83">
        <v>-11553</v>
      </c>
      <c r="BO30" s="83">
        <v>95</v>
      </c>
      <c r="BP30" s="83">
        <v>146285</v>
      </c>
      <c r="BQ30" s="291">
        <f>SUM(BM30:BP30)</f>
        <v>129854</v>
      </c>
      <c r="BR30" s="83">
        <v>-34240</v>
      </c>
      <c r="BS30" s="83">
        <v>15966</v>
      </c>
      <c r="BT30" s="83">
        <v>8610</v>
      </c>
      <c r="BU30" s="83">
        <f>BS!BU30-BS!BT30+BS!BU34-BS!BT34</f>
        <v>170218.05101660005</v>
      </c>
      <c r="BV30" s="291">
        <f>SUM(BR30:BU30)</f>
        <v>160554.05101660005</v>
      </c>
      <c r="BW30" s="83">
        <f>BS!BW30-BS!BV30+BS!BW34-BS!BV34</f>
        <v>-43081.601096600061</v>
      </c>
      <c r="BX30" s="83">
        <f>BS!BX30-BS!BW30+BS!BX34-BS!BW34</f>
        <v>19002.131360000014</v>
      </c>
      <c r="BY30" s="83">
        <f>BS!BY30-BS!BX30+BS!BY34-BS!BX34</f>
        <v>-2485.3584799998243</v>
      </c>
      <c r="BZ30" s="83">
        <f>BS!BZ30-BS!BY30+BS!BZ34-BS!BY34</f>
        <v>161898.60237000993</v>
      </c>
      <c r="CA30" s="291">
        <f>SUM(BW30:BZ30)</f>
        <v>135333.77415341005</v>
      </c>
    </row>
    <row r="31" spans="2:79">
      <c r="B31" s="92"/>
      <c r="C31" s="81" t="s">
        <v>292</v>
      </c>
      <c r="D31" s="291"/>
      <c r="E31" s="83"/>
      <c r="F31" s="83"/>
      <c r="G31" s="83"/>
      <c r="H31" s="83"/>
      <c r="I31" s="291"/>
      <c r="J31" s="103"/>
      <c r="K31" s="103"/>
      <c r="L31" s="103"/>
      <c r="M31" s="103"/>
      <c r="N31" s="291"/>
      <c r="O31" s="103"/>
      <c r="P31" s="103"/>
      <c r="Q31" s="103"/>
      <c r="R31" s="103"/>
      <c r="S31" s="291"/>
      <c r="T31" s="83"/>
      <c r="U31" s="83"/>
      <c r="V31" s="83"/>
      <c r="W31" s="83"/>
      <c r="X31" s="291"/>
      <c r="Y31" s="83"/>
      <c r="Z31" s="114"/>
      <c r="AA31" s="83"/>
      <c r="AB31" s="83"/>
      <c r="AC31" s="291">
        <f>14979</f>
        <v>14979</v>
      </c>
      <c r="AD31" s="83">
        <v>-2202</v>
      </c>
      <c r="AE31" s="114">
        <v>2138</v>
      </c>
      <c r="AF31" s="83">
        <v>-110</v>
      </c>
      <c r="AG31" s="114">
        <v>6</v>
      </c>
      <c r="AH31" s="291">
        <f>SUM(AD31:AG31)</f>
        <v>-168</v>
      </c>
      <c r="AI31" s="114"/>
      <c r="AJ31" s="83"/>
      <c r="AK31" s="83"/>
      <c r="AL31" s="83"/>
      <c r="AM31" s="291">
        <f>SUM(AI31:AL31)</f>
        <v>0</v>
      </c>
      <c r="AN31" s="83"/>
      <c r="AO31" s="83"/>
      <c r="AP31" s="83"/>
      <c r="AQ31" s="83"/>
      <c r="AR31" s="291">
        <f>SUM(AN31:AQ31)</f>
        <v>0</v>
      </c>
      <c r="AS31" s="83"/>
      <c r="AT31" s="83"/>
      <c r="AU31" s="83"/>
      <c r="AV31" s="83"/>
      <c r="AW31" s="291">
        <f>SUM(AS31:AV31)</f>
        <v>0</v>
      </c>
      <c r="AX31" s="83"/>
      <c r="AY31" s="83"/>
      <c r="AZ31" s="83"/>
      <c r="BA31" s="83"/>
      <c r="BB31" s="291">
        <f>SUM(AX31:BA31)</f>
        <v>0</v>
      </c>
      <c r="BC31" s="83"/>
      <c r="BD31" s="83"/>
      <c r="BE31" s="83"/>
      <c r="BF31" s="83"/>
      <c r="BG31" s="291">
        <f>SUM(BC31:BF31)</f>
        <v>0</v>
      </c>
      <c r="BH31" s="83"/>
      <c r="BI31" s="83"/>
      <c r="BJ31" s="83"/>
      <c r="BK31" s="83"/>
      <c r="BL31" s="291">
        <f>SUM(BH31:BK31)</f>
        <v>0</v>
      </c>
      <c r="BM31" s="83"/>
      <c r="BN31" s="83"/>
      <c r="BO31" s="83"/>
      <c r="BP31" s="83"/>
      <c r="BQ31" s="291">
        <f>SUM(BM31:BP31)</f>
        <v>0</v>
      </c>
      <c r="BR31" s="83"/>
      <c r="BS31" s="83"/>
      <c r="BT31" s="83"/>
      <c r="BU31" s="83"/>
      <c r="BV31" s="291">
        <f>SUM(BR31:BU31)</f>
        <v>0</v>
      </c>
      <c r="BW31" s="83"/>
      <c r="BX31" s="83"/>
      <c r="BY31" s="83"/>
      <c r="BZ31" s="83"/>
      <c r="CA31" s="291">
        <f>SUM(BW31:BZ31)</f>
        <v>0</v>
      </c>
    </row>
    <row r="32" spans="2:79">
      <c r="B32" s="92"/>
      <c r="C32" s="81" t="s">
        <v>243</v>
      </c>
      <c r="D32" s="291"/>
      <c r="E32" s="83"/>
      <c r="F32" s="83"/>
      <c r="G32" s="83"/>
      <c r="H32" s="83"/>
      <c r="I32" s="291"/>
      <c r="J32" s="103"/>
      <c r="K32" s="103"/>
      <c r="L32" s="103"/>
      <c r="M32" s="103"/>
      <c r="N32" s="291"/>
      <c r="O32" s="103"/>
      <c r="P32" s="103"/>
      <c r="Q32" s="103"/>
      <c r="R32" s="103"/>
      <c r="S32" s="291"/>
      <c r="T32" s="83"/>
      <c r="U32" s="83"/>
      <c r="V32" s="83"/>
      <c r="W32" s="83"/>
      <c r="X32" s="291"/>
      <c r="Y32" s="83"/>
      <c r="Z32" s="114"/>
      <c r="AA32" s="83"/>
      <c r="AB32" s="83"/>
      <c r="AC32" s="291">
        <v>0</v>
      </c>
      <c r="AD32" s="83">
        <v>0</v>
      </c>
      <c r="AE32" s="114">
        <v>0</v>
      </c>
      <c r="AF32" s="83">
        <v>0</v>
      </c>
      <c r="AG32" s="114"/>
      <c r="AH32" s="291">
        <f>SUM(AD32:AG32)</f>
        <v>0</v>
      </c>
      <c r="AI32" s="114">
        <v>0</v>
      </c>
      <c r="AJ32" s="83">
        <v>0</v>
      </c>
      <c r="AK32" s="83">
        <v>0</v>
      </c>
      <c r="AL32" s="83">
        <v>0</v>
      </c>
      <c r="AM32" s="291">
        <f>SUM(AI32:AL32)</f>
        <v>0</v>
      </c>
      <c r="AN32" s="83">
        <v>-3705</v>
      </c>
      <c r="AO32" s="83">
        <v>-3493</v>
      </c>
      <c r="AP32" s="83">
        <v>-3688</v>
      </c>
      <c r="AQ32" s="83">
        <v>-3738</v>
      </c>
      <c r="AR32" s="291">
        <f>SUM(AN32:AQ32)</f>
        <v>-14624</v>
      </c>
      <c r="AS32" s="83">
        <v>406</v>
      </c>
      <c r="AT32" s="83">
        <v>-7504</v>
      </c>
      <c r="AU32" s="83">
        <v>-7296</v>
      </c>
      <c r="AV32" s="83">
        <v>-7379</v>
      </c>
      <c r="AW32" s="291">
        <f>SUM(AS32:AV32)</f>
        <v>-21773</v>
      </c>
      <c r="AX32" s="83">
        <v>-7731</v>
      </c>
      <c r="AY32" s="83">
        <v>-8502</v>
      </c>
      <c r="AZ32" s="83">
        <v>-7979</v>
      </c>
      <c r="BA32" s="83">
        <v>-8642</v>
      </c>
      <c r="BB32" s="291">
        <f>SUM(AX32:BA32)</f>
        <v>-32854</v>
      </c>
      <c r="BC32" s="83">
        <v>-8259</v>
      </c>
      <c r="BD32" s="83">
        <v>-9088</v>
      </c>
      <c r="BE32" s="83">
        <v>-16083</v>
      </c>
      <c r="BF32" s="83">
        <v>-8934</v>
      </c>
      <c r="BG32" s="291">
        <f>SUM(BC32:BF32)</f>
        <v>-42364</v>
      </c>
      <c r="BH32" s="83">
        <v>-6795</v>
      </c>
      <c r="BI32" s="83">
        <v>-6862</v>
      </c>
      <c r="BJ32" s="83">
        <v>-5635</v>
      </c>
      <c r="BK32" s="83">
        <v>-5987</v>
      </c>
      <c r="BL32" s="291">
        <f>SUM(BH32:BK32)</f>
        <v>-25279</v>
      </c>
      <c r="BM32" s="83">
        <v>-5880</v>
      </c>
      <c r="BN32" s="83">
        <v>-6141</v>
      </c>
      <c r="BO32" s="83">
        <v>-4199</v>
      </c>
      <c r="BP32" s="83">
        <v>-5426</v>
      </c>
      <c r="BQ32" s="291">
        <f>SUM(BM32:BP32)</f>
        <v>-21646</v>
      </c>
      <c r="BR32" s="83">
        <v>-4969</v>
      </c>
      <c r="BS32" s="83">
        <v>-5430</v>
      </c>
      <c r="BT32" s="83">
        <v>-5020</v>
      </c>
      <c r="BU32" s="83">
        <f>BS!BU28-BS!BT28+BS!BU32-BS!BT32-BU18</f>
        <v>-3959.6871725000092</v>
      </c>
      <c r="BV32" s="291">
        <f>SUM(BR32:BU32)</f>
        <v>-19378.687172500009</v>
      </c>
      <c r="BW32" s="83">
        <f>BS!BW28-BS!BV28+BS!BW32-BS!BV32-BW18</f>
        <v>-4090.3564274999953</v>
      </c>
      <c r="BX32" s="83">
        <f>BS!BX28-BS!BW28+BS!BX32-BS!BW32-BX18</f>
        <v>-6817.4708000000101</v>
      </c>
      <c r="BY32" s="83">
        <f>BS!BY28-BS!BX28+BS!BY32-BS!BX32-BY18</f>
        <v>-7842.8723999999929</v>
      </c>
      <c r="BZ32" s="83">
        <f>BS!BZ28-BS!BY28+BS!BZ32-BS!BY32-BZ18</f>
        <v>-8515.6894874199934</v>
      </c>
      <c r="CA32" s="291">
        <f>SUM(BW32:BZ32)</f>
        <v>-27266.389114919992</v>
      </c>
    </row>
    <row r="33" spans="2:79" s="96" customFormat="1" ht="13.15">
      <c r="B33" s="120" t="s">
        <v>113</v>
      </c>
      <c r="C33" s="128"/>
      <c r="D33" s="1092">
        <f t="shared" ref="D33:W33" si="22">SUM(D6:D30)</f>
        <v>0</v>
      </c>
      <c r="E33" s="1069">
        <f t="shared" si="22"/>
        <v>0</v>
      </c>
      <c r="F33" s="1069">
        <f t="shared" si="22"/>
        <v>0</v>
      </c>
      <c r="G33" s="1069">
        <f t="shared" si="22"/>
        <v>0</v>
      </c>
      <c r="H33" s="1069">
        <f t="shared" si="22"/>
        <v>0</v>
      </c>
      <c r="I33" s="1092">
        <f t="shared" si="22"/>
        <v>0</v>
      </c>
      <c r="J33" s="1069">
        <f t="shared" si="22"/>
        <v>0</v>
      </c>
      <c r="K33" s="1069">
        <f t="shared" si="22"/>
        <v>0</v>
      </c>
      <c r="L33" s="1069">
        <f t="shared" si="22"/>
        <v>0</v>
      </c>
      <c r="M33" s="1069">
        <f t="shared" si="22"/>
        <v>0</v>
      </c>
      <c r="N33" s="1092">
        <f t="shared" si="22"/>
        <v>0</v>
      </c>
      <c r="O33" s="1069">
        <f t="shared" si="22"/>
        <v>0</v>
      </c>
      <c r="P33" s="1069">
        <f t="shared" si="22"/>
        <v>0</v>
      </c>
      <c r="Q33" s="1069">
        <f t="shared" si="22"/>
        <v>0</v>
      </c>
      <c r="R33" s="1069">
        <f t="shared" si="22"/>
        <v>0</v>
      </c>
      <c r="S33" s="1092">
        <f t="shared" si="22"/>
        <v>0</v>
      </c>
      <c r="T33" s="1069">
        <f t="shared" si="22"/>
        <v>0</v>
      </c>
      <c r="U33" s="1069">
        <f t="shared" si="22"/>
        <v>0</v>
      </c>
      <c r="V33" s="1069">
        <f t="shared" si="22"/>
        <v>0</v>
      </c>
      <c r="W33" s="1069">
        <f t="shared" si="22"/>
        <v>0</v>
      </c>
      <c r="X33" s="1092">
        <f>-67995</f>
        <v>-67995</v>
      </c>
      <c r="Y33" s="1069"/>
      <c r="Z33" s="1069"/>
      <c r="AA33" s="1069"/>
      <c r="AB33" s="1069"/>
      <c r="AC33" s="1092">
        <f>SUM(AC6:AC32)-AC8-AC9</f>
        <v>-4790</v>
      </c>
      <c r="AD33" s="1069">
        <f>SUM(AD6:AD32)-AD8-AD9</f>
        <v>-697</v>
      </c>
      <c r="AE33" s="1069">
        <f>SUM(AE6:AE32)-AE8-AE9</f>
        <v>12098</v>
      </c>
      <c r="AF33" s="1069">
        <f>SUM(AF6:AF32)-AF8-AF9</f>
        <v>11618</v>
      </c>
      <c r="AG33" s="1069">
        <f>SUM(AG6:AG32)-AG8-AG9</f>
        <v>31960</v>
      </c>
      <c r="AH33" s="1092">
        <f>SUM(AD33:AG33)</f>
        <v>54979</v>
      </c>
      <c r="AI33" s="1069">
        <f>SUM(AI6:AI32)-AI8-AI9</f>
        <v>14992</v>
      </c>
      <c r="AJ33" s="1069">
        <f>SUM(AJ6:AJ32)-AJ8-AJ9</f>
        <v>22695</v>
      </c>
      <c r="AK33" s="1069">
        <f>SUM(AK6:AK32)-AK8-AK9</f>
        <v>4261</v>
      </c>
      <c r="AL33" s="1069">
        <f>SUM(AL6:AL32)-AL8-AL9</f>
        <v>34137</v>
      </c>
      <c r="AM33" s="1092">
        <f>SUM(AI33:AL33)</f>
        <v>76085</v>
      </c>
      <c r="AN33" s="1069">
        <f>SUM(AN6:AN32)-AN8-AN9</f>
        <v>45655</v>
      </c>
      <c r="AO33" s="1069">
        <f>SUM(AO6:AO32)-AO8-AO9</f>
        <v>26405</v>
      </c>
      <c r="AP33" s="1069">
        <f>SUM(AP6:AP32)-AP8-AP9</f>
        <v>-1869</v>
      </c>
      <c r="AQ33" s="1069">
        <f>SUM(AQ6:AQ32)-AQ8-AQ9</f>
        <v>45505</v>
      </c>
      <c r="AR33" s="1092">
        <f>SUM(AN33:AQ33)</f>
        <v>115696</v>
      </c>
      <c r="AS33" s="1069">
        <f t="shared" ref="AS33:BB33" si="23">SUM(AS6:AS32)-AS8-AS9</f>
        <v>59144</v>
      </c>
      <c r="AT33" s="1069">
        <f t="shared" si="23"/>
        <v>118134</v>
      </c>
      <c r="AU33" s="1069">
        <f t="shared" si="23"/>
        <v>57443</v>
      </c>
      <c r="AV33" s="1069">
        <f t="shared" si="23"/>
        <v>62233</v>
      </c>
      <c r="AW33" s="1092">
        <f t="shared" si="23"/>
        <v>296954</v>
      </c>
      <c r="AX33" s="1069">
        <f t="shared" si="23"/>
        <v>135597</v>
      </c>
      <c r="AY33" s="1069">
        <f t="shared" si="23"/>
        <v>177669</v>
      </c>
      <c r="AZ33" s="1069">
        <f t="shared" si="23"/>
        <v>105411</v>
      </c>
      <c r="BA33" s="1069">
        <f t="shared" si="23"/>
        <v>87793</v>
      </c>
      <c r="BB33" s="1092">
        <f t="shared" si="23"/>
        <v>506470</v>
      </c>
      <c r="BC33" s="1069">
        <f t="shared" ref="BC33:CA33" si="24">SUM(BC6:BC32)-BC8-BC9</f>
        <v>196286</v>
      </c>
      <c r="BD33" s="1069">
        <f t="shared" si="24"/>
        <v>120879</v>
      </c>
      <c r="BE33" s="1069">
        <f t="shared" si="24"/>
        <v>52537</v>
      </c>
      <c r="BF33" s="1069">
        <f t="shared" si="24"/>
        <v>137057</v>
      </c>
      <c r="BG33" s="1092">
        <f t="shared" si="24"/>
        <v>506759</v>
      </c>
      <c r="BH33" s="1069">
        <f t="shared" si="24"/>
        <v>233635</v>
      </c>
      <c r="BI33" s="1069">
        <f t="shared" si="24"/>
        <v>211016</v>
      </c>
      <c r="BJ33" s="1069">
        <f t="shared" si="24"/>
        <v>264177</v>
      </c>
      <c r="BK33" s="1069">
        <f t="shared" si="24"/>
        <v>270698</v>
      </c>
      <c r="BL33" s="1092">
        <f t="shared" si="24"/>
        <v>979526</v>
      </c>
      <c r="BM33" s="1069">
        <f t="shared" si="24"/>
        <v>254826</v>
      </c>
      <c r="BN33" s="1069">
        <f t="shared" si="24"/>
        <v>220208</v>
      </c>
      <c r="BO33" s="1069">
        <f t="shared" si="24"/>
        <v>234326</v>
      </c>
      <c r="BP33" s="1069">
        <f t="shared" si="24"/>
        <v>307912</v>
      </c>
      <c r="BQ33" s="1092">
        <f t="shared" si="24"/>
        <v>1017272</v>
      </c>
      <c r="BR33" s="1069">
        <f t="shared" si="24"/>
        <v>251439</v>
      </c>
      <c r="BS33" s="1069">
        <f t="shared" si="24"/>
        <v>246073</v>
      </c>
      <c r="BT33" s="1069">
        <f t="shared" si="24"/>
        <v>290274</v>
      </c>
      <c r="BU33" s="1069">
        <f t="shared" si="24"/>
        <v>301781.32637919998</v>
      </c>
      <c r="BV33" s="1092">
        <f t="shared" si="24"/>
        <v>1089567.3263792007</v>
      </c>
      <c r="BW33" s="1069">
        <f t="shared" si="24"/>
        <v>388553.26225093193</v>
      </c>
      <c r="BX33" s="1069">
        <f t="shared" si="24"/>
        <v>294253.69819506106</v>
      </c>
      <c r="BY33" s="1069">
        <f t="shared" si="24"/>
        <v>181796.84918621587</v>
      </c>
      <c r="BZ33" s="1069">
        <f t="shared" si="24"/>
        <v>325282.35513264872</v>
      </c>
      <c r="CA33" s="1092">
        <f t="shared" si="24"/>
        <v>1189886.1647648572</v>
      </c>
    </row>
    <row r="34" spans="2:79" s="1094" customFormat="1" ht="12" customHeight="1">
      <c r="B34" s="1093"/>
      <c r="C34" s="971" t="s">
        <v>139</v>
      </c>
      <c r="D34" s="977"/>
      <c r="E34" s="971"/>
      <c r="F34" s="971"/>
      <c r="G34" s="971"/>
      <c r="H34" s="971"/>
      <c r="I34" s="977"/>
      <c r="J34" s="971"/>
      <c r="K34" s="971"/>
      <c r="L34" s="971"/>
      <c r="M34" s="971"/>
      <c r="N34" s="977"/>
      <c r="O34" s="971"/>
      <c r="P34" s="971"/>
      <c r="Q34" s="971"/>
      <c r="R34" s="978"/>
      <c r="S34" s="977"/>
      <c r="T34" s="971"/>
      <c r="U34" s="971"/>
      <c r="V34" s="971"/>
      <c r="W34" s="971"/>
      <c r="X34" s="977">
        <f>X33/IS!X13</f>
        <v>-0.27145771535565572</v>
      </c>
      <c r="Y34" s="971" t="e">
        <f>Y33/IS!Y13</f>
        <v>#DIV/0!</v>
      </c>
      <c r="Z34" s="978" t="e">
        <f>Z33/IS!Z13</f>
        <v>#DIV/0!</v>
      </c>
      <c r="AA34" s="971" t="e">
        <f>AA33/IS!AA13</f>
        <v>#DIV/0!</v>
      </c>
      <c r="AB34" s="971" t="e">
        <f>AB33/IS!AB13</f>
        <v>#DIV/0!</v>
      </c>
      <c r="AC34" s="977">
        <f>AC33/IS!AC13</f>
        <v>-1.2557050692210697E-2</v>
      </c>
      <c r="AD34" s="971">
        <f>AD33/IS!AD13</f>
        <v>-6.1410773758127897E-3</v>
      </c>
      <c r="AE34" s="978">
        <f>AE33/IS!AE13</f>
        <v>9.6365388751264505E-2</v>
      </c>
      <c r="AF34" s="978">
        <f>AF33/IS!AF13</f>
        <v>8.8966145693741436E-2</v>
      </c>
      <c r="AG34" s="978">
        <f>AG33/IS!AG13</f>
        <v>0.21467818423633409</v>
      </c>
      <c r="AH34" s="977">
        <f>AH33/IS!AH13</f>
        <v>0.10603389752055915</v>
      </c>
      <c r="AI34" s="978">
        <f>AI33/IS!AI13</f>
        <v>9.6220989936331894E-2</v>
      </c>
      <c r="AJ34" s="971">
        <f>AJ33/IS!AJ13</f>
        <v>0.13586240750939871</v>
      </c>
      <c r="AK34" s="971">
        <f>AK33/IS!AK13</f>
        <v>2.3886537545197185E-2</v>
      </c>
      <c r="AL34" s="971">
        <f>AL33/IS!AL13</f>
        <v>0.17091402479322293</v>
      </c>
      <c r="AM34" s="977">
        <f>AM33/IS!AM13</f>
        <v>0.10854260316790043</v>
      </c>
      <c r="AN34" s="971">
        <f>AN33/IS!AN13</f>
        <v>0.21337901122629252</v>
      </c>
      <c r="AO34" s="971">
        <f>AO33/IS!AO13</f>
        <v>0.11206984364124069</v>
      </c>
      <c r="AP34" s="971">
        <f>AP33/IS!AP13</f>
        <v>-7.4909219164575836E-3</v>
      </c>
      <c r="AQ34" s="971">
        <f>AQ33/IS!AQ13</f>
        <v>0.16553593190127139</v>
      </c>
      <c r="AR34" s="977">
        <f>AR33/IS!AR13</f>
        <v>0.11878793105749555</v>
      </c>
      <c r="AS34" s="971">
        <f>AS33/IS!AS13</f>
        <v>0.19912664931636909</v>
      </c>
      <c r="AT34" s="971">
        <f>AT33/IS!AT13</f>
        <v>0.34521009090935656</v>
      </c>
      <c r="AU34" s="971">
        <f>AU33/IS!AU13</f>
        <v>0.15001188228442794</v>
      </c>
      <c r="AV34" s="971">
        <f>AV33/IS!AV13</f>
        <v>0.14442629114082683</v>
      </c>
      <c r="AW34" s="977">
        <f>AW33/IS!AW13</f>
        <v>0.20436641072174541</v>
      </c>
      <c r="AX34" s="971">
        <f>AX33/IS!AX13</f>
        <v>0.28907132715667755</v>
      </c>
      <c r="AY34" s="971">
        <f>AY33/IS!AY13</f>
        <v>0.34711552738725082</v>
      </c>
      <c r="AZ34" s="971">
        <f>AZ33/IS!AZ13</f>
        <v>0.19325050461717844</v>
      </c>
      <c r="BA34" s="971">
        <f>BA33/IS!BA13</f>
        <v>0.15115145964037546</v>
      </c>
      <c r="BB34" s="977">
        <f>BB33/IS!BB13</f>
        <v>0.24035064324299443</v>
      </c>
      <c r="BC34" s="971">
        <f>BC33/IS!BC13</f>
        <v>0.33342732702329914</v>
      </c>
      <c r="BD34" s="971">
        <f>BD33/IS!BD13</f>
        <v>0.19428175587928972</v>
      </c>
      <c r="BE34" s="971">
        <f>BE33/IS!BE13</f>
        <v>8.1394285962169785E-2</v>
      </c>
      <c r="BF34" s="971">
        <f>BF33/IS!BF13</f>
        <v>0.20779561415212197</v>
      </c>
      <c r="BG34" s="977">
        <f>BG33/IS!BG13</f>
        <v>0.20142135167523545</v>
      </c>
      <c r="BH34" s="971">
        <f>BH33/IS!BH13</f>
        <v>0.35324952977677249</v>
      </c>
      <c r="BI34" s="971">
        <f>BI33/IS!BI13</f>
        <v>0.30684890073536364</v>
      </c>
      <c r="BJ34" s="971">
        <f>BJ33/IS!BJ13</f>
        <v>0.37716887414854783</v>
      </c>
      <c r="BK34" s="971">
        <f>BK33/IS!BK13</f>
        <v>0.37998781559435474</v>
      </c>
      <c r="BL34" s="977">
        <f>BL33/IS!BL13</f>
        <v>0.35465888839566645</v>
      </c>
      <c r="BM34" s="971">
        <f>BM33/IS!BM13</f>
        <v>0.35909193393833494</v>
      </c>
      <c r="BN34" s="971">
        <f>BN33/IS!BN13</f>
        <v>0.29918467664909032</v>
      </c>
      <c r="BO34" s="971">
        <f>BO33/IS!BO13</f>
        <v>0.31043957499801278</v>
      </c>
      <c r="BP34" s="971">
        <f>BP33/IS!BP13</f>
        <v>0.39666500054106141</v>
      </c>
      <c r="BQ34" s="977">
        <f>BQ33/IS!BQ13</f>
        <v>0.34174040787586685</v>
      </c>
      <c r="BR34" s="971">
        <f>BR33/IS!BR13</f>
        <v>0.3292577528566602</v>
      </c>
      <c r="BS34" s="971">
        <f>BS33/IS!BS13</f>
        <v>0.30734690920718027</v>
      </c>
      <c r="BT34" s="971">
        <f>BT33/IS!BT13</f>
        <v>0.35470642145781145</v>
      </c>
      <c r="BU34" s="971">
        <f>BU33/IS!BU13</f>
        <v>0.36481716801921521</v>
      </c>
      <c r="BV34" s="977">
        <f>BV33/IS!BV13</f>
        <v>0.33944466978855742</v>
      </c>
      <c r="BW34" s="971">
        <f>BW33/IS!BW13</f>
        <v>0.48187758897853811</v>
      </c>
      <c r="BX34" s="971">
        <f>BX33/IS!BX13</f>
        <v>0.34792062098369392</v>
      </c>
      <c r="BY34" s="971">
        <f>BY33/IS!BY13</f>
        <v>0.21033501092050519</v>
      </c>
      <c r="BZ34" s="971">
        <f>BZ33/IS!BZ13</f>
        <v>0.37226287681978698</v>
      </c>
      <c r="CA34" s="977">
        <f>CA33/IS!CA13</f>
        <v>0.35097823475676132</v>
      </c>
    </row>
    <row r="35" spans="2:79" s="1094" customFormat="1" ht="12" customHeight="1">
      <c r="B35" s="1093"/>
      <c r="C35" s="971" t="s">
        <v>633</v>
      </c>
      <c r="D35" s="977"/>
      <c r="E35" s="971"/>
      <c r="F35" s="971"/>
      <c r="G35" s="971"/>
      <c r="H35" s="971"/>
      <c r="I35" s="977"/>
      <c r="J35" s="971"/>
      <c r="K35" s="971"/>
      <c r="L35" s="971"/>
      <c r="M35" s="971"/>
      <c r="N35" s="977"/>
      <c r="O35" s="971"/>
      <c r="P35" s="971"/>
      <c r="Q35" s="971"/>
      <c r="R35" s="978"/>
      <c r="S35" s="977"/>
      <c r="T35" s="971"/>
      <c r="U35" s="971"/>
      <c r="V35" s="971"/>
      <c r="W35" s="971"/>
      <c r="X35" s="977"/>
      <c r="Y35" s="971"/>
      <c r="Z35" s="978"/>
      <c r="AA35" s="971"/>
      <c r="AB35" s="971"/>
      <c r="AC35" s="977">
        <f>AC33/X33-1</f>
        <v>-0.92955364365026838</v>
      </c>
      <c r="AD35" s="971" t="e">
        <f t="shared" ref="AD35:CA35" si="25">AD33/Y33-1</f>
        <v>#DIV/0!</v>
      </c>
      <c r="AE35" s="978" t="e">
        <f t="shared" si="25"/>
        <v>#DIV/0!</v>
      </c>
      <c r="AF35" s="978" t="e">
        <f t="shared" si="25"/>
        <v>#DIV/0!</v>
      </c>
      <c r="AG35" s="978" t="e">
        <f t="shared" si="25"/>
        <v>#DIV/0!</v>
      </c>
      <c r="AH35" s="977">
        <f t="shared" si="25"/>
        <v>-12.477870563674321</v>
      </c>
      <c r="AI35" s="978">
        <f t="shared" si="25"/>
        <v>-22.509325681492108</v>
      </c>
      <c r="AJ35" s="971">
        <f t="shared" si="25"/>
        <v>0.87592990576954866</v>
      </c>
      <c r="AK35" s="971">
        <f t="shared" si="25"/>
        <v>-0.63324152177655368</v>
      </c>
      <c r="AL35" s="971">
        <f t="shared" si="25"/>
        <v>6.8116395494367987E-2</v>
      </c>
      <c r="AM35" s="977">
        <f t="shared" si="25"/>
        <v>0.38389203150293749</v>
      </c>
      <c r="AN35" s="971">
        <f t="shared" si="25"/>
        <v>2.0452908217716117</v>
      </c>
      <c r="AO35" s="971">
        <f t="shared" si="25"/>
        <v>0.16347213042520381</v>
      </c>
      <c r="AP35" s="971">
        <f t="shared" si="25"/>
        <v>-1.4386294297113353</v>
      </c>
      <c r="AQ35" s="971">
        <f t="shared" si="25"/>
        <v>0.33301110232299269</v>
      </c>
      <c r="AR35" s="977">
        <f t="shared" si="25"/>
        <v>0.52061510153118218</v>
      </c>
      <c r="AS35" s="971">
        <f t="shared" si="25"/>
        <v>0.29545504325922689</v>
      </c>
      <c r="AT35" s="971">
        <f t="shared" si="25"/>
        <v>3.4739253929180078</v>
      </c>
      <c r="AU35" s="971">
        <f t="shared" si="25"/>
        <v>-31.734617442482612</v>
      </c>
      <c r="AV35" s="971">
        <f t="shared" si="25"/>
        <v>0.36760795516976152</v>
      </c>
      <c r="AW35" s="977">
        <f t="shared" si="25"/>
        <v>1.5666747337850921</v>
      </c>
      <c r="AX35" s="971">
        <f t="shared" si="25"/>
        <v>1.2926585959691601</v>
      </c>
      <c r="AY35" s="971">
        <f t="shared" si="25"/>
        <v>0.50396160292549141</v>
      </c>
      <c r="AZ35" s="971">
        <f t="shared" si="25"/>
        <v>0.83505387949793719</v>
      </c>
      <c r="BA35" s="971">
        <f t="shared" si="25"/>
        <v>0.4107145726543795</v>
      </c>
      <c r="BB35" s="977">
        <f t="shared" si="25"/>
        <v>0.70555035460037585</v>
      </c>
      <c r="BC35" s="971">
        <f t="shared" si="25"/>
        <v>0.44756889901693997</v>
      </c>
      <c r="BD35" s="971">
        <f t="shared" si="25"/>
        <v>-0.31963932931462435</v>
      </c>
      <c r="BE35" s="971">
        <f t="shared" si="25"/>
        <v>-0.50159850489986813</v>
      </c>
      <c r="BF35" s="971">
        <f t="shared" si="25"/>
        <v>0.56113813174171057</v>
      </c>
      <c r="BG35" s="977">
        <f t="shared" si="25"/>
        <v>5.706162260350478E-4</v>
      </c>
      <c r="BH35" s="971">
        <f t="shared" si="25"/>
        <v>0.19027847121037667</v>
      </c>
      <c r="BI35" s="971">
        <f t="shared" si="25"/>
        <v>0.74567956386138201</v>
      </c>
      <c r="BJ35" s="971">
        <f t="shared" si="25"/>
        <v>4.0283990330624135</v>
      </c>
      <c r="BK35" s="971">
        <f t="shared" si="25"/>
        <v>0.97507606324375984</v>
      </c>
      <c r="BL35" s="977">
        <f t="shared" si="25"/>
        <v>0.93292275026195881</v>
      </c>
      <c r="BM35" s="971">
        <f t="shared" si="25"/>
        <v>9.070130759518058E-2</v>
      </c>
      <c r="BN35" s="971">
        <f t="shared" si="25"/>
        <v>4.3560677863289987E-2</v>
      </c>
      <c r="BO35" s="971">
        <f t="shared" si="25"/>
        <v>-0.11299621087377021</v>
      </c>
      <c r="BP35" s="971">
        <f t="shared" si="25"/>
        <v>0.13747423327841357</v>
      </c>
      <c r="BQ35" s="977">
        <f t="shared" si="25"/>
        <v>3.8534964870764021E-2</v>
      </c>
      <c r="BR35" s="971">
        <f t="shared" si="25"/>
        <v>-1.3291422382331497E-2</v>
      </c>
      <c r="BS35" s="971">
        <f t="shared" si="25"/>
        <v>0.11745713143936642</v>
      </c>
      <c r="BT35" s="971">
        <f t="shared" si="25"/>
        <v>0.23876138371328826</v>
      </c>
      <c r="BU35" s="971">
        <f t="shared" si="25"/>
        <v>-1.9910473189742595E-2</v>
      </c>
      <c r="BV35" s="977">
        <f t="shared" si="25"/>
        <v>7.1067842601782782E-2</v>
      </c>
      <c r="BW35" s="971">
        <f t="shared" si="25"/>
        <v>0.54531819745915278</v>
      </c>
      <c r="BX35" s="971">
        <f t="shared" si="25"/>
        <v>0.19579839395244925</v>
      </c>
      <c r="BY35" s="971">
        <f t="shared" si="25"/>
        <v>-0.37370605294922776</v>
      </c>
      <c r="BZ35" s="971">
        <f t="shared" si="25"/>
        <v>7.7874363650714429E-2</v>
      </c>
      <c r="CA35" s="977">
        <f t="shared" si="25"/>
        <v>9.2072179439366408E-2</v>
      </c>
    </row>
    <row r="36" spans="2:79" ht="13.15">
      <c r="B36" s="1096" t="s">
        <v>112</v>
      </c>
      <c r="C36" s="81"/>
      <c r="D36" s="291"/>
      <c r="E36" s="103"/>
      <c r="F36" s="103"/>
      <c r="G36" s="103"/>
      <c r="H36" s="83"/>
      <c r="I36" s="102"/>
      <c r="J36" s="103"/>
      <c r="K36" s="103"/>
      <c r="L36" s="103"/>
      <c r="M36" s="83"/>
      <c r="N36" s="99"/>
      <c r="O36" s="81"/>
      <c r="P36" s="103"/>
      <c r="Q36" s="81"/>
      <c r="R36" s="135"/>
      <c r="S36" s="1097"/>
      <c r="T36" s="81"/>
      <c r="U36" s="81"/>
      <c r="V36" s="81"/>
      <c r="W36" s="81"/>
      <c r="X36" s="1097"/>
      <c r="Y36" s="81"/>
      <c r="Z36" s="135"/>
      <c r="AA36" s="135"/>
      <c r="AB36" s="135"/>
      <c r="AC36" s="1097"/>
      <c r="AD36" s="135"/>
      <c r="AE36" s="135"/>
      <c r="AF36" s="135"/>
      <c r="AG36" s="135"/>
      <c r="AH36" s="1097"/>
      <c r="AI36" s="135"/>
      <c r="AJ36" s="81"/>
      <c r="AK36" s="135"/>
      <c r="AL36" s="81"/>
      <c r="AM36" s="1097"/>
      <c r="AN36" s="1098"/>
      <c r="AO36" s="81"/>
      <c r="AP36" s="135"/>
      <c r="AQ36" s="81"/>
      <c r="AR36" s="1097"/>
      <c r="AS36" s="1099"/>
      <c r="AT36" s="81"/>
      <c r="AU36" s="135"/>
      <c r="AV36" s="135"/>
      <c r="AW36" s="102"/>
      <c r="AX36" s="1099"/>
      <c r="AY36" s="1099"/>
      <c r="AZ36" s="135"/>
      <c r="BA36" s="81"/>
      <c r="BB36" s="102"/>
      <c r="BC36" s="81"/>
      <c r="BD36" s="81"/>
      <c r="BE36" s="135"/>
      <c r="BF36" s="81"/>
      <c r="BG36" s="102"/>
      <c r="BH36" s="1099"/>
      <c r="BI36" s="81"/>
      <c r="BJ36" s="135"/>
      <c r="BK36" s="81"/>
      <c r="BL36" s="102"/>
      <c r="BM36" s="1099"/>
      <c r="BN36" s="81"/>
      <c r="BO36" s="135"/>
      <c r="BP36" s="81"/>
      <c r="BQ36" s="102"/>
      <c r="BR36" s="1099"/>
      <c r="BS36" s="81"/>
      <c r="BT36" s="135"/>
      <c r="BU36" s="81"/>
      <c r="BV36" s="102"/>
      <c r="BW36" s="1099"/>
      <c r="BX36" s="81"/>
      <c r="BY36" s="135"/>
      <c r="BZ36" s="81"/>
      <c r="CA36" s="102"/>
    </row>
    <row r="37" spans="2:79">
      <c r="B37" s="92"/>
      <c r="C37" s="81" t="s">
        <v>217</v>
      </c>
      <c r="D37" s="102"/>
      <c r="E37" s="103"/>
      <c r="F37" s="103"/>
      <c r="G37" s="103"/>
      <c r="H37" s="83"/>
      <c r="I37" s="1100">
        <f>SUM(E37:H37)</f>
        <v>0</v>
      </c>
      <c r="J37" s="103"/>
      <c r="K37" s="103"/>
      <c r="L37" s="103"/>
      <c r="M37" s="83"/>
      <c r="N37" s="1100">
        <f>SUM(J37:M37)</f>
        <v>0</v>
      </c>
      <c r="O37" s="103"/>
      <c r="P37" s="103"/>
      <c r="Q37" s="103"/>
      <c r="R37" s="83"/>
      <c r="S37" s="1100"/>
      <c r="T37" s="1101"/>
      <c r="U37" s="1101"/>
      <c r="V37" s="1101"/>
      <c r="W37" s="1101"/>
      <c r="X37" s="1100">
        <v>-28305</v>
      </c>
      <c r="Y37" s="1101">
        <v>-384</v>
      </c>
      <c r="Z37" s="1102">
        <v>-509</v>
      </c>
      <c r="AA37" s="1102">
        <v>-298</v>
      </c>
      <c r="AB37" s="1102">
        <v>-629</v>
      </c>
      <c r="AC37" s="1100">
        <v>-43330</v>
      </c>
      <c r="AD37" s="1102">
        <v>-6770</v>
      </c>
      <c r="AE37" s="1102">
        <v>-4319</v>
      </c>
      <c r="AF37" s="1102">
        <v>-4603</v>
      </c>
      <c r="AG37" s="1102">
        <v>-3237</v>
      </c>
      <c r="AH37" s="1100">
        <f t="shared" ref="AH37:AH45" si="26">SUM(AD37:AG37)</f>
        <v>-18929</v>
      </c>
      <c r="AI37" s="1102">
        <v>-6184</v>
      </c>
      <c r="AJ37" s="1102">
        <v>-4336</v>
      </c>
      <c r="AK37" s="1102">
        <v>-8576</v>
      </c>
      <c r="AL37" s="1102">
        <v>-11317</v>
      </c>
      <c r="AM37" s="1100">
        <f t="shared" ref="AM37:AM45" si="27">SUM(AI37:AL37)</f>
        <v>-30413</v>
      </c>
      <c r="AN37" s="1102">
        <v>-15237</v>
      </c>
      <c r="AO37" s="1102">
        <v>-14554</v>
      </c>
      <c r="AP37" s="1102">
        <v>-12280</v>
      </c>
      <c r="AQ37" s="1102">
        <v>-29975</v>
      </c>
      <c r="AR37" s="1100">
        <f t="shared" ref="AR37:AR45" si="28">SUM(AN37:AQ37)</f>
        <v>-72046</v>
      </c>
      <c r="AS37" s="1102">
        <v>-26389</v>
      </c>
      <c r="AT37" s="1102">
        <v>-18362</v>
      </c>
      <c r="AU37" s="1102">
        <v>-19393</v>
      </c>
      <c r="AV37" s="1102">
        <v>-18251</v>
      </c>
      <c r="AW37" s="1100">
        <f t="shared" ref="AW37:AW45" si="29">SUM(AS37:AV37)</f>
        <v>-82395</v>
      </c>
      <c r="AX37" s="1102">
        <v>-12596</v>
      </c>
      <c r="AY37" s="1102">
        <v>-15938</v>
      </c>
      <c r="AZ37" s="1103">
        <v>-15392</v>
      </c>
      <c r="BA37" s="1103">
        <v>-17470</v>
      </c>
      <c r="BB37" s="1100">
        <f t="shared" ref="BB37:BB45" si="30">SUM(AX37:BA37)</f>
        <v>-61396</v>
      </c>
      <c r="BC37" s="1103">
        <v>-21709</v>
      </c>
      <c r="BD37" s="1103">
        <v>-15404</v>
      </c>
      <c r="BE37" s="1103">
        <v>-16477</v>
      </c>
      <c r="BF37" s="1103">
        <v>-24064</v>
      </c>
      <c r="BG37" s="1100">
        <f t="shared" ref="BG37:BG45" si="31">SUM(BC37:BF37)</f>
        <v>-77654</v>
      </c>
      <c r="BH37" s="1103">
        <v>-19057</v>
      </c>
      <c r="BI37" s="1103">
        <v>-27379</v>
      </c>
      <c r="BJ37" s="1103">
        <v>-23841</v>
      </c>
      <c r="BK37" s="1103">
        <v>-22114</v>
      </c>
      <c r="BL37" s="1100">
        <f t="shared" ref="BL37:BL45" si="32">SUM(BH37:BK37)</f>
        <v>-92391</v>
      </c>
      <c r="BM37" s="1103">
        <v>-22753</v>
      </c>
      <c r="BN37" s="1103">
        <v>-22280</v>
      </c>
      <c r="BO37" s="1103">
        <v>-23613</v>
      </c>
      <c r="BP37" s="1103">
        <v>-28342</v>
      </c>
      <c r="BQ37" s="1100">
        <f t="shared" ref="BQ37:BQ45" si="33">SUM(BM37:BP37)</f>
        <v>-96988</v>
      </c>
      <c r="BR37" s="1103">
        <v>-23624</v>
      </c>
      <c r="BS37" s="1102">
        <v>-28425</v>
      </c>
      <c r="BT37" s="1102">
        <v>-27374</v>
      </c>
      <c r="BU37" s="1104">
        <v>-30000</v>
      </c>
      <c r="BV37" s="1100">
        <f t="shared" ref="BV37:BV45" si="34">SUM(BR37:BU37)</f>
        <v>-109423</v>
      </c>
      <c r="BW37" s="1104">
        <v>-25000</v>
      </c>
      <c r="BX37" s="1104">
        <v>-25000</v>
      </c>
      <c r="BY37" s="1104">
        <v>-25000</v>
      </c>
      <c r="BZ37" s="1104">
        <v>-30000</v>
      </c>
      <c r="CA37" s="1100">
        <f t="shared" ref="CA37:CA45" si="35">SUM(BW37:BZ37)</f>
        <v>-105000</v>
      </c>
    </row>
    <row r="38" spans="2:79">
      <c r="B38" s="92"/>
      <c r="C38" s="81" t="s">
        <v>275</v>
      </c>
      <c r="D38" s="102"/>
      <c r="E38" s="103"/>
      <c r="F38" s="103"/>
      <c r="G38" s="103"/>
      <c r="H38" s="83"/>
      <c r="I38" s="1100"/>
      <c r="J38" s="103"/>
      <c r="K38" s="103"/>
      <c r="L38" s="103"/>
      <c r="M38" s="83"/>
      <c r="N38" s="1100"/>
      <c r="O38" s="103"/>
      <c r="P38" s="103"/>
      <c r="Q38" s="103"/>
      <c r="R38" s="83"/>
      <c r="S38" s="1100"/>
      <c r="T38" s="1101"/>
      <c r="U38" s="1101"/>
      <c r="V38" s="1101"/>
      <c r="W38" s="1101"/>
      <c r="X38" s="1100"/>
      <c r="Y38" s="1101"/>
      <c r="Z38" s="1102"/>
      <c r="AA38" s="1102"/>
      <c r="AB38" s="1102"/>
      <c r="AC38" s="1100"/>
      <c r="AD38" s="1102"/>
      <c r="AE38" s="1102"/>
      <c r="AF38" s="1102"/>
      <c r="AG38" s="1102"/>
      <c r="AH38" s="1100">
        <f t="shared" si="26"/>
        <v>0</v>
      </c>
      <c r="AI38" s="1102"/>
      <c r="AJ38" s="1102"/>
      <c r="AK38" s="1102"/>
      <c r="AL38" s="1102">
        <v>-415132</v>
      </c>
      <c r="AM38" s="1100">
        <f t="shared" si="27"/>
        <v>-415132</v>
      </c>
      <c r="AN38" s="1102">
        <v>-375211</v>
      </c>
      <c r="AO38" s="1102">
        <v>-155675</v>
      </c>
      <c r="AP38" s="1102">
        <v>-223048</v>
      </c>
      <c r="AQ38" s="1102">
        <v>-107318</v>
      </c>
      <c r="AR38" s="1100">
        <f t="shared" si="28"/>
        <v>-861252</v>
      </c>
      <c r="AS38" s="1102">
        <v>0</v>
      </c>
      <c r="AT38" s="1102">
        <v>-11667</v>
      </c>
      <c r="AU38" s="1102">
        <v>-68982</v>
      </c>
      <c r="AV38" s="1102">
        <v>-84340</v>
      </c>
      <c r="AW38" s="1100">
        <f t="shared" si="29"/>
        <v>-164989</v>
      </c>
      <c r="AX38" s="1102">
        <v>-96925</v>
      </c>
      <c r="AY38" s="1102">
        <v>-88703</v>
      </c>
      <c r="AZ38" s="1103">
        <v>-117134</v>
      </c>
      <c r="BA38" s="1103">
        <v>-81366</v>
      </c>
      <c r="BB38" s="1100">
        <f t="shared" si="30"/>
        <v>-384128</v>
      </c>
      <c r="BC38" s="1103">
        <v>-129735</v>
      </c>
      <c r="BD38" s="1103">
        <v>-166558</v>
      </c>
      <c r="BE38" s="1103">
        <v>-105956</v>
      </c>
      <c r="BF38" s="1103">
        <v>-131461</v>
      </c>
      <c r="BG38" s="1100">
        <f t="shared" si="31"/>
        <v>-533710</v>
      </c>
      <c r="BH38" s="1103">
        <v>-53830</v>
      </c>
      <c r="BI38" s="1103">
        <v>-120542</v>
      </c>
      <c r="BJ38" s="1103">
        <v>-28974</v>
      </c>
      <c r="BK38" s="1103">
        <v>-132875</v>
      </c>
      <c r="BL38" s="1100">
        <f t="shared" si="32"/>
        <v>-336221</v>
      </c>
      <c r="BM38" s="1103">
        <v>-119638</v>
      </c>
      <c r="BN38" s="1103">
        <v>-103603</v>
      </c>
      <c r="BO38" s="1103">
        <v>-110296</v>
      </c>
      <c r="BP38" s="1103">
        <v>-77699</v>
      </c>
      <c r="BQ38" s="1100">
        <f t="shared" si="33"/>
        <v>-411236</v>
      </c>
      <c r="BR38" s="1103">
        <v>-92563</v>
      </c>
      <c r="BS38" s="1102">
        <v>-119637</v>
      </c>
      <c r="BT38" s="1102">
        <v>-109398</v>
      </c>
      <c r="BU38" s="1105"/>
      <c r="BV38" s="1100">
        <f t="shared" si="34"/>
        <v>-321598</v>
      </c>
      <c r="BW38" s="1105"/>
      <c r="BX38" s="1105"/>
      <c r="BY38" s="1105"/>
      <c r="BZ38" s="1105"/>
      <c r="CA38" s="1100">
        <f t="shared" si="35"/>
        <v>0</v>
      </c>
    </row>
    <row r="39" spans="2:79">
      <c r="B39" s="92"/>
      <c r="C39" s="81" t="s">
        <v>276</v>
      </c>
      <c r="D39" s="102"/>
      <c r="E39" s="103"/>
      <c r="F39" s="103"/>
      <c r="G39" s="103"/>
      <c r="H39" s="83"/>
      <c r="I39" s="1100"/>
      <c r="J39" s="103"/>
      <c r="K39" s="103"/>
      <c r="L39" s="103"/>
      <c r="M39" s="83"/>
      <c r="N39" s="1100"/>
      <c r="O39" s="103"/>
      <c r="P39" s="103"/>
      <c r="Q39" s="103"/>
      <c r="R39" s="83"/>
      <c r="S39" s="1100"/>
      <c r="T39" s="1101"/>
      <c r="U39" s="1101"/>
      <c r="V39" s="1101"/>
      <c r="W39" s="1101"/>
      <c r="X39" s="1100"/>
      <c r="Y39" s="1101"/>
      <c r="Z39" s="1102"/>
      <c r="AA39" s="1102"/>
      <c r="AB39" s="1102"/>
      <c r="AC39" s="1100"/>
      <c r="AD39" s="1102"/>
      <c r="AE39" s="1102"/>
      <c r="AF39" s="1102"/>
      <c r="AG39" s="1102"/>
      <c r="AH39" s="1100">
        <f t="shared" si="26"/>
        <v>0</v>
      </c>
      <c r="AI39" s="1102"/>
      <c r="AJ39" s="1102"/>
      <c r="AK39" s="1102"/>
      <c r="AL39" s="1102"/>
      <c r="AM39" s="1100">
        <f t="shared" si="27"/>
        <v>0</v>
      </c>
      <c r="AN39" s="1102"/>
      <c r="AO39" s="1102"/>
      <c r="AP39" s="1102"/>
      <c r="AQ39" s="1102"/>
      <c r="AR39" s="1100">
        <f t="shared" si="28"/>
        <v>0</v>
      </c>
      <c r="AS39" s="1102">
        <v>28986</v>
      </c>
      <c r="AT39" s="1102"/>
      <c r="AU39" s="1102"/>
      <c r="AV39" s="1102"/>
      <c r="AW39" s="1100">
        <f t="shared" si="29"/>
        <v>28986</v>
      </c>
      <c r="AX39" s="1102">
        <v>2002</v>
      </c>
      <c r="AY39" s="1102">
        <v>1000</v>
      </c>
      <c r="AZ39" s="1103">
        <v>68</v>
      </c>
      <c r="BA39" s="1103">
        <v>4499</v>
      </c>
      <c r="BB39" s="1100">
        <f t="shared" si="30"/>
        <v>7569</v>
      </c>
      <c r="BC39" s="1103">
        <v>0</v>
      </c>
      <c r="BD39" s="1103">
        <v>0</v>
      </c>
      <c r="BE39" s="1104">
        <v>0</v>
      </c>
      <c r="BF39" s="1103"/>
      <c r="BG39" s="1100">
        <f t="shared" si="31"/>
        <v>0</v>
      </c>
      <c r="BH39" s="1105"/>
      <c r="BI39" s="1103"/>
      <c r="BJ39" s="1103"/>
      <c r="BK39" s="1105"/>
      <c r="BL39" s="1100">
        <f t="shared" si="32"/>
        <v>0</v>
      </c>
      <c r="BM39" s="1103"/>
      <c r="BN39" s="1103"/>
      <c r="BO39" s="1103"/>
      <c r="BP39" s="1103"/>
      <c r="BQ39" s="1100">
        <f t="shared" si="33"/>
        <v>0</v>
      </c>
      <c r="BR39" s="1103"/>
      <c r="BS39" s="1102"/>
      <c r="BT39" s="1102"/>
      <c r="BU39" s="1105"/>
      <c r="BV39" s="1100">
        <f t="shared" si="34"/>
        <v>0</v>
      </c>
      <c r="BW39" s="1105"/>
      <c r="BX39" s="1105"/>
      <c r="BY39" s="1105"/>
      <c r="BZ39" s="1105"/>
      <c r="CA39" s="1100">
        <f t="shared" si="35"/>
        <v>0</v>
      </c>
    </row>
    <row r="40" spans="2:79">
      <c r="B40" s="92"/>
      <c r="C40" s="81" t="s">
        <v>277</v>
      </c>
      <c r="D40" s="102"/>
      <c r="E40" s="103"/>
      <c r="F40" s="103"/>
      <c r="G40" s="103"/>
      <c r="H40" s="83"/>
      <c r="I40" s="1100"/>
      <c r="J40" s="103"/>
      <c r="K40" s="103"/>
      <c r="L40" s="103"/>
      <c r="M40" s="83"/>
      <c r="N40" s="1100"/>
      <c r="O40" s="103"/>
      <c r="P40" s="103"/>
      <c r="Q40" s="103"/>
      <c r="R40" s="83"/>
      <c r="S40" s="1100"/>
      <c r="T40" s="1101"/>
      <c r="U40" s="1101"/>
      <c r="V40" s="1101"/>
      <c r="W40" s="1101"/>
      <c r="X40" s="1100">
        <v>0</v>
      </c>
      <c r="Y40" s="1101"/>
      <c r="Z40" s="1102"/>
      <c r="AA40" s="1102"/>
      <c r="AB40" s="1102"/>
      <c r="AC40" s="1100"/>
      <c r="AD40" s="1102"/>
      <c r="AE40" s="1102"/>
      <c r="AF40" s="1102"/>
      <c r="AG40" s="1102"/>
      <c r="AH40" s="1100">
        <f t="shared" si="26"/>
        <v>0</v>
      </c>
      <c r="AI40" s="1102"/>
      <c r="AJ40" s="1102"/>
      <c r="AK40" s="1102"/>
      <c r="AL40" s="1102"/>
      <c r="AM40" s="1100">
        <f t="shared" si="27"/>
        <v>0</v>
      </c>
      <c r="AN40" s="1102">
        <v>92457</v>
      </c>
      <c r="AO40" s="1102">
        <v>151992</v>
      </c>
      <c r="AP40" s="1102">
        <v>216261</v>
      </c>
      <c r="AQ40" s="1102">
        <v>166599</v>
      </c>
      <c r="AR40" s="1100">
        <f t="shared" si="28"/>
        <v>627309</v>
      </c>
      <c r="AS40" s="1102">
        <v>170071</v>
      </c>
      <c r="AT40" s="1102">
        <v>131345</v>
      </c>
      <c r="AU40" s="1102">
        <v>103366</v>
      </c>
      <c r="AV40" s="1102">
        <v>83756</v>
      </c>
      <c r="AW40" s="1100">
        <f t="shared" si="29"/>
        <v>488538</v>
      </c>
      <c r="AX40" s="1102">
        <v>37513</v>
      </c>
      <c r="AY40" s="1102">
        <v>75658</v>
      </c>
      <c r="AZ40" s="1103">
        <v>79900</v>
      </c>
      <c r="BA40" s="1103">
        <v>90113</v>
      </c>
      <c r="BB40" s="1100">
        <f t="shared" si="30"/>
        <v>283184</v>
      </c>
      <c r="BC40" s="1103">
        <v>91055</v>
      </c>
      <c r="BD40" s="1103">
        <v>99124</v>
      </c>
      <c r="BE40" s="1103">
        <v>121590</v>
      </c>
      <c r="BF40" s="1103">
        <v>112148</v>
      </c>
      <c r="BG40" s="1100">
        <f t="shared" si="31"/>
        <v>423917</v>
      </c>
      <c r="BH40" s="1103">
        <v>80699</v>
      </c>
      <c r="BI40" s="1103">
        <v>83318</v>
      </c>
      <c r="BJ40" s="1103">
        <v>87500</v>
      </c>
      <c r="BK40" s="1103">
        <v>222352</v>
      </c>
      <c r="BL40" s="1100">
        <f t="shared" si="32"/>
        <v>473869</v>
      </c>
      <c r="BM40" s="1103">
        <v>82114</v>
      </c>
      <c r="BN40" s="1103">
        <v>93509</v>
      </c>
      <c r="BO40" s="1103">
        <v>90211</v>
      </c>
      <c r="BP40" s="1103">
        <v>74500</v>
      </c>
      <c r="BQ40" s="1100">
        <f t="shared" si="33"/>
        <v>340334</v>
      </c>
      <c r="BR40" s="1103">
        <v>91262</v>
      </c>
      <c r="BS40" s="1102">
        <v>117710</v>
      </c>
      <c r="BT40" s="1102">
        <v>99486</v>
      </c>
      <c r="BU40" s="1105"/>
      <c r="BV40" s="1100">
        <f t="shared" si="34"/>
        <v>308458</v>
      </c>
      <c r="BW40" s="1105"/>
      <c r="BX40" s="1105"/>
      <c r="BY40" s="1105"/>
      <c r="BZ40" s="1105"/>
      <c r="CA40" s="1100">
        <f t="shared" si="35"/>
        <v>0</v>
      </c>
    </row>
    <row r="41" spans="2:79">
      <c r="B41" s="92"/>
      <c r="C41" s="81" t="s">
        <v>278</v>
      </c>
      <c r="D41" s="102"/>
      <c r="E41" s="103"/>
      <c r="F41" s="103"/>
      <c r="G41" s="103"/>
      <c r="H41" s="83"/>
      <c r="I41" s="1100"/>
      <c r="J41" s="103"/>
      <c r="K41" s="103"/>
      <c r="L41" s="103"/>
      <c r="M41" s="83"/>
      <c r="N41" s="1100"/>
      <c r="O41" s="103"/>
      <c r="P41" s="103"/>
      <c r="Q41" s="103"/>
      <c r="R41" s="83"/>
      <c r="S41" s="1100"/>
      <c r="T41" s="1101"/>
      <c r="U41" s="1101"/>
      <c r="V41" s="1101"/>
      <c r="W41" s="1101"/>
      <c r="X41" s="1100">
        <v>0</v>
      </c>
      <c r="Y41" s="1101"/>
      <c r="Z41" s="1102"/>
      <c r="AA41" s="1102"/>
      <c r="AB41" s="1102"/>
      <c r="AC41" s="1100"/>
      <c r="AD41" s="1102"/>
      <c r="AE41" s="1102"/>
      <c r="AF41" s="1102"/>
      <c r="AG41" s="1102"/>
      <c r="AH41" s="1100">
        <f t="shared" si="26"/>
        <v>0</v>
      </c>
      <c r="AI41" s="1102"/>
      <c r="AJ41" s="1102"/>
      <c r="AK41" s="1102"/>
      <c r="AL41" s="1102"/>
      <c r="AM41" s="1100">
        <f t="shared" si="27"/>
        <v>0</v>
      </c>
      <c r="AN41" s="1102">
        <v>-15500</v>
      </c>
      <c r="AO41" s="1102"/>
      <c r="AP41" s="1102"/>
      <c r="AQ41" s="1102"/>
      <c r="AR41" s="1100">
        <f t="shared" si="28"/>
        <v>-15500</v>
      </c>
      <c r="AS41" s="1102">
        <v>0</v>
      </c>
      <c r="AT41" s="1102"/>
      <c r="AU41" s="1102">
        <v>-5300</v>
      </c>
      <c r="AV41" s="1102"/>
      <c r="AW41" s="1100">
        <f t="shared" si="29"/>
        <v>-5300</v>
      </c>
      <c r="AX41" s="1102">
        <v>-500</v>
      </c>
      <c r="AY41" s="1102"/>
      <c r="AZ41" s="1103">
        <v>-250</v>
      </c>
      <c r="BA41" s="1103">
        <v>-1000</v>
      </c>
      <c r="BB41" s="1100">
        <f t="shared" si="30"/>
        <v>-1750</v>
      </c>
      <c r="BC41" s="1103">
        <v>-2125</v>
      </c>
      <c r="BD41" s="1103">
        <v>-500</v>
      </c>
      <c r="BE41" s="1103">
        <v>-1000</v>
      </c>
      <c r="BF41" s="1103">
        <v>-125</v>
      </c>
      <c r="BG41" s="1100">
        <f t="shared" si="31"/>
        <v>-3750</v>
      </c>
      <c r="BH41" s="1105"/>
      <c r="BI41" s="1103">
        <v>-120</v>
      </c>
      <c r="BJ41" s="1103">
        <v>-400</v>
      </c>
      <c r="BK41" s="1103">
        <v>-125</v>
      </c>
      <c r="BL41" s="1100">
        <f t="shared" si="32"/>
        <v>-645</v>
      </c>
      <c r="BM41" s="1103">
        <v>-500</v>
      </c>
      <c r="BN41" s="1103">
        <v>-125</v>
      </c>
      <c r="BO41" s="1103"/>
      <c r="BP41" s="1103">
        <v>-750</v>
      </c>
      <c r="BQ41" s="1100">
        <f t="shared" si="33"/>
        <v>-1375</v>
      </c>
      <c r="BR41" s="1103"/>
      <c r="BS41" s="1102">
        <v>-100</v>
      </c>
      <c r="BT41" s="1102">
        <v>-462</v>
      </c>
      <c r="BU41" s="1105"/>
      <c r="BV41" s="1100">
        <f t="shared" si="34"/>
        <v>-562</v>
      </c>
      <c r="BW41" s="1105"/>
      <c r="BX41" s="1105"/>
      <c r="BY41" s="1105"/>
      <c r="BZ41" s="1105"/>
      <c r="CA41" s="1100">
        <f t="shared" si="35"/>
        <v>0</v>
      </c>
    </row>
    <row r="42" spans="2:79">
      <c r="B42" s="92"/>
      <c r="C42" s="81" t="s">
        <v>279</v>
      </c>
      <c r="D42" s="102"/>
      <c r="E42" s="103"/>
      <c r="F42" s="103"/>
      <c r="G42" s="103"/>
      <c r="H42" s="83"/>
      <c r="I42" s="1100"/>
      <c r="J42" s="103"/>
      <c r="K42" s="103"/>
      <c r="L42" s="103"/>
      <c r="M42" s="83"/>
      <c r="N42" s="1100"/>
      <c r="O42" s="103"/>
      <c r="P42" s="103"/>
      <c r="Q42" s="103"/>
      <c r="R42" s="83"/>
      <c r="S42" s="1100"/>
      <c r="T42" s="1101"/>
      <c r="U42" s="1101"/>
      <c r="V42" s="1101"/>
      <c r="W42" s="1101"/>
      <c r="X42" s="1100">
        <v>0</v>
      </c>
      <c r="Y42" s="1101"/>
      <c r="Z42" s="1102"/>
      <c r="AA42" s="1102"/>
      <c r="AB42" s="1102"/>
      <c r="AC42" s="1100"/>
      <c r="AD42" s="1102"/>
      <c r="AE42" s="1102"/>
      <c r="AF42" s="1102"/>
      <c r="AG42" s="1102"/>
      <c r="AH42" s="1100">
        <f t="shared" si="26"/>
        <v>0</v>
      </c>
      <c r="AI42" s="1102"/>
      <c r="AJ42" s="1102"/>
      <c r="AK42" s="1102"/>
      <c r="AL42" s="1102"/>
      <c r="AM42" s="1100">
        <f t="shared" si="27"/>
        <v>0</v>
      </c>
      <c r="AN42" s="1102"/>
      <c r="AO42" s="1102"/>
      <c r="AP42" s="1102"/>
      <c r="AQ42" s="1102"/>
      <c r="AR42" s="1100">
        <f t="shared" si="28"/>
        <v>0</v>
      </c>
      <c r="AS42" s="1102">
        <v>-3000</v>
      </c>
      <c r="AT42" s="1102">
        <v>-241</v>
      </c>
      <c r="AU42" s="1102"/>
      <c r="AV42" s="1102"/>
      <c r="AW42" s="1100">
        <f t="shared" si="29"/>
        <v>-3241</v>
      </c>
      <c r="AX42" s="1102"/>
      <c r="AY42" s="1102"/>
      <c r="AZ42" s="1105"/>
      <c r="BA42" s="1105"/>
      <c r="BB42" s="1100">
        <f t="shared" si="30"/>
        <v>0</v>
      </c>
      <c r="BC42" s="1105"/>
      <c r="BD42" s="1105"/>
      <c r="BE42" s="1105"/>
      <c r="BF42" s="1105"/>
      <c r="BG42" s="1100">
        <f t="shared" si="31"/>
        <v>0</v>
      </c>
      <c r="BH42" s="1105"/>
      <c r="BI42" s="1103"/>
      <c r="BJ42" s="1103"/>
      <c r="BK42" s="1105"/>
      <c r="BL42" s="1100">
        <f t="shared" si="32"/>
        <v>0</v>
      </c>
      <c r="BM42" s="1105"/>
      <c r="BN42" s="1103"/>
      <c r="BO42" s="1103"/>
      <c r="BP42" s="1105"/>
      <c r="BQ42" s="1100">
        <f t="shared" si="33"/>
        <v>0</v>
      </c>
      <c r="BR42" s="1105"/>
      <c r="BS42" s="1105"/>
      <c r="BT42" s="1105"/>
      <c r="BU42" s="1105"/>
      <c r="BV42" s="1100">
        <f t="shared" si="34"/>
        <v>0</v>
      </c>
      <c r="BW42" s="1105"/>
      <c r="BX42" s="1105"/>
      <c r="BY42" s="1105"/>
      <c r="BZ42" s="1105"/>
      <c r="CA42" s="1100">
        <f t="shared" si="35"/>
        <v>0</v>
      </c>
    </row>
    <row r="43" spans="2:79">
      <c r="B43" s="92"/>
      <c r="C43" s="81" t="s">
        <v>294</v>
      </c>
      <c r="D43" s="102"/>
      <c r="E43" s="103"/>
      <c r="F43" s="103"/>
      <c r="G43" s="103"/>
      <c r="H43" s="83"/>
      <c r="I43" s="1100"/>
      <c r="J43" s="103"/>
      <c r="K43" s="103"/>
      <c r="L43" s="103"/>
      <c r="M43" s="83"/>
      <c r="N43" s="1100"/>
      <c r="O43" s="103"/>
      <c r="P43" s="103"/>
      <c r="Q43" s="103"/>
      <c r="R43" s="83"/>
      <c r="S43" s="1100"/>
      <c r="T43" s="1101"/>
      <c r="U43" s="1101"/>
      <c r="V43" s="1101"/>
      <c r="W43" s="1101"/>
      <c r="X43" s="1100"/>
      <c r="Y43" s="1101"/>
      <c r="Z43" s="1102"/>
      <c r="AA43" s="1102"/>
      <c r="AB43" s="1102"/>
      <c r="AC43" s="1100">
        <v>665</v>
      </c>
      <c r="AD43" s="1102"/>
      <c r="AE43" s="1102">
        <v>467</v>
      </c>
      <c r="AF43" s="1102"/>
      <c r="AG43" s="1102"/>
      <c r="AH43" s="1100">
        <f t="shared" si="26"/>
        <v>467</v>
      </c>
      <c r="AI43" s="1102"/>
      <c r="AJ43" s="1102"/>
      <c r="AK43" s="1102"/>
      <c r="AL43" s="1102"/>
      <c r="AM43" s="1100">
        <f t="shared" si="27"/>
        <v>0</v>
      </c>
      <c r="AN43" s="1102"/>
      <c r="AO43" s="1102"/>
      <c r="AP43" s="1102"/>
      <c r="AQ43" s="1102"/>
      <c r="AR43" s="1100">
        <f t="shared" si="28"/>
        <v>0</v>
      </c>
      <c r="AS43" s="1102"/>
      <c r="AT43" s="1102"/>
      <c r="AU43" s="1102"/>
      <c r="AV43" s="1102"/>
      <c r="AW43" s="1100">
        <f t="shared" si="29"/>
        <v>0</v>
      </c>
      <c r="AX43" s="1105"/>
      <c r="AY43" s="1105"/>
      <c r="AZ43" s="1105"/>
      <c r="BA43" s="1105"/>
      <c r="BB43" s="1100">
        <f t="shared" si="30"/>
        <v>0</v>
      </c>
      <c r="BC43" s="1105"/>
      <c r="BD43" s="1105"/>
      <c r="BE43" s="1105"/>
      <c r="BF43" s="1105"/>
      <c r="BG43" s="1100">
        <f t="shared" si="31"/>
        <v>0</v>
      </c>
      <c r="BH43" s="1105"/>
      <c r="BI43" s="1103"/>
      <c r="BJ43" s="1103"/>
      <c r="BK43" s="1105"/>
      <c r="BL43" s="1100">
        <f t="shared" si="32"/>
        <v>0</v>
      </c>
      <c r="BM43" s="1105"/>
      <c r="BN43" s="1103"/>
      <c r="BO43" s="1103"/>
      <c r="BP43" s="1105"/>
      <c r="BQ43" s="1100">
        <f t="shared" si="33"/>
        <v>0</v>
      </c>
      <c r="BR43" s="1105"/>
      <c r="BS43" s="1105"/>
      <c r="BT43" s="1105"/>
      <c r="BU43" s="1105"/>
      <c r="BV43" s="1100">
        <f t="shared" si="34"/>
        <v>0</v>
      </c>
      <c r="BW43" s="1105"/>
      <c r="BX43" s="1105"/>
      <c r="BY43" s="1105"/>
      <c r="BZ43" s="1105"/>
      <c r="CA43" s="1100">
        <f t="shared" si="35"/>
        <v>0</v>
      </c>
    </row>
    <row r="44" spans="2:79">
      <c r="B44" s="92"/>
      <c r="C44" s="81" t="s">
        <v>286</v>
      </c>
      <c r="D44" s="102"/>
      <c r="E44" s="103"/>
      <c r="F44" s="103"/>
      <c r="G44" s="103"/>
      <c r="H44" s="83"/>
      <c r="I44" s="1100"/>
      <c r="J44" s="103"/>
      <c r="K44" s="103"/>
      <c r="L44" s="103"/>
      <c r="M44" s="83"/>
      <c r="N44" s="1100"/>
      <c r="O44" s="103"/>
      <c r="P44" s="103"/>
      <c r="Q44" s="103"/>
      <c r="R44" s="83"/>
      <c r="S44" s="1100"/>
      <c r="T44" s="1101"/>
      <c r="U44" s="1101"/>
      <c r="V44" s="1101"/>
      <c r="W44" s="1101"/>
      <c r="X44" s="1100"/>
      <c r="Y44" s="1101"/>
      <c r="Z44" s="1102"/>
      <c r="AA44" s="1102"/>
      <c r="AB44" s="1102"/>
      <c r="AC44" s="1100"/>
      <c r="AD44" s="1102"/>
      <c r="AE44" s="1102"/>
      <c r="AF44" s="1102"/>
      <c r="AG44" s="1102">
        <v>-299</v>
      </c>
      <c r="AH44" s="1100">
        <f t="shared" si="26"/>
        <v>-299</v>
      </c>
      <c r="AI44" s="1102"/>
      <c r="AJ44" s="1102"/>
      <c r="AK44" s="1102">
        <v>-218779</v>
      </c>
      <c r="AL44" s="1102"/>
      <c r="AM44" s="1100">
        <f t="shared" si="27"/>
        <v>-218779</v>
      </c>
      <c r="AN44" s="1102"/>
      <c r="AO44" s="1102"/>
      <c r="AP44" s="1102"/>
      <c r="AQ44" s="1102"/>
      <c r="AR44" s="1100">
        <f t="shared" si="28"/>
        <v>0</v>
      </c>
      <c r="AS44" s="1102"/>
      <c r="AT44" s="1102">
        <v>-180370</v>
      </c>
      <c r="AU44" s="1105"/>
      <c r="AV44" s="1105"/>
      <c r="AW44" s="1100">
        <f t="shared" si="29"/>
        <v>-180370</v>
      </c>
      <c r="AX44" s="1105"/>
      <c r="AY44" s="1103">
        <v>-6388</v>
      </c>
      <c r="AZ44" s="1105"/>
      <c r="BA44" s="1105"/>
      <c r="BB44" s="1100">
        <f t="shared" si="30"/>
        <v>-6388</v>
      </c>
      <c r="BC44" s="1105"/>
      <c r="BD44" s="1105"/>
      <c r="BE44" s="1105"/>
      <c r="BF44" s="1105"/>
      <c r="BG44" s="1100">
        <f t="shared" si="31"/>
        <v>0</v>
      </c>
      <c r="BH44" s="1105"/>
      <c r="BI44" s="1103"/>
      <c r="BJ44" s="1103"/>
      <c r="BK44" s="1105"/>
      <c r="BL44" s="1100">
        <f t="shared" si="32"/>
        <v>0</v>
      </c>
      <c r="BM44" s="1105"/>
      <c r="BN44" s="1103">
        <v>-143611</v>
      </c>
      <c r="BO44" s="1103"/>
      <c r="BP44" s="1105"/>
      <c r="BQ44" s="1100">
        <f t="shared" si="33"/>
        <v>-143611</v>
      </c>
      <c r="BR44" s="1105"/>
      <c r="BS44" s="1105"/>
      <c r="BT44" s="1105"/>
      <c r="BU44" s="1105"/>
      <c r="BV44" s="1100">
        <f t="shared" si="34"/>
        <v>0</v>
      </c>
      <c r="BW44" s="1105"/>
      <c r="BX44" s="1105"/>
      <c r="BY44" s="1105"/>
      <c r="BZ44" s="1105"/>
      <c r="CA44" s="1100">
        <f t="shared" si="35"/>
        <v>0</v>
      </c>
    </row>
    <row r="45" spans="2:79">
      <c r="B45" s="92"/>
      <c r="C45" s="81" t="s">
        <v>220</v>
      </c>
      <c r="D45" s="102"/>
      <c r="E45" s="103"/>
      <c r="F45" s="103"/>
      <c r="G45" s="103"/>
      <c r="H45" s="103"/>
      <c r="I45" s="1100">
        <f>SUM(E45:H45)</f>
        <v>0</v>
      </c>
      <c r="J45" s="103"/>
      <c r="K45" s="103"/>
      <c r="L45" s="103"/>
      <c r="M45" s="103"/>
      <c r="N45" s="1100">
        <f>SUM(J45:M45)</f>
        <v>0</v>
      </c>
      <c r="O45" s="103"/>
      <c r="P45" s="103"/>
      <c r="Q45" s="103"/>
      <c r="R45" s="103"/>
      <c r="S45" s="1100"/>
      <c r="T45" s="1101"/>
      <c r="U45" s="1101"/>
      <c r="V45" s="1101"/>
      <c r="W45" s="1101"/>
      <c r="X45" s="1100"/>
      <c r="Y45" s="1101"/>
      <c r="Z45" s="1102"/>
      <c r="AA45" s="1102"/>
      <c r="AB45" s="1102"/>
      <c r="AC45" s="1100">
        <v>1785</v>
      </c>
      <c r="AD45" s="1102"/>
      <c r="AE45" s="1102"/>
      <c r="AF45" s="1102"/>
      <c r="AG45" s="1102"/>
      <c r="AH45" s="1100">
        <f t="shared" si="26"/>
        <v>0</v>
      </c>
      <c r="AI45" s="1102"/>
      <c r="AJ45" s="1102"/>
      <c r="AK45" s="1105"/>
      <c r="AL45" s="1105"/>
      <c r="AM45" s="1100">
        <f t="shared" si="27"/>
        <v>0</v>
      </c>
      <c r="AN45" s="1102"/>
      <c r="AO45" s="1102"/>
      <c r="AP45" s="1102"/>
      <c r="AQ45" s="1102"/>
      <c r="AR45" s="1100">
        <f t="shared" si="28"/>
        <v>0</v>
      </c>
      <c r="AS45" s="1102"/>
      <c r="AT45" s="1102"/>
      <c r="AU45" s="1105"/>
      <c r="AV45" s="1105"/>
      <c r="AW45" s="1100">
        <f t="shared" si="29"/>
        <v>0</v>
      </c>
      <c r="AX45" s="1105"/>
      <c r="AY45" s="1105"/>
      <c r="AZ45" s="1105"/>
      <c r="BA45" s="1105"/>
      <c r="BB45" s="1100">
        <f t="shared" si="30"/>
        <v>0</v>
      </c>
      <c r="BC45" s="1105"/>
      <c r="BD45" s="1105"/>
      <c r="BE45" s="1105"/>
      <c r="BF45" s="1105"/>
      <c r="BG45" s="1100">
        <f t="shared" si="31"/>
        <v>0</v>
      </c>
      <c r="BH45" s="1105"/>
      <c r="BI45" s="1105"/>
      <c r="BJ45" s="1103"/>
      <c r="BK45" s="1105"/>
      <c r="BL45" s="1100">
        <f t="shared" si="32"/>
        <v>0</v>
      </c>
      <c r="BM45" s="1105"/>
      <c r="BN45" s="1105"/>
      <c r="BO45" s="1103"/>
      <c r="BP45" s="1105"/>
      <c r="BQ45" s="1100">
        <f t="shared" si="33"/>
        <v>0</v>
      </c>
      <c r="BR45" s="1105"/>
      <c r="BS45" s="1105"/>
      <c r="BT45" s="1105"/>
      <c r="BU45" s="1105"/>
      <c r="BV45" s="1100">
        <f t="shared" si="34"/>
        <v>0</v>
      </c>
      <c r="BW45" s="1105"/>
      <c r="BX45" s="1105"/>
      <c r="BY45" s="1105"/>
      <c r="BZ45" s="1105"/>
      <c r="CA45" s="1100">
        <f t="shared" si="35"/>
        <v>0</v>
      </c>
    </row>
    <row r="46" spans="2:79" s="96" customFormat="1" ht="13.15">
      <c r="B46" s="120" t="s">
        <v>111</v>
      </c>
      <c r="C46" s="128"/>
      <c r="D46" s="1092"/>
      <c r="E46" s="1069">
        <f t="shared" ref="E46:AJ46" si="36">SUM(E37:E45)</f>
        <v>0</v>
      </c>
      <c r="F46" s="1069">
        <f t="shared" si="36"/>
        <v>0</v>
      </c>
      <c r="G46" s="1069">
        <f t="shared" si="36"/>
        <v>0</v>
      </c>
      <c r="H46" s="1069">
        <f t="shared" si="36"/>
        <v>0</v>
      </c>
      <c r="I46" s="1092">
        <f t="shared" si="36"/>
        <v>0</v>
      </c>
      <c r="J46" s="1069">
        <f t="shared" si="36"/>
        <v>0</v>
      </c>
      <c r="K46" s="1069">
        <f t="shared" si="36"/>
        <v>0</v>
      </c>
      <c r="L46" s="1069">
        <f t="shared" si="36"/>
        <v>0</v>
      </c>
      <c r="M46" s="1069">
        <f t="shared" si="36"/>
        <v>0</v>
      </c>
      <c r="N46" s="1092">
        <f t="shared" si="36"/>
        <v>0</v>
      </c>
      <c r="O46" s="1069">
        <f t="shared" si="36"/>
        <v>0</v>
      </c>
      <c r="P46" s="1069">
        <f t="shared" si="36"/>
        <v>0</v>
      </c>
      <c r="Q46" s="1069">
        <f t="shared" si="36"/>
        <v>0</v>
      </c>
      <c r="R46" s="1069">
        <f t="shared" si="36"/>
        <v>0</v>
      </c>
      <c r="S46" s="1092">
        <f t="shared" si="36"/>
        <v>0</v>
      </c>
      <c r="T46" s="1069">
        <f t="shared" si="36"/>
        <v>0</v>
      </c>
      <c r="U46" s="1069">
        <f t="shared" si="36"/>
        <v>0</v>
      </c>
      <c r="V46" s="1069">
        <f t="shared" si="36"/>
        <v>0</v>
      </c>
      <c r="W46" s="1069">
        <f t="shared" si="36"/>
        <v>0</v>
      </c>
      <c r="X46" s="1092">
        <f>-80165</f>
        <v>-80165</v>
      </c>
      <c r="Y46" s="1069"/>
      <c r="Z46" s="1069"/>
      <c r="AA46" s="1069"/>
      <c r="AB46" s="1069"/>
      <c r="AC46" s="1092">
        <f>SUM(AC37:AC45)</f>
        <v>-40880</v>
      </c>
      <c r="AD46" s="1069">
        <f t="shared" si="36"/>
        <v>-6770</v>
      </c>
      <c r="AE46" s="1071">
        <f t="shared" si="36"/>
        <v>-3852</v>
      </c>
      <c r="AF46" s="1071">
        <f t="shared" si="36"/>
        <v>-4603</v>
      </c>
      <c r="AG46" s="1071">
        <f t="shared" si="36"/>
        <v>-3536</v>
      </c>
      <c r="AH46" s="1092">
        <f t="shared" si="36"/>
        <v>-18761</v>
      </c>
      <c r="AI46" s="1071">
        <f t="shared" si="36"/>
        <v>-6184</v>
      </c>
      <c r="AJ46" s="1069">
        <f t="shared" si="36"/>
        <v>-4336</v>
      </c>
      <c r="AK46" s="1069">
        <f t="shared" ref="AK46:BA46" si="37">SUM(AK37:AK45)</f>
        <v>-227355</v>
      </c>
      <c r="AL46" s="1069">
        <f t="shared" si="37"/>
        <v>-426449</v>
      </c>
      <c r="AM46" s="1092">
        <f>SUM(AM37:AM45)</f>
        <v>-664324</v>
      </c>
      <c r="AN46" s="1069">
        <f t="shared" si="37"/>
        <v>-313491</v>
      </c>
      <c r="AO46" s="1069">
        <f t="shared" si="37"/>
        <v>-18237</v>
      </c>
      <c r="AP46" s="1069">
        <f t="shared" si="37"/>
        <v>-19067</v>
      </c>
      <c r="AQ46" s="1069">
        <f t="shared" si="37"/>
        <v>29306</v>
      </c>
      <c r="AR46" s="1092">
        <f>SUM(AR37:AR45)</f>
        <v>-321489</v>
      </c>
      <c r="AS46" s="1069">
        <f t="shared" si="37"/>
        <v>169668</v>
      </c>
      <c r="AT46" s="1069">
        <f t="shared" si="37"/>
        <v>-79295</v>
      </c>
      <c r="AU46" s="1069">
        <f t="shared" si="37"/>
        <v>9691</v>
      </c>
      <c r="AV46" s="1069">
        <f t="shared" si="37"/>
        <v>-18835</v>
      </c>
      <c r="AW46" s="1092">
        <f t="shared" si="37"/>
        <v>81229</v>
      </c>
      <c r="AX46" s="1069">
        <f t="shared" si="37"/>
        <v>-70506</v>
      </c>
      <c r="AY46" s="1069">
        <f t="shared" si="37"/>
        <v>-34371</v>
      </c>
      <c r="AZ46" s="1069">
        <f t="shared" si="37"/>
        <v>-52808</v>
      </c>
      <c r="BA46" s="1069">
        <f t="shared" si="37"/>
        <v>-5224</v>
      </c>
      <c r="BB46" s="1092">
        <f t="shared" ref="BB46:CA46" si="38">SUM(BB37:BB45)</f>
        <v>-162909</v>
      </c>
      <c r="BC46" s="1069">
        <f t="shared" si="38"/>
        <v>-62514</v>
      </c>
      <c r="BD46" s="1069">
        <f t="shared" si="38"/>
        <v>-83338</v>
      </c>
      <c r="BE46" s="1069">
        <f t="shared" si="38"/>
        <v>-1843</v>
      </c>
      <c r="BF46" s="1069">
        <f t="shared" si="38"/>
        <v>-43502</v>
      </c>
      <c r="BG46" s="1092">
        <f t="shared" si="38"/>
        <v>-191197</v>
      </c>
      <c r="BH46" s="1069">
        <f t="shared" si="38"/>
        <v>7812</v>
      </c>
      <c r="BI46" s="1069">
        <f t="shared" si="38"/>
        <v>-64723</v>
      </c>
      <c r="BJ46" s="1069">
        <f t="shared" si="38"/>
        <v>34285</v>
      </c>
      <c r="BK46" s="1069">
        <f t="shared" si="38"/>
        <v>67238</v>
      </c>
      <c r="BL46" s="1092">
        <f t="shared" si="38"/>
        <v>44612</v>
      </c>
      <c r="BM46" s="1069">
        <f t="shared" si="38"/>
        <v>-60777</v>
      </c>
      <c r="BN46" s="1069">
        <f t="shared" si="38"/>
        <v>-176110</v>
      </c>
      <c r="BO46" s="1069">
        <f t="shared" si="38"/>
        <v>-43698</v>
      </c>
      <c r="BP46" s="1069">
        <f t="shared" si="38"/>
        <v>-32291</v>
      </c>
      <c r="BQ46" s="1092">
        <f t="shared" si="38"/>
        <v>-312876</v>
      </c>
      <c r="BR46" s="1069">
        <f t="shared" si="38"/>
        <v>-24925</v>
      </c>
      <c r="BS46" s="1069">
        <f t="shared" si="38"/>
        <v>-30452</v>
      </c>
      <c r="BT46" s="1069">
        <f t="shared" si="38"/>
        <v>-37748</v>
      </c>
      <c r="BU46" s="1069">
        <f t="shared" si="38"/>
        <v>-30000</v>
      </c>
      <c r="BV46" s="1092">
        <f t="shared" si="38"/>
        <v>-123125</v>
      </c>
      <c r="BW46" s="1069">
        <f t="shared" si="38"/>
        <v>-25000</v>
      </c>
      <c r="BX46" s="1069">
        <f t="shared" si="38"/>
        <v>-25000</v>
      </c>
      <c r="BY46" s="1069">
        <f t="shared" si="38"/>
        <v>-25000</v>
      </c>
      <c r="BZ46" s="1069">
        <f t="shared" si="38"/>
        <v>-30000</v>
      </c>
      <c r="CA46" s="1092">
        <f t="shared" si="38"/>
        <v>-105000</v>
      </c>
    </row>
    <row r="47" spans="2:79" ht="7.9" customHeight="1">
      <c r="B47" s="120"/>
      <c r="C47" s="81"/>
      <c r="D47" s="291"/>
      <c r="E47" s="103"/>
      <c r="F47" s="103"/>
      <c r="G47" s="103"/>
      <c r="H47" s="83"/>
      <c r="I47" s="102"/>
      <c r="J47" s="103"/>
      <c r="K47" s="103"/>
      <c r="L47" s="103"/>
      <c r="M47" s="83"/>
      <c r="N47" s="102"/>
      <c r="O47" s="81"/>
      <c r="P47" s="81"/>
      <c r="Q47" s="81"/>
      <c r="R47" s="81"/>
      <c r="S47" s="1095"/>
      <c r="T47" s="81"/>
      <c r="U47" s="81"/>
      <c r="V47" s="81"/>
      <c r="W47" s="81"/>
      <c r="X47" s="1095"/>
      <c r="Y47" s="1070"/>
      <c r="Z47" s="135"/>
      <c r="AA47" s="135"/>
      <c r="AB47" s="135"/>
      <c r="AC47" s="1095"/>
      <c r="AD47" s="135"/>
      <c r="AE47" s="135"/>
      <c r="AF47" s="135"/>
      <c r="AG47" s="1106"/>
      <c r="AH47" s="1097"/>
      <c r="AI47" s="135"/>
      <c r="AJ47" s="81"/>
      <c r="AK47" s="135"/>
      <c r="AL47" s="1070"/>
      <c r="AM47" s="1097"/>
      <c r="AN47" s="135"/>
      <c r="AO47" s="81"/>
      <c r="AP47" s="154"/>
      <c r="AQ47" s="1070"/>
      <c r="AR47" s="1097"/>
      <c r="AS47" s="135"/>
      <c r="AT47" s="81"/>
      <c r="AU47" s="135"/>
      <c r="AV47" s="135"/>
      <c r="AW47" s="1097"/>
      <c r="AX47" s="135"/>
      <c r="AY47" s="135"/>
      <c r="AZ47" s="135"/>
      <c r="BA47" s="1070"/>
      <c r="BB47" s="1097"/>
      <c r="BC47" s="1070"/>
      <c r="BD47" s="81"/>
      <c r="BE47" s="135"/>
      <c r="BF47" s="1070"/>
      <c r="BG47" s="1097"/>
      <c r="BH47" s="135"/>
      <c r="BI47" s="81"/>
      <c r="BJ47" s="135"/>
      <c r="BK47" s="1070"/>
      <c r="BL47" s="1097"/>
      <c r="BM47" s="135"/>
      <c r="BN47" s="81"/>
      <c r="BO47" s="135"/>
      <c r="BP47" s="1070"/>
      <c r="BQ47" s="1097"/>
      <c r="BR47" s="154"/>
      <c r="BS47" s="81"/>
      <c r="BT47" s="135"/>
      <c r="BU47" s="1070"/>
      <c r="BV47" s="1097"/>
      <c r="BW47" s="135"/>
      <c r="BX47" s="81"/>
      <c r="BY47" s="135"/>
      <c r="BZ47" s="1070"/>
      <c r="CA47" s="1097"/>
    </row>
    <row r="48" spans="2:79" s="96" customFormat="1" ht="13.15">
      <c r="B48" s="120" t="s">
        <v>110</v>
      </c>
      <c r="C48" s="128"/>
      <c r="D48" s="1092">
        <f t="shared" ref="D48:W48" si="39">D33+D37</f>
        <v>0</v>
      </c>
      <c r="E48" s="1069">
        <f t="shared" si="39"/>
        <v>0</v>
      </c>
      <c r="F48" s="1069">
        <f t="shared" si="39"/>
        <v>0</v>
      </c>
      <c r="G48" s="1069">
        <f t="shared" si="39"/>
        <v>0</v>
      </c>
      <c r="H48" s="1069">
        <f t="shared" si="39"/>
        <v>0</v>
      </c>
      <c r="I48" s="1107">
        <f t="shared" si="39"/>
        <v>0</v>
      </c>
      <c r="J48" s="1071">
        <f t="shared" si="39"/>
        <v>0</v>
      </c>
      <c r="K48" s="1071">
        <f t="shared" si="39"/>
        <v>0</v>
      </c>
      <c r="L48" s="1071">
        <f t="shared" si="39"/>
        <v>0</v>
      </c>
      <c r="M48" s="1071">
        <f t="shared" si="39"/>
        <v>0</v>
      </c>
      <c r="N48" s="1107">
        <f t="shared" si="39"/>
        <v>0</v>
      </c>
      <c r="O48" s="1071">
        <f t="shared" si="39"/>
        <v>0</v>
      </c>
      <c r="P48" s="1071">
        <f t="shared" si="39"/>
        <v>0</v>
      </c>
      <c r="Q48" s="1071">
        <f t="shared" si="39"/>
        <v>0</v>
      </c>
      <c r="R48" s="1071">
        <f t="shared" si="39"/>
        <v>0</v>
      </c>
      <c r="S48" s="1107">
        <f t="shared" si="39"/>
        <v>0</v>
      </c>
      <c r="T48" s="1071">
        <f t="shared" si="39"/>
        <v>0</v>
      </c>
      <c r="U48" s="1071">
        <f t="shared" si="39"/>
        <v>0</v>
      </c>
      <c r="V48" s="1071">
        <f t="shared" si="39"/>
        <v>0</v>
      </c>
      <c r="W48" s="1071">
        <f t="shared" si="39"/>
        <v>0</v>
      </c>
      <c r="X48" s="1107">
        <v>-96300</v>
      </c>
      <c r="Y48" s="1071" t="e">
        <f>Y33+Y37+#REF!</f>
        <v>#REF!</v>
      </c>
      <c r="Z48" s="1071" t="e">
        <f>Z33+Z37+#REF!</f>
        <v>#REF!</v>
      </c>
      <c r="AA48" s="1071" t="e">
        <f>AA33+AA37+#REF!</f>
        <v>#REF!</v>
      </c>
      <c r="AB48" s="1071" t="e">
        <f>AB33+AB37+#REF!</f>
        <v>#REF!</v>
      </c>
      <c r="AC48" s="1107">
        <f>AC33+AC37</f>
        <v>-48120</v>
      </c>
      <c r="AD48" s="1071">
        <f>AD33+AD37</f>
        <v>-7467</v>
      </c>
      <c r="AE48" s="1071">
        <f>AE33+AE37</f>
        <v>7779</v>
      </c>
      <c r="AF48" s="1071">
        <f t="shared" ref="AF48:AM48" si="40">AF33+AF37</f>
        <v>7015</v>
      </c>
      <c r="AG48" s="1071">
        <f t="shared" si="40"/>
        <v>28723</v>
      </c>
      <c r="AH48" s="1107">
        <f t="shared" si="40"/>
        <v>36050</v>
      </c>
      <c r="AI48" s="1071">
        <f t="shared" si="40"/>
        <v>8808</v>
      </c>
      <c r="AJ48" s="1071">
        <f t="shared" si="40"/>
        <v>18359</v>
      </c>
      <c r="AK48" s="1071">
        <f t="shared" si="40"/>
        <v>-4315</v>
      </c>
      <c r="AL48" s="1071">
        <f t="shared" si="40"/>
        <v>22820</v>
      </c>
      <c r="AM48" s="1107">
        <f t="shared" si="40"/>
        <v>45672</v>
      </c>
      <c r="AN48" s="1071">
        <f t="shared" ref="AN48:BB48" si="41">AN33+AN37</f>
        <v>30418</v>
      </c>
      <c r="AO48" s="1071">
        <f t="shared" si="41"/>
        <v>11851</v>
      </c>
      <c r="AP48" s="1071">
        <f t="shared" si="41"/>
        <v>-14149</v>
      </c>
      <c r="AQ48" s="1071">
        <f t="shared" si="41"/>
        <v>15530</v>
      </c>
      <c r="AR48" s="1107">
        <f>AR33+AR37</f>
        <v>43650</v>
      </c>
      <c r="AS48" s="1071">
        <f t="shared" si="41"/>
        <v>32755</v>
      </c>
      <c r="AT48" s="1071">
        <f t="shared" si="41"/>
        <v>99772</v>
      </c>
      <c r="AU48" s="1071">
        <f t="shared" si="41"/>
        <v>38050</v>
      </c>
      <c r="AV48" s="1071">
        <f t="shared" si="41"/>
        <v>43982</v>
      </c>
      <c r="AW48" s="1107">
        <f t="shared" si="41"/>
        <v>214559</v>
      </c>
      <c r="AX48" s="1071">
        <f t="shared" si="41"/>
        <v>123001</v>
      </c>
      <c r="AY48" s="1071">
        <f t="shared" si="41"/>
        <v>161731</v>
      </c>
      <c r="AZ48" s="1071">
        <f t="shared" si="41"/>
        <v>90019</v>
      </c>
      <c r="BA48" s="1071">
        <f t="shared" si="41"/>
        <v>70323</v>
      </c>
      <c r="BB48" s="1107">
        <f t="shared" si="41"/>
        <v>445074</v>
      </c>
      <c r="BC48" s="1071">
        <f t="shared" ref="BC48:CA48" si="42">BC33+BC37</f>
        <v>174577</v>
      </c>
      <c r="BD48" s="1071">
        <f t="shared" si="42"/>
        <v>105475</v>
      </c>
      <c r="BE48" s="1071">
        <f t="shared" si="42"/>
        <v>36060</v>
      </c>
      <c r="BF48" s="1071">
        <f t="shared" si="42"/>
        <v>112993</v>
      </c>
      <c r="BG48" s="1107">
        <f t="shared" si="42"/>
        <v>429105</v>
      </c>
      <c r="BH48" s="1071">
        <f t="shared" si="42"/>
        <v>214578</v>
      </c>
      <c r="BI48" s="1071">
        <f t="shared" si="42"/>
        <v>183637</v>
      </c>
      <c r="BJ48" s="1071">
        <f t="shared" si="42"/>
        <v>240336</v>
      </c>
      <c r="BK48" s="1071">
        <f t="shared" si="42"/>
        <v>248584</v>
      </c>
      <c r="BL48" s="1107">
        <f t="shared" si="42"/>
        <v>887135</v>
      </c>
      <c r="BM48" s="1071">
        <f t="shared" si="42"/>
        <v>232073</v>
      </c>
      <c r="BN48" s="1071">
        <f t="shared" si="42"/>
        <v>197928</v>
      </c>
      <c r="BO48" s="1071">
        <f t="shared" si="42"/>
        <v>210713</v>
      </c>
      <c r="BP48" s="1071">
        <f t="shared" si="42"/>
        <v>279570</v>
      </c>
      <c r="BQ48" s="1107">
        <f t="shared" si="42"/>
        <v>920284</v>
      </c>
      <c r="BR48" s="1071">
        <f t="shared" si="42"/>
        <v>227815</v>
      </c>
      <c r="BS48" s="1071">
        <f t="shared" si="42"/>
        <v>217648</v>
      </c>
      <c r="BT48" s="1071">
        <f t="shared" si="42"/>
        <v>262900</v>
      </c>
      <c r="BU48" s="1071">
        <f t="shared" si="42"/>
        <v>271781.32637919998</v>
      </c>
      <c r="BV48" s="1107">
        <f t="shared" si="42"/>
        <v>980144.32637920068</v>
      </c>
      <c r="BW48" s="1071">
        <f t="shared" si="42"/>
        <v>363553.26225093193</v>
      </c>
      <c r="BX48" s="1071">
        <f t="shared" si="42"/>
        <v>269253.69819506106</v>
      </c>
      <c r="BY48" s="1071">
        <f t="shared" si="42"/>
        <v>156796.84918621587</v>
      </c>
      <c r="BZ48" s="1071">
        <f t="shared" si="42"/>
        <v>295282.35513264872</v>
      </c>
      <c r="CA48" s="1107">
        <f t="shared" si="42"/>
        <v>1084886.1647648572</v>
      </c>
    </row>
    <row r="49" spans="2:79" s="975" customFormat="1" ht="12" customHeight="1">
      <c r="B49" s="1108"/>
      <c r="C49" s="1109" t="s">
        <v>109</v>
      </c>
      <c r="D49" s="977" t="e">
        <f>D48/IS!D13</f>
        <v>#DIV/0!</v>
      </c>
      <c r="E49" s="971" t="e">
        <f>E48/IS!E13</f>
        <v>#DIV/0!</v>
      </c>
      <c r="F49" s="971" t="e">
        <f>F48/IS!F13</f>
        <v>#DIV/0!</v>
      </c>
      <c r="G49" s="971" t="e">
        <f>G48/IS!G13</f>
        <v>#DIV/0!</v>
      </c>
      <c r="H49" s="971" t="e">
        <f>H48/IS!H13</f>
        <v>#DIV/0!</v>
      </c>
      <c r="I49" s="977" t="e">
        <f>I48/IS!I13</f>
        <v>#DIV/0!</v>
      </c>
      <c r="J49" s="971" t="e">
        <f>J48/IS!J13</f>
        <v>#DIV/0!</v>
      </c>
      <c r="K49" s="971" t="e">
        <f>K48/IS!K13</f>
        <v>#DIV/0!</v>
      </c>
      <c r="L49" s="971" t="e">
        <f>L48/IS!L13</f>
        <v>#DIV/0!</v>
      </c>
      <c r="M49" s="971" t="e">
        <f>M48/IS!M13</f>
        <v>#DIV/0!</v>
      </c>
      <c r="N49" s="977" t="e">
        <f>N48/IS!N13</f>
        <v>#DIV/0!</v>
      </c>
      <c r="O49" s="1072" t="e">
        <f>O48/IS!O13</f>
        <v>#DIV/0!</v>
      </c>
      <c r="P49" s="1072" t="e">
        <f>P48/IS!P13</f>
        <v>#DIV/0!</v>
      </c>
      <c r="Q49" s="1072" t="e">
        <f>Q48/IS!Q13</f>
        <v>#DIV/0!</v>
      </c>
      <c r="R49" s="1072" t="e">
        <f>R48/IS!R13</f>
        <v>#DIV/0!</v>
      </c>
      <c r="S49" s="1110" t="e">
        <f>S48/IS!S13</f>
        <v>#DIV/0!</v>
      </c>
      <c r="T49" s="1072" t="e">
        <f>T48/IS!T13</f>
        <v>#DIV/0!</v>
      </c>
      <c r="U49" s="1072" t="e">
        <f>U48/IS!U13</f>
        <v>#DIV/0!</v>
      </c>
      <c r="V49" s="1072" t="e">
        <f>V48/IS!V13</f>
        <v>#DIV/0!</v>
      </c>
      <c r="W49" s="1072" t="e">
        <f>W48/IS!W13</f>
        <v>#DIV/0!</v>
      </c>
      <c r="X49" s="1110">
        <f>X48/IS!X13</f>
        <v>-0.38446029838590551</v>
      </c>
      <c r="Y49" s="1072" t="e">
        <f>Y48/IS!Y13</f>
        <v>#REF!</v>
      </c>
      <c r="Z49" s="1111" t="e">
        <f>Z48/IS!Z13</f>
        <v>#REF!</v>
      </c>
      <c r="AA49" s="1072" t="e">
        <f>AA48/IS!AA13</f>
        <v>#REF!</v>
      </c>
      <c r="AB49" s="1111" t="e">
        <f>AB48/IS!AB13</f>
        <v>#REF!</v>
      </c>
      <c r="AC49" s="1110">
        <f>AC48/IS!AC13</f>
        <v>-0.12614723993928575</v>
      </c>
      <c r="AD49" s="1111">
        <f>AD48/IS!AD13</f>
        <v>-6.5789705545472171E-2</v>
      </c>
      <c r="AE49" s="1072">
        <f>AE48/IS!AE13</f>
        <v>6.1962833451486739E-2</v>
      </c>
      <c r="AF49" s="1111">
        <f>AF48/IS!AF13</f>
        <v>5.3718153902702369E-2</v>
      </c>
      <c r="AG49" s="1072">
        <f>AG48/IS!AG13</f>
        <v>0.19293496513830488</v>
      </c>
      <c r="AH49" s="1110">
        <f>AH48/IS!AH13</f>
        <v>6.9526946754509128E-2</v>
      </c>
      <c r="AI49" s="1111">
        <f>AI48/IS!AI13</f>
        <v>5.6531115218730749E-2</v>
      </c>
      <c r="AJ49" s="1072">
        <f>AJ48/IS!AJ13</f>
        <v>0.10990517468451426</v>
      </c>
      <c r="AK49" s="1111">
        <f>AK48/IS!AK13</f>
        <v>-2.4189253580738292E-2</v>
      </c>
      <c r="AL49" s="1072">
        <f>AL48/IS!AL13</f>
        <v>0.11425309915286484</v>
      </c>
      <c r="AM49" s="1110">
        <f>AM48/IS!AM13</f>
        <v>6.5155520429576771E-2</v>
      </c>
      <c r="AN49" s="1109">
        <f>AN48/IS!AN13</f>
        <v>0.14216543124480047</v>
      </c>
      <c r="AO49" s="1072">
        <f>AO48/IS!AO13</f>
        <v>5.0298796326163353E-2</v>
      </c>
      <c r="AP49" s="1072">
        <f>AP48/IS!AP13</f>
        <v>-5.6708964256799547E-2</v>
      </c>
      <c r="AQ49" s="1072">
        <f>AQ48/IS!AQ13</f>
        <v>5.6494297822805073E-2</v>
      </c>
      <c r="AR49" s="1110">
        <f>AR48/IS!AR13</f>
        <v>4.4816529444921871E-2</v>
      </c>
      <c r="AS49" s="1072">
        <f>AS48/IS!AS13</f>
        <v>0.11027988296966167</v>
      </c>
      <c r="AT49" s="1072">
        <f>AT48/IS!AT13</f>
        <v>0.29155282298244639</v>
      </c>
      <c r="AU49" s="1072">
        <f>AU48/IS!AU13</f>
        <v>9.9367235710573668E-2</v>
      </c>
      <c r="AV49" s="1072">
        <f>AV48/IS!AV13</f>
        <v>0.10207055962199871</v>
      </c>
      <c r="AW49" s="1110">
        <f>AW48/IS!AW13</f>
        <v>0.14766143146092314</v>
      </c>
      <c r="AX49" s="1072">
        <f>AX48/IS!AX13</f>
        <v>0.26221865020316448</v>
      </c>
      <c r="AY49" s="1072">
        <f>AY48/IS!AY13</f>
        <v>0.31597713365791141</v>
      </c>
      <c r="AZ49" s="1072">
        <f>AZ48/IS!AZ13</f>
        <v>0.16503227533306566</v>
      </c>
      <c r="BA49" s="1072">
        <f>BA48/IS!BA13</f>
        <v>0.12107370856776876</v>
      </c>
      <c r="BB49" s="1110">
        <f>BB48/IS!BB13</f>
        <v>0.21121452838417379</v>
      </c>
      <c r="BC49" s="1072">
        <f>BC48/IS!BC13</f>
        <v>0.29655065806907516</v>
      </c>
      <c r="BD49" s="1072">
        <f>BD48/IS!BD13</f>
        <v>0.16952380646239698</v>
      </c>
      <c r="BE49" s="1072">
        <f>BE48/IS!BE13</f>
        <v>5.5866873856441034E-2</v>
      </c>
      <c r="BF49" s="1072">
        <f>BF48/IS!BF13</f>
        <v>0.17131156985699905</v>
      </c>
      <c r="BG49" s="1110">
        <f>BG48/IS!BG13</f>
        <v>0.17055623898263653</v>
      </c>
      <c r="BH49" s="1072">
        <f>BH48/IS!BH13</f>
        <v>0.32443588332416068</v>
      </c>
      <c r="BI49" s="1072">
        <f>BI48/IS!BI13</f>
        <v>0.26703572991782598</v>
      </c>
      <c r="BJ49" s="1072">
        <f>BJ48/IS!BJ13</f>
        <v>0.34313077420579907</v>
      </c>
      <c r="BK49" s="1072">
        <f>BK48/IS!BK13</f>
        <v>0.34894565586634213</v>
      </c>
      <c r="BL49" s="1110">
        <f>BL48/IS!BL13</f>
        <v>0.32120669891038067</v>
      </c>
      <c r="BM49" s="1072">
        <f>BM48/IS!BM13</f>
        <v>0.32702919790316215</v>
      </c>
      <c r="BN49" s="1072">
        <f>BN48/IS!BN13</f>
        <v>0.26891404799008733</v>
      </c>
      <c r="BO49" s="1072">
        <f>BO48/IS!BO13</f>
        <v>0.27915662012135345</v>
      </c>
      <c r="BP49" s="1072">
        <f>BP48/IS!BP13</f>
        <v>0.36015366143984168</v>
      </c>
      <c r="BQ49" s="1110">
        <f>BQ48/IS!BQ13</f>
        <v>0.30915844486197813</v>
      </c>
      <c r="BR49" s="1072">
        <f>BR48/IS!BR13</f>
        <v>0.29832227684265389</v>
      </c>
      <c r="BS49" s="1072">
        <f>BS48/IS!BS13</f>
        <v>0.27184388411213084</v>
      </c>
      <c r="BT49" s="1072">
        <f>BT48/IS!BT13</f>
        <v>0.32125618622838636</v>
      </c>
      <c r="BU49" s="1072">
        <f>BU48/IS!BU13</f>
        <v>0.32855079205788673</v>
      </c>
      <c r="BV49" s="1110">
        <f>BV48/IS!BV13</f>
        <v>0.30535494150558351</v>
      </c>
      <c r="BW49" s="1072">
        <f>BW48/IS!BW13</f>
        <v>0.45087298576230417</v>
      </c>
      <c r="BX49" s="1072">
        <f>BX48/IS!BX13</f>
        <v>0.31836104168886914</v>
      </c>
      <c r="BY49" s="1072">
        <f>BY48/IS!BY13</f>
        <v>0.18141055322747643</v>
      </c>
      <c r="BZ49" s="1072">
        <f>BZ48/IS!BZ13</f>
        <v>0.33792997763735394</v>
      </c>
      <c r="CA49" s="1110">
        <f>CA48/IS!CA13</f>
        <v>0.32000660424222155</v>
      </c>
    </row>
    <row r="50" spans="2:79" s="82" customFormat="1" ht="7.9" customHeight="1">
      <c r="B50" s="1112"/>
      <c r="C50" s="1113"/>
      <c r="D50" s="1114"/>
      <c r="E50" s="1074"/>
      <c r="F50" s="1074"/>
      <c r="G50" s="1074"/>
      <c r="H50" s="83"/>
      <c r="I50" s="1114"/>
      <c r="J50" s="1074"/>
      <c r="K50" s="1074"/>
      <c r="L50" s="1074"/>
      <c r="M50" s="83"/>
      <c r="N50" s="1114"/>
      <c r="O50" s="1115"/>
      <c r="P50" s="1115"/>
      <c r="Q50" s="1115"/>
      <c r="R50" s="1115"/>
      <c r="S50" s="1116"/>
      <c r="T50" s="1115"/>
      <c r="U50" s="1115"/>
      <c r="V50" s="1115"/>
      <c r="W50" s="1115"/>
      <c r="X50" s="1116"/>
      <c r="Y50" s="1115"/>
      <c r="Z50" s="1117"/>
      <c r="AA50" s="1115"/>
      <c r="AB50" s="1117"/>
      <c r="AC50" s="1118"/>
      <c r="AD50" s="1115"/>
      <c r="AE50" s="1117"/>
      <c r="AF50" s="1117"/>
      <c r="AG50" s="1117"/>
      <c r="AH50" s="1118"/>
      <c r="AI50" s="1119"/>
      <c r="AJ50" s="1120"/>
      <c r="AK50" s="1119"/>
      <c r="AL50" s="1120"/>
      <c r="AM50" s="1118"/>
      <c r="AN50" s="1073"/>
      <c r="AO50" s="1073"/>
      <c r="AP50" s="1121"/>
      <c r="AQ50" s="1120"/>
      <c r="AR50" s="1118"/>
      <c r="AS50" s="1073"/>
      <c r="AT50" s="1073"/>
      <c r="AU50" s="1121"/>
      <c r="AV50" s="1121"/>
      <c r="AW50" s="1118"/>
      <c r="AX50" s="1073"/>
      <c r="AY50" s="1073"/>
      <c r="AZ50" s="1121"/>
      <c r="BA50" s="1120"/>
      <c r="BB50" s="1118"/>
      <c r="BC50" s="1120"/>
      <c r="BD50" s="1073"/>
      <c r="BE50" s="1121"/>
      <c r="BF50" s="1120"/>
      <c r="BG50" s="1118"/>
      <c r="BH50" s="1073"/>
      <c r="BI50" s="1073"/>
      <c r="BJ50" s="1121"/>
      <c r="BK50" s="1120"/>
      <c r="BL50" s="1118"/>
      <c r="BM50" s="1073"/>
      <c r="BN50" s="1073"/>
      <c r="BO50" s="1121"/>
      <c r="BP50" s="1120"/>
      <c r="BQ50" s="1118"/>
      <c r="BR50" s="1073"/>
      <c r="BS50" s="1073"/>
      <c r="BT50" s="1121"/>
      <c r="BU50" s="1120"/>
      <c r="BV50" s="1118"/>
      <c r="BW50" s="1073"/>
      <c r="BX50" s="1073"/>
      <c r="BY50" s="1121"/>
      <c r="BZ50" s="1120"/>
      <c r="CA50" s="1118"/>
    </row>
    <row r="51" spans="2:79" ht="13.15">
      <c r="B51" s="1096" t="s">
        <v>108</v>
      </c>
      <c r="C51" s="81"/>
      <c r="D51" s="102"/>
      <c r="E51" s="103"/>
      <c r="F51" s="103"/>
      <c r="G51" s="103"/>
      <c r="H51" s="83"/>
      <c r="I51" s="102"/>
      <c r="J51" s="103"/>
      <c r="K51" s="103"/>
      <c r="L51" s="103"/>
      <c r="M51" s="83"/>
      <c r="N51" s="102"/>
      <c r="O51" s="81"/>
      <c r="P51" s="83"/>
      <c r="Q51" s="83"/>
      <c r="R51" s="83"/>
      <c r="S51" s="291"/>
      <c r="T51" s="103"/>
      <c r="U51" s="81"/>
      <c r="V51" s="81"/>
      <c r="W51" s="81"/>
      <c r="X51" s="1095"/>
      <c r="Y51" s="81"/>
      <c r="Z51" s="135"/>
      <c r="AA51" s="81"/>
      <c r="AB51" s="135"/>
      <c r="AC51" s="1122"/>
      <c r="AD51" s="81"/>
      <c r="AE51" s="135"/>
      <c r="AF51" s="135"/>
      <c r="AG51" s="135"/>
      <c r="AH51" s="291"/>
      <c r="AI51" s="135"/>
      <c r="AJ51" s="81"/>
      <c r="AK51" s="135"/>
      <c r="AL51" s="81"/>
      <c r="AM51" s="291"/>
      <c r="AN51" s="81"/>
      <c r="AO51" s="81"/>
      <c r="AP51" s="135"/>
      <c r="AQ51" s="81"/>
      <c r="AR51" s="291"/>
      <c r="AS51" s="81"/>
      <c r="AT51" s="81"/>
      <c r="AU51" s="135"/>
      <c r="AV51" s="135"/>
      <c r="AW51" s="291"/>
      <c r="AX51" s="81"/>
      <c r="AY51" s="81"/>
      <c r="AZ51" s="135"/>
      <c r="BA51" s="81"/>
      <c r="BB51" s="291"/>
      <c r="BC51" s="81"/>
      <c r="BD51" s="81"/>
      <c r="BE51" s="135"/>
      <c r="BF51" s="81"/>
      <c r="BG51" s="291"/>
      <c r="BH51" s="81"/>
      <c r="BI51" s="81"/>
      <c r="BJ51" s="135"/>
      <c r="BK51" s="81"/>
      <c r="BL51" s="291"/>
      <c r="BM51" s="81"/>
      <c r="BN51" s="81"/>
      <c r="BO51" s="154"/>
      <c r="BP51" s="81"/>
      <c r="BQ51" s="291"/>
      <c r="BR51" s="81"/>
      <c r="BS51" s="81"/>
      <c r="BT51" s="135"/>
      <c r="BU51" s="81"/>
      <c r="BV51" s="291"/>
      <c r="BW51" s="81"/>
      <c r="BX51" s="81"/>
      <c r="BY51" s="135"/>
      <c r="BZ51" s="81"/>
      <c r="CA51" s="291"/>
    </row>
    <row r="52" spans="2:79" ht="13.15">
      <c r="B52" s="1096"/>
      <c r="C52" s="81" t="s">
        <v>280</v>
      </c>
      <c r="D52" s="102"/>
      <c r="E52" s="103"/>
      <c r="F52" s="103"/>
      <c r="G52" s="103"/>
      <c r="H52" s="83"/>
      <c r="I52" s="102">
        <f>SUM(E52:H52)</f>
        <v>0</v>
      </c>
      <c r="J52" s="103"/>
      <c r="K52" s="103"/>
      <c r="L52" s="103"/>
      <c r="M52" s="83"/>
      <c r="N52" s="102">
        <f>SUM(J52:M52)</f>
        <v>0</v>
      </c>
      <c r="O52" s="103"/>
      <c r="P52" s="103"/>
      <c r="Q52" s="103"/>
      <c r="R52" s="83"/>
      <c r="S52" s="291">
        <f>SUM(O52:R52)</f>
        <v>0</v>
      </c>
      <c r="T52" s="83"/>
      <c r="U52" s="83"/>
      <c r="V52" s="83"/>
      <c r="W52" s="83"/>
      <c r="X52" s="102">
        <v>0</v>
      </c>
      <c r="Y52" s="83"/>
      <c r="Z52" s="83"/>
      <c r="AA52" s="83"/>
      <c r="AB52" s="114"/>
      <c r="AC52" s="291">
        <v>0</v>
      </c>
      <c r="AD52" s="83"/>
      <c r="AE52" s="114"/>
      <c r="AF52" s="154"/>
      <c r="AG52" s="154"/>
      <c r="AH52" s="291">
        <f t="shared" ref="AH52:AH65" si="43">SUM(AD52:AG52)</f>
        <v>0</v>
      </c>
      <c r="AI52" s="114"/>
      <c r="AJ52" s="83"/>
      <c r="AK52" s="154"/>
      <c r="AL52" s="103">
        <v>-215332</v>
      </c>
      <c r="AM52" s="291">
        <f t="shared" ref="AM52:AM65" si="44">SUM(AI52:AL52)</f>
        <v>-215332</v>
      </c>
      <c r="AN52" s="83">
        <v>-56137</v>
      </c>
      <c r="AO52" s="83">
        <v>-29841</v>
      </c>
      <c r="AP52" s="154">
        <v>-39310</v>
      </c>
      <c r="AQ52" s="103">
        <v>-41216</v>
      </c>
      <c r="AR52" s="291">
        <f t="shared" ref="AR52:AR65" si="45">SUM(AN52:AQ52)</f>
        <v>-166504</v>
      </c>
      <c r="AS52" s="83">
        <v>-46723</v>
      </c>
      <c r="AT52" s="83">
        <v>-87137</v>
      </c>
      <c r="AU52" s="83">
        <v>-113417</v>
      </c>
      <c r="AV52" s="83">
        <v>-125186</v>
      </c>
      <c r="AW52" s="291">
        <f t="shared" ref="AW52:AW65" si="46">SUM(AS52:AV52)</f>
        <v>-372463</v>
      </c>
      <c r="AX52" s="83">
        <v>-106053</v>
      </c>
      <c r="AY52" s="83">
        <v>-122522</v>
      </c>
      <c r="AZ52" s="83">
        <v>-94534</v>
      </c>
      <c r="BA52" s="83">
        <v>-63412</v>
      </c>
      <c r="BB52" s="291">
        <f t="shared" ref="BB52:BB65" si="47">SUM(AX52:BA52)</f>
        <v>-386521</v>
      </c>
      <c r="BC52" s="83">
        <v>-24739</v>
      </c>
      <c r="BD52" s="83">
        <v>-19118</v>
      </c>
      <c r="BE52" s="83">
        <v>-23263</v>
      </c>
      <c r="BF52" s="83">
        <v>-17283</v>
      </c>
      <c r="BG52" s="291">
        <f t="shared" ref="BG52:BG65" si="48">SUM(BC52:BF52)</f>
        <v>-84403</v>
      </c>
      <c r="BH52" s="83">
        <v>-22637</v>
      </c>
      <c r="BI52" s="83">
        <v>-30008</v>
      </c>
      <c r="BJ52" s="83">
        <v>-35615</v>
      </c>
      <c r="BK52" s="83">
        <v>-45922</v>
      </c>
      <c r="BL52" s="291">
        <f t="shared" ref="BL52:BL65" si="49">SUM(BH52:BK52)</f>
        <v>-134182</v>
      </c>
      <c r="BM52" s="83">
        <v>-41637</v>
      </c>
      <c r="BN52" s="83">
        <v>-39446</v>
      </c>
      <c r="BO52" s="83">
        <v>-51051</v>
      </c>
      <c r="BP52" s="83">
        <v>-81148</v>
      </c>
      <c r="BQ52" s="291">
        <f t="shared" ref="BQ52:BQ61" si="50">SUM(BM52:BP52)</f>
        <v>-213282</v>
      </c>
      <c r="BR52" s="83">
        <v>-62793</v>
      </c>
      <c r="BS52" s="83">
        <v>-69164</v>
      </c>
      <c r="BT52" s="83">
        <v>-74254</v>
      </c>
      <c r="BU52" s="81"/>
      <c r="BV52" s="291">
        <f t="shared" ref="BV52:BV65" si="51">SUM(BR52:BU52)</f>
        <v>-206211</v>
      </c>
      <c r="BW52" s="1098"/>
      <c r="BX52" s="1098"/>
      <c r="BY52" s="135"/>
      <c r="BZ52" s="81"/>
      <c r="CA52" s="291">
        <f t="shared" ref="CA52:CA65" si="52">SUM(BW52:BZ52)</f>
        <v>0</v>
      </c>
    </row>
    <row r="53" spans="2:79" ht="13.15">
      <c r="B53" s="1096"/>
      <c r="C53" s="81" t="s">
        <v>218</v>
      </c>
      <c r="D53" s="102"/>
      <c r="E53" s="103"/>
      <c r="F53" s="103"/>
      <c r="G53" s="103"/>
      <c r="H53" s="83"/>
      <c r="I53" s="102">
        <f>SUM(E53:H53)</f>
        <v>0</v>
      </c>
      <c r="J53" s="103"/>
      <c r="K53" s="103"/>
      <c r="L53" s="103"/>
      <c r="M53" s="83"/>
      <c r="N53" s="102">
        <f>SUM(J53:M53)</f>
        <v>0</v>
      </c>
      <c r="O53" s="103"/>
      <c r="P53" s="103"/>
      <c r="Q53" s="103"/>
      <c r="R53" s="83"/>
      <c r="S53" s="291"/>
      <c r="T53" s="83"/>
      <c r="U53" s="83"/>
      <c r="V53" s="83"/>
      <c r="W53" s="83"/>
      <c r="X53" s="102"/>
      <c r="Y53" s="83"/>
      <c r="Z53" s="83"/>
      <c r="AA53" s="83"/>
      <c r="AB53" s="114"/>
      <c r="AC53" s="291">
        <v>8122</v>
      </c>
      <c r="AD53" s="83">
        <v>5830</v>
      </c>
      <c r="AE53" s="114">
        <v>7679</v>
      </c>
      <c r="AF53" s="154"/>
      <c r="AG53" s="154">
        <v>4487</v>
      </c>
      <c r="AH53" s="291">
        <f t="shared" si="43"/>
        <v>17996</v>
      </c>
      <c r="AI53" s="83">
        <v>7815</v>
      </c>
      <c r="AJ53" s="83">
        <v>2503</v>
      </c>
      <c r="AK53" s="154">
        <v>5047</v>
      </c>
      <c r="AL53" s="103">
        <v>34846</v>
      </c>
      <c r="AM53" s="291">
        <f t="shared" si="44"/>
        <v>50211</v>
      </c>
      <c r="AN53" s="83">
        <v>32254</v>
      </c>
      <c r="AO53" s="83">
        <v>10194</v>
      </c>
      <c r="AP53" s="154">
        <v>19815</v>
      </c>
      <c r="AQ53" s="103">
        <v>9914</v>
      </c>
      <c r="AR53" s="291">
        <f t="shared" si="45"/>
        <v>72177</v>
      </c>
      <c r="AS53" s="83">
        <v>7635</v>
      </c>
      <c r="AT53" s="83">
        <v>5403</v>
      </c>
      <c r="AU53" s="83">
        <v>1945</v>
      </c>
      <c r="AV53" s="83"/>
      <c r="AW53" s="291">
        <f t="shared" si="46"/>
        <v>14983</v>
      </c>
      <c r="AX53" s="83">
        <v>6616</v>
      </c>
      <c r="AY53" s="83">
        <v>5202</v>
      </c>
      <c r="AZ53" s="83">
        <v>9358</v>
      </c>
      <c r="BA53" s="83">
        <v>2553</v>
      </c>
      <c r="BB53" s="291">
        <f t="shared" si="47"/>
        <v>23729</v>
      </c>
      <c r="BC53" s="83">
        <v>1938</v>
      </c>
      <c r="BD53" s="83">
        <v>8688</v>
      </c>
      <c r="BE53" s="83">
        <v>383</v>
      </c>
      <c r="BF53" s="83">
        <v>1669</v>
      </c>
      <c r="BG53" s="291">
        <f t="shared" si="48"/>
        <v>12678</v>
      </c>
      <c r="BH53" s="83">
        <v>127</v>
      </c>
      <c r="BI53" s="83">
        <v>705</v>
      </c>
      <c r="BJ53" s="83">
        <v>12375</v>
      </c>
      <c r="BK53" s="83">
        <v>784</v>
      </c>
      <c r="BL53" s="291">
        <f t="shared" si="49"/>
        <v>13991</v>
      </c>
      <c r="BM53" s="83">
        <v>635</v>
      </c>
      <c r="BN53" s="83">
        <v>454</v>
      </c>
      <c r="BO53" s="83">
        <v>10257</v>
      </c>
      <c r="BP53" s="83">
        <v>11359</v>
      </c>
      <c r="BQ53" s="291">
        <f t="shared" si="50"/>
        <v>22705</v>
      </c>
      <c r="BR53" s="83">
        <v>699</v>
      </c>
      <c r="BS53" s="83">
        <v>471</v>
      </c>
      <c r="BT53" s="83">
        <v>80</v>
      </c>
      <c r="BU53" s="81"/>
      <c r="BV53" s="291">
        <f t="shared" si="51"/>
        <v>1250</v>
      </c>
      <c r="BW53" s="1098"/>
      <c r="BX53" s="1098"/>
      <c r="BY53" s="135"/>
      <c r="BZ53" s="81"/>
      <c r="CA53" s="291">
        <f t="shared" si="52"/>
        <v>0</v>
      </c>
    </row>
    <row r="54" spans="2:79" ht="13.15">
      <c r="B54" s="1096"/>
      <c r="C54" s="81" t="s">
        <v>284</v>
      </c>
      <c r="D54" s="102"/>
      <c r="E54" s="103"/>
      <c r="F54" s="103"/>
      <c r="G54" s="103"/>
      <c r="H54" s="83"/>
      <c r="I54" s="102"/>
      <c r="J54" s="103"/>
      <c r="K54" s="103"/>
      <c r="L54" s="103"/>
      <c r="M54" s="83"/>
      <c r="N54" s="102"/>
      <c r="O54" s="103"/>
      <c r="P54" s="103"/>
      <c r="Q54" s="103"/>
      <c r="R54" s="83"/>
      <c r="S54" s="291"/>
      <c r="T54" s="83"/>
      <c r="U54" s="83"/>
      <c r="V54" s="83"/>
      <c r="W54" s="83"/>
      <c r="X54" s="102"/>
      <c r="Y54" s="83"/>
      <c r="Z54" s="83"/>
      <c r="AA54" s="83"/>
      <c r="AB54" s="114"/>
      <c r="AC54" s="291"/>
      <c r="AD54" s="83"/>
      <c r="AE54" s="114"/>
      <c r="AF54" s="154"/>
      <c r="AG54" s="154">
        <v>-315</v>
      </c>
      <c r="AH54" s="291">
        <f t="shared" si="43"/>
        <v>-315</v>
      </c>
      <c r="AI54" s="83">
        <v>-2194</v>
      </c>
      <c r="AJ54" s="83"/>
      <c r="AK54" s="154"/>
      <c r="AL54" s="103">
        <v>-319</v>
      </c>
      <c r="AM54" s="291">
        <f t="shared" si="44"/>
        <v>-2513</v>
      </c>
      <c r="AN54" s="83"/>
      <c r="AO54" s="83"/>
      <c r="AP54" s="154"/>
      <c r="AQ54" s="103"/>
      <c r="AR54" s="291">
        <f t="shared" si="45"/>
        <v>0</v>
      </c>
      <c r="AS54" s="83"/>
      <c r="AT54" s="83"/>
      <c r="AU54" s="83"/>
      <c r="AV54" s="83"/>
      <c r="AW54" s="291">
        <f t="shared" si="46"/>
        <v>0</v>
      </c>
      <c r="AX54" s="83"/>
      <c r="AY54" s="83"/>
      <c r="AZ54" s="83"/>
      <c r="BA54" s="83"/>
      <c r="BB54" s="291">
        <f t="shared" si="47"/>
        <v>0</v>
      </c>
      <c r="BC54" s="83"/>
      <c r="BD54" s="1098"/>
      <c r="BE54" s="1098"/>
      <c r="BF54" s="81"/>
      <c r="BG54" s="291">
        <f t="shared" si="48"/>
        <v>0</v>
      </c>
      <c r="BH54" s="83"/>
      <c r="BI54" s="83"/>
      <c r="BJ54" s="83"/>
      <c r="BK54" s="83"/>
      <c r="BL54" s="291">
        <f t="shared" si="49"/>
        <v>0</v>
      </c>
      <c r="BM54" s="83"/>
      <c r="BN54" s="83"/>
      <c r="BO54" s="83"/>
      <c r="BP54" s="83"/>
      <c r="BQ54" s="291">
        <f t="shared" si="50"/>
        <v>0</v>
      </c>
      <c r="BR54" s="83"/>
      <c r="BS54" s="83"/>
      <c r="BT54" s="83"/>
      <c r="BU54" s="81"/>
      <c r="BV54" s="291">
        <f t="shared" si="51"/>
        <v>0</v>
      </c>
      <c r="BW54" s="1098"/>
      <c r="BX54" s="1098"/>
      <c r="BY54" s="135"/>
      <c r="BZ54" s="81"/>
      <c r="CA54" s="291">
        <f t="shared" si="52"/>
        <v>0</v>
      </c>
    </row>
    <row r="55" spans="2:79" ht="13.15">
      <c r="B55" s="1096"/>
      <c r="C55" s="81" t="s">
        <v>285</v>
      </c>
      <c r="D55" s="102"/>
      <c r="E55" s="103"/>
      <c r="F55" s="103"/>
      <c r="G55" s="103"/>
      <c r="H55" s="83"/>
      <c r="I55" s="102"/>
      <c r="J55" s="103"/>
      <c r="K55" s="103"/>
      <c r="L55" s="103"/>
      <c r="M55" s="83"/>
      <c r="N55" s="102"/>
      <c r="O55" s="103"/>
      <c r="P55" s="103"/>
      <c r="Q55" s="103"/>
      <c r="R55" s="83"/>
      <c r="S55" s="291"/>
      <c r="T55" s="83"/>
      <c r="U55" s="83"/>
      <c r="V55" s="83"/>
      <c r="W55" s="83"/>
      <c r="X55" s="102"/>
      <c r="Y55" s="83"/>
      <c r="Z55" s="83"/>
      <c r="AA55" s="83"/>
      <c r="AB55" s="114"/>
      <c r="AC55" s="291"/>
      <c r="AD55" s="83"/>
      <c r="AE55" s="114"/>
      <c r="AF55" s="154"/>
      <c r="AG55" s="154"/>
      <c r="AH55" s="291">
        <f t="shared" si="43"/>
        <v>0</v>
      </c>
      <c r="AI55" s="83"/>
      <c r="AJ55" s="83"/>
      <c r="AK55" s="154"/>
      <c r="AL55" s="103">
        <v>-250</v>
      </c>
      <c r="AM55" s="291">
        <f t="shared" si="44"/>
        <v>-250</v>
      </c>
      <c r="AN55" s="83"/>
      <c r="AO55" s="83"/>
      <c r="AP55" s="154"/>
      <c r="AQ55" s="103"/>
      <c r="AR55" s="291">
        <f t="shared" si="45"/>
        <v>0</v>
      </c>
      <c r="AS55" s="83"/>
      <c r="AT55" s="83"/>
      <c r="AU55" s="83"/>
      <c r="AV55" s="83"/>
      <c r="AW55" s="291">
        <f t="shared" si="46"/>
        <v>0</v>
      </c>
      <c r="AX55" s="83"/>
      <c r="AY55" s="83"/>
      <c r="AZ55" s="83"/>
      <c r="BA55" s="83"/>
      <c r="BB55" s="291">
        <f t="shared" si="47"/>
        <v>0</v>
      </c>
      <c r="BC55" s="83"/>
      <c r="BD55" s="1098"/>
      <c r="BE55" s="1098"/>
      <c r="BF55" s="81"/>
      <c r="BG55" s="291">
        <f t="shared" si="48"/>
        <v>0</v>
      </c>
      <c r="BH55" s="83"/>
      <c r="BI55" s="83"/>
      <c r="BJ55" s="83"/>
      <c r="BK55" s="83"/>
      <c r="BL55" s="291">
        <f t="shared" si="49"/>
        <v>0</v>
      </c>
      <c r="BM55" s="83"/>
      <c r="BN55" s="83"/>
      <c r="BO55" s="83"/>
      <c r="BP55" s="83"/>
      <c r="BQ55" s="291">
        <f t="shared" si="50"/>
        <v>0</v>
      </c>
      <c r="BR55" s="83"/>
      <c r="BS55" s="83"/>
      <c r="BT55" s="83"/>
      <c r="BU55" s="81"/>
      <c r="BV55" s="291">
        <f t="shared" si="51"/>
        <v>0</v>
      </c>
      <c r="BW55" s="1098"/>
      <c r="BX55" s="1098"/>
      <c r="BY55" s="135"/>
      <c r="BZ55" s="81"/>
      <c r="CA55" s="291">
        <f t="shared" si="52"/>
        <v>0</v>
      </c>
    </row>
    <row r="56" spans="2:79" ht="13.15">
      <c r="B56" s="1096"/>
      <c r="C56" s="81" t="s">
        <v>287</v>
      </c>
      <c r="D56" s="102"/>
      <c r="E56" s="103"/>
      <c r="F56" s="103"/>
      <c r="G56" s="103"/>
      <c r="H56" s="83"/>
      <c r="I56" s="102"/>
      <c r="J56" s="103"/>
      <c r="K56" s="103"/>
      <c r="L56" s="103"/>
      <c r="M56" s="83"/>
      <c r="N56" s="102"/>
      <c r="O56" s="103"/>
      <c r="P56" s="103"/>
      <c r="Q56" s="103"/>
      <c r="R56" s="83"/>
      <c r="S56" s="291"/>
      <c r="T56" s="83"/>
      <c r="U56" s="83"/>
      <c r="V56" s="83"/>
      <c r="W56" s="83"/>
      <c r="X56" s="102"/>
      <c r="Y56" s="83"/>
      <c r="Z56" s="83"/>
      <c r="AA56" s="83"/>
      <c r="AB56" s="114"/>
      <c r="AC56" s="291">
        <v>-85</v>
      </c>
      <c r="AD56" s="83"/>
      <c r="AE56" s="114"/>
      <c r="AF56" s="154"/>
      <c r="AG56" s="154"/>
      <c r="AH56" s="291">
        <f t="shared" si="43"/>
        <v>0</v>
      </c>
      <c r="AI56" s="83"/>
      <c r="AJ56" s="83"/>
      <c r="AK56" s="154">
        <v>560756</v>
      </c>
      <c r="AL56" s="103"/>
      <c r="AM56" s="291">
        <f t="shared" si="44"/>
        <v>560756</v>
      </c>
      <c r="AN56" s="83"/>
      <c r="AO56" s="83"/>
      <c r="AP56" s="154"/>
      <c r="AQ56" s="103"/>
      <c r="AR56" s="291">
        <f t="shared" si="45"/>
        <v>0</v>
      </c>
      <c r="AS56" s="83"/>
      <c r="AT56" s="83"/>
      <c r="AU56" s="83"/>
      <c r="AV56" s="83">
        <v>677370</v>
      </c>
      <c r="AW56" s="291">
        <f t="shared" si="46"/>
        <v>677370</v>
      </c>
      <c r="AX56" s="83"/>
      <c r="AY56" s="83"/>
      <c r="AZ56" s="83"/>
      <c r="BA56" s="83"/>
      <c r="BB56" s="291">
        <f t="shared" si="47"/>
        <v>0</v>
      </c>
      <c r="BC56" s="83"/>
      <c r="BD56" s="1098"/>
      <c r="BE56" s="1098"/>
      <c r="BF56" s="81"/>
      <c r="BG56" s="291">
        <f t="shared" si="48"/>
        <v>0</v>
      </c>
      <c r="BH56" s="83"/>
      <c r="BI56" s="83"/>
      <c r="BJ56" s="83"/>
      <c r="BK56" s="83"/>
      <c r="BL56" s="291">
        <f t="shared" si="49"/>
        <v>0</v>
      </c>
      <c r="BM56" s="83"/>
      <c r="BN56" s="83"/>
      <c r="BO56" s="83"/>
      <c r="BP56" s="83"/>
      <c r="BQ56" s="291">
        <f t="shared" si="50"/>
        <v>0</v>
      </c>
      <c r="BR56" s="83"/>
      <c r="BS56" s="83"/>
      <c r="BT56" s="83"/>
      <c r="BU56" s="81"/>
      <c r="BV56" s="291">
        <f t="shared" si="51"/>
        <v>0</v>
      </c>
      <c r="BW56" s="1098"/>
      <c r="BX56" s="1098"/>
      <c r="BY56" s="135"/>
      <c r="BZ56" s="81"/>
      <c r="CA56" s="291">
        <f t="shared" si="52"/>
        <v>0</v>
      </c>
    </row>
    <row r="57" spans="2:79" ht="13.15">
      <c r="B57" s="1096"/>
      <c r="C57" s="81" t="s">
        <v>580</v>
      </c>
      <c r="D57" s="102"/>
      <c r="E57" s="103"/>
      <c r="F57" s="103"/>
      <c r="G57" s="103"/>
      <c r="H57" s="83"/>
      <c r="I57" s="102"/>
      <c r="J57" s="103"/>
      <c r="K57" s="103"/>
      <c r="L57" s="103"/>
      <c r="M57" s="83"/>
      <c r="N57" s="102"/>
      <c r="O57" s="103"/>
      <c r="P57" s="103"/>
      <c r="Q57" s="103"/>
      <c r="R57" s="83"/>
      <c r="S57" s="291"/>
      <c r="T57" s="83"/>
      <c r="U57" s="83"/>
      <c r="V57" s="83"/>
      <c r="W57" s="83"/>
      <c r="X57" s="102"/>
      <c r="Y57" s="83"/>
      <c r="Z57" s="83"/>
      <c r="AA57" s="83"/>
      <c r="AB57" s="114"/>
      <c r="AC57" s="291"/>
      <c r="AD57" s="83"/>
      <c r="AE57" s="114"/>
      <c r="AF57" s="154"/>
      <c r="AG57" s="154"/>
      <c r="AH57" s="291"/>
      <c r="AI57" s="83"/>
      <c r="AJ57" s="83"/>
      <c r="AK57" s="154"/>
      <c r="AL57" s="103"/>
      <c r="AM57" s="291"/>
      <c r="AN57" s="83"/>
      <c r="AO57" s="83"/>
      <c r="AP57" s="154"/>
      <c r="AQ57" s="103"/>
      <c r="AR57" s="291"/>
      <c r="AS57" s="83"/>
      <c r="AT57" s="83"/>
      <c r="AU57" s="83"/>
      <c r="AV57" s="83"/>
      <c r="AW57" s="291"/>
      <c r="AX57" s="83"/>
      <c r="AY57" s="83"/>
      <c r="AZ57" s="83"/>
      <c r="BA57" s="83"/>
      <c r="BB57" s="291"/>
      <c r="BC57" s="83"/>
      <c r="BD57" s="83">
        <v>-25007</v>
      </c>
      <c r="BE57" s="83">
        <v>-38034</v>
      </c>
      <c r="BF57" s="81"/>
      <c r="BG57" s="291">
        <f t="shared" si="48"/>
        <v>-63041</v>
      </c>
      <c r="BH57" s="83">
        <v>-40472</v>
      </c>
      <c r="BI57" s="83">
        <v>-40044</v>
      </c>
      <c r="BJ57" s="83">
        <v>-75035</v>
      </c>
      <c r="BK57" s="83"/>
      <c r="BL57" s="1100">
        <f t="shared" si="49"/>
        <v>-155551</v>
      </c>
      <c r="BM57" s="83">
        <v>-149062</v>
      </c>
      <c r="BN57" s="83">
        <v>-200076</v>
      </c>
      <c r="BO57" s="83">
        <v>-172665</v>
      </c>
      <c r="BP57" s="83">
        <v>-161725</v>
      </c>
      <c r="BQ57" s="291">
        <f t="shared" si="50"/>
        <v>-683528</v>
      </c>
      <c r="BR57" s="83">
        <v>-183431</v>
      </c>
      <c r="BS57" s="83">
        <v>-201514</v>
      </c>
      <c r="BT57" s="83">
        <v>-215057</v>
      </c>
      <c r="BU57" s="81"/>
      <c r="BV57" s="291">
        <f t="shared" si="51"/>
        <v>-600002</v>
      </c>
      <c r="BW57" s="1098"/>
      <c r="BX57" s="1098"/>
      <c r="BY57" s="135"/>
      <c r="BZ57" s="81"/>
      <c r="CA57" s="291">
        <f t="shared" si="52"/>
        <v>0</v>
      </c>
    </row>
    <row r="58" spans="2:79" ht="13.15">
      <c r="B58" s="1096"/>
      <c r="C58" s="81" t="s">
        <v>288</v>
      </c>
      <c r="D58" s="102"/>
      <c r="E58" s="103"/>
      <c r="F58" s="103"/>
      <c r="G58" s="103"/>
      <c r="H58" s="83"/>
      <c r="I58" s="102"/>
      <c r="J58" s="103"/>
      <c r="K58" s="103"/>
      <c r="L58" s="103"/>
      <c r="M58" s="83"/>
      <c r="N58" s="102"/>
      <c r="O58" s="103"/>
      <c r="P58" s="103"/>
      <c r="Q58" s="103"/>
      <c r="R58" s="83"/>
      <c r="S58" s="291"/>
      <c r="T58" s="83"/>
      <c r="U58" s="83"/>
      <c r="V58" s="83"/>
      <c r="W58" s="83"/>
      <c r="X58" s="102"/>
      <c r="Y58" s="83"/>
      <c r="Z58" s="83"/>
      <c r="AA58" s="83"/>
      <c r="AB58" s="114"/>
      <c r="AC58" s="291"/>
      <c r="AD58" s="83"/>
      <c r="AE58" s="114"/>
      <c r="AF58" s="154"/>
      <c r="AG58" s="154"/>
      <c r="AH58" s="291">
        <f t="shared" si="43"/>
        <v>0</v>
      </c>
      <c r="AI58" s="83"/>
      <c r="AJ58" s="83"/>
      <c r="AK58" s="154">
        <v>-67563</v>
      </c>
      <c r="AL58" s="103"/>
      <c r="AM58" s="291">
        <f t="shared" si="44"/>
        <v>-67563</v>
      </c>
      <c r="AN58" s="83"/>
      <c r="AO58" s="83"/>
      <c r="AP58" s="154"/>
      <c r="AQ58" s="103"/>
      <c r="AR58" s="291">
        <f t="shared" si="45"/>
        <v>0</v>
      </c>
      <c r="AS58" s="83"/>
      <c r="AT58" s="83"/>
      <c r="AU58" s="83"/>
      <c r="AV58" s="83">
        <v>-31395</v>
      </c>
      <c r="AW58" s="291">
        <f t="shared" si="46"/>
        <v>-31395</v>
      </c>
      <c r="AX58" s="83"/>
      <c r="AY58" s="83"/>
      <c r="AZ58" s="83"/>
      <c r="BA58" s="83"/>
      <c r="BB58" s="291">
        <f t="shared" si="47"/>
        <v>0</v>
      </c>
      <c r="BC58" s="83"/>
      <c r="BD58" s="1098"/>
      <c r="BE58" s="1098"/>
      <c r="BF58" s="81"/>
      <c r="BG58" s="291">
        <f t="shared" si="48"/>
        <v>0</v>
      </c>
      <c r="BH58" s="83"/>
      <c r="BI58" s="83"/>
      <c r="BJ58" s="83"/>
      <c r="BK58" s="83"/>
      <c r="BL58" s="291">
        <f t="shared" si="49"/>
        <v>0</v>
      </c>
      <c r="BM58" s="83"/>
      <c r="BN58" s="83"/>
      <c r="BO58" s="83"/>
      <c r="BP58" s="83"/>
      <c r="BQ58" s="291">
        <f t="shared" si="50"/>
        <v>0</v>
      </c>
      <c r="BR58" s="83"/>
      <c r="BS58" s="83"/>
      <c r="BT58" s="135"/>
      <c r="BU58" s="81"/>
      <c r="BV58" s="291">
        <f t="shared" si="51"/>
        <v>0</v>
      </c>
      <c r="BW58" s="1098"/>
      <c r="BX58" s="1098"/>
      <c r="BY58" s="135"/>
      <c r="BZ58" s="81"/>
      <c r="CA58" s="291">
        <f t="shared" si="52"/>
        <v>0</v>
      </c>
    </row>
    <row r="59" spans="2:79" ht="13.15">
      <c r="B59" s="1096"/>
      <c r="C59" s="81" t="s">
        <v>593</v>
      </c>
      <c r="D59" s="102"/>
      <c r="E59" s="103"/>
      <c r="F59" s="103"/>
      <c r="G59" s="103"/>
      <c r="H59" s="83"/>
      <c r="I59" s="102"/>
      <c r="J59" s="103"/>
      <c r="K59" s="103"/>
      <c r="L59" s="103"/>
      <c r="M59" s="83"/>
      <c r="N59" s="102"/>
      <c r="O59" s="103"/>
      <c r="P59" s="103"/>
      <c r="Q59" s="103"/>
      <c r="R59" s="83"/>
      <c r="S59" s="291"/>
      <c r="T59" s="83"/>
      <c r="U59" s="83"/>
      <c r="V59" s="83"/>
      <c r="W59" s="83"/>
      <c r="X59" s="102"/>
      <c r="Y59" s="83"/>
      <c r="Z59" s="83"/>
      <c r="AA59" s="83"/>
      <c r="AB59" s="114"/>
      <c r="AC59" s="291"/>
      <c r="AD59" s="83"/>
      <c r="AE59" s="114"/>
      <c r="AF59" s="154"/>
      <c r="AG59" s="154"/>
      <c r="AH59" s="291"/>
      <c r="AI59" s="83"/>
      <c r="AJ59" s="83"/>
      <c r="AK59" s="154"/>
      <c r="AL59" s="103"/>
      <c r="AM59" s="291"/>
      <c r="AN59" s="83"/>
      <c r="AO59" s="83"/>
      <c r="AP59" s="154"/>
      <c r="AQ59" s="103"/>
      <c r="AR59" s="291"/>
      <c r="AS59" s="83"/>
      <c r="AT59" s="83"/>
      <c r="AU59" s="83"/>
      <c r="AV59" s="83"/>
      <c r="AW59" s="291"/>
      <c r="AX59" s="83"/>
      <c r="AY59" s="83"/>
      <c r="AZ59" s="83"/>
      <c r="BA59" s="83"/>
      <c r="BB59" s="291"/>
      <c r="BC59" s="83"/>
      <c r="BD59" s="1098"/>
      <c r="BE59" s="1098"/>
      <c r="BF59" s="81"/>
      <c r="BG59" s="291"/>
      <c r="BH59" s="83">
        <v>23688</v>
      </c>
      <c r="BI59" s="83"/>
      <c r="BJ59" s="83"/>
      <c r="BK59" s="83"/>
      <c r="BL59" s="1100">
        <f t="shared" si="49"/>
        <v>23688</v>
      </c>
      <c r="BM59" s="83"/>
      <c r="BN59" s="83"/>
      <c r="BO59" s="83"/>
      <c r="BP59" s="83"/>
      <c r="BQ59" s="291">
        <f t="shared" si="50"/>
        <v>0</v>
      </c>
      <c r="BR59" s="83"/>
      <c r="BS59" s="83"/>
      <c r="BT59" s="135"/>
      <c r="BU59" s="81"/>
      <c r="BV59" s="291">
        <f t="shared" si="51"/>
        <v>0</v>
      </c>
      <c r="BW59" s="1098"/>
      <c r="BX59" s="1098"/>
      <c r="BY59" s="135"/>
      <c r="BZ59" s="81"/>
      <c r="CA59" s="291">
        <f t="shared" si="52"/>
        <v>0</v>
      </c>
    </row>
    <row r="60" spans="2:79" ht="13.15">
      <c r="B60" s="1096"/>
      <c r="C60" s="81" t="s">
        <v>403</v>
      </c>
      <c r="D60" s="102"/>
      <c r="E60" s="103"/>
      <c r="F60" s="103"/>
      <c r="G60" s="103"/>
      <c r="H60" s="83"/>
      <c r="I60" s="102"/>
      <c r="J60" s="103"/>
      <c r="K60" s="103"/>
      <c r="L60" s="103"/>
      <c r="M60" s="83"/>
      <c r="N60" s="102"/>
      <c r="O60" s="103"/>
      <c r="P60" s="103"/>
      <c r="Q60" s="103"/>
      <c r="R60" s="83"/>
      <c r="S60" s="291"/>
      <c r="T60" s="83"/>
      <c r="U60" s="83"/>
      <c r="V60" s="83"/>
      <c r="W60" s="83"/>
      <c r="X60" s="102"/>
      <c r="Y60" s="83"/>
      <c r="Z60" s="83"/>
      <c r="AA60" s="83"/>
      <c r="AB60" s="114"/>
      <c r="AC60" s="291"/>
      <c r="AD60" s="83"/>
      <c r="AE60" s="114"/>
      <c r="AF60" s="154"/>
      <c r="AG60" s="154"/>
      <c r="AH60" s="1100">
        <f t="shared" si="43"/>
        <v>0</v>
      </c>
      <c r="AI60" s="83"/>
      <c r="AJ60" s="83"/>
      <c r="AK60" s="154"/>
      <c r="AL60" s="103"/>
      <c r="AM60" s="1100">
        <f t="shared" si="44"/>
        <v>0</v>
      </c>
      <c r="AN60" s="83"/>
      <c r="AO60" s="83"/>
      <c r="AP60" s="154"/>
      <c r="AQ60" s="103"/>
      <c r="AR60" s="1100">
        <f t="shared" si="45"/>
        <v>0</v>
      </c>
      <c r="AS60" s="83"/>
      <c r="AT60" s="83"/>
      <c r="AU60" s="83"/>
      <c r="AV60" s="83">
        <v>-384199</v>
      </c>
      <c r="AW60" s="1100">
        <f t="shared" si="46"/>
        <v>-384199</v>
      </c>
      <c r="AX60" s="83">
        <v>-36684</v>
      </c>
      <c r="AY60" s="83">
        <v>-25030</v>
      </c>
      <c r="AZ60" s="83">
        <v>-3121</v>
      </c>
      <c r="BA60" s="83">
        <v>-13071</v>
      </c>
      <c r="BB60" s="1100">
        <f t="shared" si="47"/>
        <v>-77906</v>
      </c>
      <c r="BC60" s="83"/>
      <c r="BD60" s="83">
        <v>-16</v>
      </c>
      <c r="BE60" s="83"/>
      <c r="BF60" s="81"/>
      <c r="BG60" s="291">
        <f t="shared" si="48"/>
        <v>-16</v>
      </c>
      <c r="BH60" s="83"/>
      <c r="BI60" s="83"/>
      <c r="BJ60" s="83">
        <v>-37083</v>
      </c>
      <c r="BK60" s="83">
        <v>-689896</v>
      </c>
      <c r="BL60" s="1100">
        <f t="shared" si="49"/>
        <v>-726979</v>
      </c>
      <c r="BM60" s="83"/>
      <c r="BN60" s="83"/>
      <c r="BO60" s="83"/>
      <c r="BP60" s="83"/>
      <c r="BQ60" s="291">
        <f t="shared" si="50"/>
        <v>0</v>
      </c>
      <c r="BR60" s="83"/>
      <c r="BS60" s="83"/>
      <c r="BT60" s="135"/>
      <c r="BU60" s="81"/>
      <c r="BV60" s="291">
        <f t="shared" si="51"/>
        <v>0</v>
      </c>
      <c r="BW60" s="1098"/>
      <c r="BX60" s="1098"/>
      <c r="BY60" s="135"/>
      <c r="BZ60" s="81"/>
      <c r="CA60" s="291">
        <f t="shared" si="52"/>
        <v>0</v>
      </c>
    </row>
    <row r="61" spans="2:79" ht="13.15">
      <c r="B61" s="1096"/>
      <c r="C61" s="81" t="s">
        <v>404</v>
      </c>
      <c r="D61" s="102"/>
      <c r="E61" s="103"/>
      <c r="F61" s="103"/>
      <c r="G61" s="103"/>
      <c r="H61" s="83"/>
      <c r="I61" s="102"/>
      <c r="J61" s="103"/>
      <c r="K61" s="103"/>
      <c r="L61" s="103"/>
      <c r="M61" s="83"/>
      <c r="N61" s="102"/>
      <c r="O61" s="103"/>
      <c r="P61" s="103"/>
      <c r="Q61" s="103"/>
      <c r="R61" s="83"/>
      <c r="S61" s="291"/>
      <c r="T61" s="83"/>
      <c r="U61" s="83"/>
      <c r="V61" s="83"/>
      <c r="W61" s="83"/>
      <c r="X61" s="102"/>
      <c r="Y61" s="83"/>
      <c r="Z61" s="83"/>
      <c r="AA61" s="83"/>
      <c r="AB61" s="114"/>
      <c r="AC61" s="291"/>
      <c r="AD61" s="83"/>
      <c r="AE61" s="114"/>
      <c r="AF61" s="154"/>
      <c r="AG61" s="154"/>
      <c r="AH61" s="1100">
        <f t="shared" si="43"/>
        <v>0</v>
      </c>
      <c r="AI61" s="83"/>
      <c r="AJ61" s="83"/>
      <c r="AK61" s="154"/>
      <c r="AL61" s="103"/>
      <c r="AM61" s="1100">
        <f t="shared" si="44"/>
        <v>0</v>
      </c>
      <c r="AN61" s="83"/>
      <c r="AO61" s="83"/>
      <c r="AP61" s="154"/>
      <c r="AQ61" s="103"/>
      <c r="AR61" s="1100">
        <f t="shared" si="45"/>
        <v>0</v>
      </c>
      <c r="AS61" s="83"/>
      <c r="AT61" s="83"/>
      <c r="AU61" s="83"/>
      <c r="AV61" s="83">
        <v>-2453</v>
      </c>
      <c r="AW61" s="1100">
        <f t="shared" si="46"/>
        <v>-2453</v>
      </c>
      <c r="AX61" s="83"/>
      <c r="AY61" s="83"/>
      <c r="AZ61" s="83"/>
      <c r="BA61" s="83"/>
      <c r="BB61" s="1100">
        <f t="shared" si="47"/>
        <v>0</v>
      </c>
      <c r="BC61" s="83"/>
      <c r="BD61" s="1098"/>
      <c r="BE61" s="1098"/>
      <c r="BF61" s="81"/>
      <c r="BG61" s="291">
        <f t="shared" si="48"/>
        <v>0</v>
      </c>
      <c r="BH61" s="83"/>
      <c r="BI61" s="83"/>
      <c r="BJ61" s="83"/>
      <c r="BK61" s="83"/>
      <c r="BL61" s="1100">
        <f t="shared" si="49"/>
        <v>0</v>
      </c>
      <c r="BM61" s="83"/>
      <c r="BN61" s="83"/>
      <c r="BO61" s="83"/>
      <c r="BP61" s="83"/>
      <c r="BQ61" s="291">
        <f t="shared" si="50"/>
        <v>0</v>
      </c>
      <c r="BR61" s="83"/>
      <c r="BS61" s="83">
        <v>-3133</v>
      </c>
      <c r="BT61" s="135"/>
      <c r="BU61" s="81"/>
      <c r="BV61" s="291">
        <f t="shared" si="51"/>
        <v>-3133</v>
      </c>
      <c r="BW61" s="1098"/>
      <c r="BX61" s="1098"/>
      <c r="BY61" s="135"/>
      <c r="BZ61" s="81"/>
      <c r="CA61" s="291">
        <f t="shared" si="52"/>
        <v>0</v>
      </c>
    </row>
    <row r="62" spans="2:79" ht="13.15">
      <c r="B62" s="1096"/>
      <c r="C62" s="81" t="s">
        <v>289</v>
      </c>
      <c r="D62" s="102"/>
      <c r="E62" s="103"/>
      <c r="F62" s="103"/>
      <c r="G62" s="103"/>
      <c r="H62" s="83"/>
      <c r="I62" s="102"/>
      <c r="J62" s="103"/>
      <c r="K62" s="103"/>
      <c r="L62" s="103"/>
      <c r="M62" s="83"/>
      <c r="N62" s="102"/>
      <c r="O62" s="103"/>
      <c r="P62" s="103"/>
      <c r="Q62" s="103"/>
      <c r="R62" s="83"/>
      <c r="S62" s="291"/>
      <c r="T62" s="83"/>
      <c r="U62" s="83"/>
      <c r="V62" s="83"/>
      <c r="W62" s="83"/>
      <c r="X62" s="102"/>
      <c r="Y62" s="83"/>
      <c r="Z62" s="83"/>
      <c r="AA62" s="83"/>
      <c r="AB62" s="114"/>
      <c r="AC62" s="291"/>
      <c r="AD62" s="83"/>
      <c r="AE62" s="114"/>
      <c r="AF62" s="154"/>
      <c r="AG62" s="154"/>
      <c r="AH62" s="291">
        <f t="shared" si="43"/>
        <v>0</v>
      </c>
      <c r="AI62" s="83"/>
      <c r="AJ62" s="83">
        <v>529305</v>
      </c>
      <c r="AK62" s="154"/>
      <c r="AL62" s="103"/>
      <c r="AM62" s="291">
        <f t="shared" si="44"/>
        <v>529305</v>
      </c>
      <c r="AN62" s="83"/>
      <c r="AO62" s="83"/>
      <c r="AP62" s="154"/>
      <c r="AQ62" s="103"/>
      <c r="AR62" s="291">
        <f t="shared" si="45"/>
        <v>0</v>
      </c>
      <c r="AS62" s="83"/>
      <c r="AT62" s="83"/>
      <c r="AU62" s="83"/>
      <c r="AV62" s="83"/>
      <c r="AW62" s="291">
        <f t="shared" si="46"/>
        <v>0</v>
      </c>
      <c r="AX62" s="83"/>
      <c r="AY62" s="83"/>
      <c r="AZ62" s="83"/>
      <c r="BA62" s="83"/>
      <c r="BB62" s="291">
        <f t="shared" si="47"/>
        <v>0</v>
      </c>
      <c r="BC62" s="83"/>
      <c r="BD62" s="1098"/>
      <c r="BE62" s="1098"/>
      <c r="BF62" s="81"/>
      <c r="BG62" s="291">
        <f t="shared" si="48"/>
        <v>0</v>
      </c>
      <c r="BH62" s="83"/>
      <c r="BI62" s="83"/>
      <c r="BJ62" s="83"/>
      <c r="BK62" s="83"/>
      <c r="BL62" s="291">
        <f t="shared" si="49"/>
        <v>0</v>
      </c>
      <c r="BM62" s="83"/>
      <c r="BN62" s="83"/>
      <c r="BO62" s="83"/>
      <c r="BP62" s="83"/>
      <c r="BQ62" s="291">
        <f>SUM(BM62:BP62)</f>
        <v>0</v>
      </c>
      <c r="BR62" s="83"/>
      <c r="BS62" s="83"/>
      <c r="BT62" s="135"/>
      <c r="BU62" s="81"/>
      <c r="BV62" s="291">
        <f t="shared" si="51"/>
        <v>0</v>
      </c>
      <c r="BW62" s="1098"/>
      <c r="BX62" s="1098"/>
      <c r="BY62" s="135"/>
      <c r="BZ62" s="81"/>
      <c r="CA62" s="291">
        <f t="shared" si="52"/>
        <v>0</v>
      </c>
    </row>
    <row r="63" spans="2:79" ht="13.15">
      <c r="B63" s="1096"/>
      <c r="C63" s="81" t="s">
        <v>284</v>
      </c>
      <c r="D63" s="102"/>
      <c r="E63" s="103"/>
      <c r="F63" s="103"/>
      <c r="G63" s="103"/>
      <c r="H63" s="83"/>
      <c r="I63" s="102"/>
      <c r="J63" s="103"/>
      <c r="K63" s="103"/>
      <c r="L63" s="103"/>
      <c r="M63" s="83"/>
      <c r="N63" s="102"/>
      <c r="O63" s="103"/>
      <c r="P63" s="103"/>
      <c r="Q63" s="103"/>
      <c r="R63" s="83"/>
      <c r="S63" s="291"/>
      <c r="T63" s="83"/>
      <c r="U63" s="83"/>
      <c r="V63" s="83"/>
      <c r="W63" s="83"/>
      <c r="X63" s="102"/>
      <c r="Y63" s="83"/>
      <c r="Z63" s="83"/>
      <c r="AA63" s="83"/>
      <c r="AB63" s="114"/>
      <c r="AC63" s="291"/>
      <c r="AD63" s="83"/>
      <c r="AE63" s="114"/>
      <c r="AF63" s="154">
        <v>8437</v>
      </c>
      <c r="AG63" s="154"/>
      <c r="AH63" s="291">
        <f t="shared" si="43"/>
        <v>8437</v>
      </c>
      <c r="AI63" s="83"/>
      <c r="AJ63" s="83">
        <v>-1328</v>
      </c>
      <c r="AK63" s="154">
        <v>-170</v>
      </c>
      <c r="AL63" s="103"/>
      <c r="AM63" s="291">
        <f t="shared" si="44"/>
        <v>-1498</v>
      </c>
      <c r="AN63" s="83"/>
      <c r="AO63" s="83"/>
      <c r="AP63" s="154"/>
      <c r="AQ63" s="103"/>
      <c r="AR63" s="291">
        <f t="shared" si="45"/>
        <v>0</v>
      </c>
      <c r="AS63" s="83"/>
      <c r="AT63" s="83"/>
      <c r="AU63" s="83"/>
      <c r="AV63" s="83"/>
      <c r="AW63" s="291">
        <f t="shared" si="46"/>
        <v>0</v>
      </c>
      <c r="AX63" s="83"/>
      <c r="AY63" s="83"/>
      <c r="AZ63" s="83"/>
      <c r="BA63" s="83"/>
      <c r="BB63" s="291">
        <f t="shared" si="47"/>
        <v>0</v>
      </c>
      <c r="BC63" s="83"/>
      <c r="BD63" s="1098"/>
      <c r="BE63" s="1098"/>
      <c r="BF63" s="81"/>
      <c r="BG63" s="291">
        <f t="shared" si="48"/>
        <v>0</v>
      </c>
      <c r="BH63" s="83"/>
      <c r="BI63" s="83"/>
      <c r="BJ63" s="83"/>
      <c r="BK63" s="83"/>
      <c r="BL63" s="291">
        <f t="shared" si="49"/>
        <v>0</v>
      </c>
      <c r="BM63" s="83"/>
      <c r="BN63" s="83"/>
      <c r="BO63" s="83"/>
      <c r="BP63" s="83"/>
      <c r="BQ63" s="291">
        <f>SUM(BM63:BP63)</f>
        <v>0</v>
      </c>
      <c r="BR63" s="83"/>
      <c r="BS63" s="83"/>
      <c r="BT63" s="135"/>
      <c r="BU63" s="81"/>
      <c r="BV63" s="291">
        <f t="shared" si="51"/>
        <v>0</v>
      </c>
      <c r="BW63" s="1098"/>
      <c r="BX63" s="1098"/>
      <c r="BY63" s="135"/>
      <c r="BZ63" s="81"/>
      <c r="CA63" s="291">
        <f t="shared" si="52"/>
        <v>0</v>
      </c>
    </row>
    <row r="64" spans="2:79" ht="13.15">
      <c r="B64" s="1096"/>
      <c r="C64" s="81" t="s">
        <v>293</v>
      </c>
      <c r="D64" s="102"/>
      <c r="E64" s="103"/>
      <c r="F64" s="103"/>
      <c r="G64" s="103"/>
      <c r="H64" s="83"/>
      <c r="I64" s="102"/>
      <c r="J64" s="103"/>
      <c r="K64" s="103"/>
      <c r="L64" s="103"/>
      <c r="M64" s="83"/>
      <c r="N64" s="102"/>
      <c r="O64" s="103"/>
      <c r="P64" s="103"/>
      <c r="Q64" s="103"/>
      <c r="R64" s="83"/>
      <c r="S64" s="291"/>
      <c r="T64" s="83"/>
      <c r="U64" s="83"/>
      <c r="V64" s="83"/>
      <c r="W64" s="83"/>
      <c r="X64" s="102"/>
      <c r="Y64" s="83"/>
      <c r="Z64" s="83"/>
      <c r="AA64" s="83"/>
      <c r="AB64" s="114"/>
      <c r="AC64" s="291"/>
      <c r="AD64" s="83"/>
      <c r="AE64" s="114"/>
      <c r="AF64" s="154">
        <v>-390</v>
      </c>
      <c r="AG64" s="154"/>
      <c r="AH64" s="291">
        <f t="shared" si="43"/>
        <v>-390</v>
      </c>
      <c r="AI64" s="83"/>
      <c r="AJ64" s="83"/>
      <c r="AK64" s="154"/>
      <c r="AL64" s="103"/>
      <c r="AM64" s="291">
        <f t="shared" si="44"/>
        <v>0</v>
      </c>
      <c r="AN64" s="83"/>
      <c r="AO64" s="83"/>
      <c r="AP64" s="154"/>
      <c r="AQ64" s="103"/>
      <c r="AR64" s="291">
        <f t="shared" si="45"/>
        <v>0</v>
      </c>
      <c r="AS64" s="83"/>
      <c r="AT64" s="83"/>
      <c r="AU64" s="83"/>
      <c r="AV64" s="83"/>
      <c r="AW64" s="291">
        <f t="shared" si="46"/>
        <v>0</v>
      </c>
      <c r="AX64" s="83"/>
      <c r="AY64" s="83"/>
      <c r="AZ64" s="83"/>
      <c r="BA64" s="83"/>
      <c r="BB64" s="291">
        <f t="shared" si="47"/>
        <v>0</v>
      </c>
      <c r="BC64" s="83"/>
      <c r="BD64" s="1098"/>
      <c r="BE64" s="1098"/>
      <c r="BF64" s="81"/>
      <c r="BG64" s="291">
        <f t="shared" si="48"/>
        <v>0</v>
      </c>
      <c r="BH64" s="83"/>
      <c r="BI64" s="83"/>
      <c r="BJ64" s="83"/>
      <c r="BK64" s="83"/>
      <c r="BL64" s="291">
        <f t="shared" si="49"/>
        <v>0</v>
      </c>
      <c r="BM64" s="83"/>
      <c r="BN64" s="83"/>
      <c r="BO64" s="83"/>
      <c r="BP64" s="83"/>
      <c r="BQ64" s="291">
        <f>SUM(BM64:BP64)</f>
        <v>0</v>
      </c>
      <c r="BR64" s="83"/>
      <c r="BS64" s="83"/>
      <c r="BT64" s="135"/>
      <c r="BU64" s="81"/>
      <c r="BV64" s="291">
        <f t="shared" si="51"/>
        <v>0</v>
      </c>
      <c r="BW64" s="1098"/>
      <c r="BX64" s="1098"/>
      <c r="BY64" s="135"/>
      <c r="BZ64" s="81"/>
      <c r="CA64" s="291">
        <f t="shared" si="52"/>
        <v>0</v>
      </c>
    </row>
    <row r="65" spans="2:79" ht="13.15">
      <c r="B65" s="1096"/>
      <c r="C65" s="81" t="s">
        <v>281</v>
      </c>
      <c r="D65" s="102"/>
      <c r="E65" s="103"/>
      <c r="F65" s="103"/>
      <c r="G65" s="103"/>
      <c r="H65" s="83"/>
      <c r="I65" s="102"/>
      <c r="J65" s="103"/>
      <c r="K65" s="103"/>
      <c r="L65" s="103"/>
      <c r="M65" s="83"/>
      <c r="N65" s="102"/>
      <c r="O65" s="103"/>
      <c r="P65" s="103"/>
      <c r="Q65" s="103"/>
      <c r="R65" s="83"/>
      <c r="S65" s="291"/>
      <c r="T65" s="83"/>
      <c r="U65" s="83"/>
      <c r="V65" s="83"/>
      <c r="W65" s="83"/>
      <c r="X65" s="102">
        <v>0</v>
      </c>
      <c r="Y65" s="83"/>
      <c r="Z65" s="83"/>
      <c r="AA65" s="83"/>
      <c r="AB65" s="114"/>
      <c r="AC65" s="291">
        <v>0</v>
      </c>
      <c r="AD65" s="83"/>
      <c r="AE65" s="114"/>
      <c r="AF65" s="154"/>
      <c r="AG65" s="103"/>
      <c r="AH65" s="291">
        <f t="shared" si="43"/>
        <v>0</v>
      </c>
      <c r="AI65" s="1098"/>
      <c r="AJ65" s="83"/>
      <c r="AK65" s="154"/>
      <c r="AL65" s="103">
        <v>0</v>
      </c>
      <c r="AM65" s="291">
        <f t="shared" si="44"/>
        <v>0</v>
      </c>
      <c r="AN65" s="83">
        <v>10563</v>
      </c>
      <c r="AO65" s="83"/>
      <c r="AP65" s="154">
        <v>13309</v>
      </c>
      <c r="AQ65" s="103"/>
      <c r="AR65" s="291">
        <f t="shared" si="45"/>
        <v>23872</v>
      </c>
      <c r="AS65" s="83">
        <v>13590</v>
      </c>
      <c r="AT65" s="83"/>
      <c r="AU65" s="83">
        <v>16269</v>
      </c>
      <c r="AV65" s="83">
        <v>9322</v>
      </c>
      <c r="AW65" s="291">
        <f t="shared" si="46"/>
        <v>39181</v>
      </c>
      <c r="AX65" s="83">
        <v>23167</v>
      </c>
      <c r="AY65" s="83"/>
      <c r="AZ65" s="83">
        <v>22910</v>
      </c>
      <c r="BA65" s="83"/>
      <c r="BB65" s="291">
        <f t="shared" si="47"/>
        <v>46077</v>
      </c>
      <c r="BC65" s="83">
        <v>24151</v>
      </c>
      <c r="BD65" s="1098">
        <v>0</v>
      </c>
      <c r="BE65" s="83">
        <v>12375</v>
      </c>
      <c r="BF65" s="81"/>
      <c r="BG65" s="291">
        <f t="shared" si="48"/>
        <v>36526</v>
      </c>
      <c r="BH65" s="83">
        <v>18390</v>
      </c>
      <c r="BI65" s="83"/>
      <c r="BJ65" s="83">
        <v>14604</v>
      </c>
      <c r="BK65" s="83"/>
      <c r="BL65" s="291">
        <f t="shared" si="49"/>
        <v>32994</v>
      </c>
      <c r="BM65" s="83">
        <v>20190</v>
      </c>
      <c r="BN65" s="83"/>
      <c r="BO65" s="83">
        <v>15124</v>
      </c>
      <c r="BP65" s="83"/>
      <c r="BQ65" s="291">
        <f>SUM(BM65:BP65)</f>
        <v>35314</v>
      </c>
      <c r="BR65" s="83">
        <v>22010</v>
      </c>
      <c r="BS65" s="83"/>
      <c r="BT65" s="135">
        <v>18770</v>
      </c>
      <c r="BU65" s="81"/>
      <c r="BV65" s="291">
        <f t="shared" si="51"/>
        <v>40780</v>
      </c>
      <c r="BW65" s="1098"/>
      <c r="BX65" s="1098"/>
      <c r="BY65" s="135"/>
      <c r="BZ65" s="81"/>
      <c r="CA65" s="291">
        <f t="shared" si="52"/>
        <v>0</v>
      </c>
    </row>
    <row r="66" spans="2:79" s="96" customFormat="1" ht="13.15">
      <c r="B66" s="120" t="s">
        <v>107</v>
      </c>
      <c r="C66" s="128"/>
      <c r="D66" s="1092">
        <f t="shared" ref="D66:W66" si="53">SUM(D52:D65)</f>
        <v>0</v>
      </c>
      <c r="E66" s="1069">
        <f t="shared" si="53"/>
        <v>0</v>
      </c>
      <c r="F66" s="1069">
        <f t="shared" si="53"/>
        <v>0</v>
      </c>
      <c r="G66" s="1069">
        <f t="shared" si="53"/>
        <v>0</v>
      </c>
      <c r="H66" s="1069">
        <f t="shared" si="53"/>
        <v>0</v>
      </c>
      <c r="I66" s="1092">
        <f t="shared" si="53"/>
        <v>0</v>
      </c>
      <c r="J66" s="1069">
        <f t="shared" si="53"/>
        <v>0</v>
      </c>
      <c r="K66" s="1069">
        <f t="shared" si="53"/>
        <v>0</v>
      </c>
      <c r="L66" s="1069">
        <f t="shared" si="53"/>
        <v>0</v>
      </c>
      <c r="M66" s="1069">
        <f t="shared" si="53"/>
        <v>0</v>
      </c>
      <c r="N66" s="1092">
        <f t="shared" si="53"/>
        <v>0</v>
      </c>
      <c r="O66" s="1069">
        <f t="shared" si="53"/>
        <v>0</v>
      </c>
      <c r="P66" s="1069">
        <f t="shared" si="53"/>
        <v>0</v>
      </c>
      <c r="Q66" s="1069">
        <f t="shared" si="53"/>
        <v>0</v>
      </c>
      <c r="R66" s="1069">
        <f t="shared" si="53"/>
        <v>0</v>
      </c>
      <c r="S66" s="1092">
        <f t="shared" si="53"/>
        <v>0</v>
      </c>
      <c r="T66" s="1069">
        <f t="shared" si="53"/>
        <v>0</v>
      </c>
      <c r="U66" s="1069">
        <f t="shared" si="53"/>
        <v>0</v>
      </c>
      <c r="V66" s="1069">
        <f t="shared" si="53"/>
        <v>0</v>
      </c>
      <c r="W66" s="1069">
        <f t="shared" si="53"/>
        <v>0</v>
      </c>
      <c r="X66" s="1092">
        <f>274856</f>
        <v>274856</v>
      </c>
      <c r="Y66" s="1069">
        <f t="shared" ref="Y66:BA66" si="54">SUM(Y52:Y65)</f>
        <v>0</v>
      </c>
      <c r="Z66" s="1069">
        <f t="shared" si="54"/>
        <v>0</v>
      </c>
      <c r="AA66" s="1069">
        <f t="shared" si="54"/>
        <v>0</v>
      </c>
      <c r="AB66" s="1069">
        <f t="shared" si="54"/>
        <v>0</v>
      </c>
      <c r="AC66" s="1092">
        <f t="shared" si="54"/>
        <v>8037</v>
      </c>
      <c r="AD66" s="1069">
        <f t="shared" si="54"/>
        <v>5830</v>
      </c>
      <c r="AE66" s="1069">
        <f t="shared" si="54"/>
        <v>7679</v>
      </c>
      <c r="AF66" s="1069">
        <f t="shared" si="54"/>
        <v>8047</v>
      </c>
      <c r="AG66" s="1069">
        <f t="shared" si="54"/>
        <v>4172</v>
      </c>
      <c r="AH66" s="1092">
        <f>SUM(AH52:AH65)</f>
        <v>25728</v>
      </c>
      <c r="AI66" s="1069">
        <f t="shared" si="54"/>
        <v>5621</v>
      </c>
      <c r="AJ66" s="1069">
        <f t="shared" si="54"/>
        <v>530480</v>
      </c>
      <c r="AK66" s="1069">
        <f t="shared" si="54"/>
        <v>498070</v>
      </c>
      <c r="AL66" s="1069">
        <f t="shared" si="54"/>
        <v>-181055</v>
      </c>
      <c r="AM66" s="1092">
        <f>SUM(AM52:AM65)</f>
        <v>853116</v>
      </c>
      <c r="AN66" s="1069">
        <f t="shared" si="54"/>
        <v>-13320</v>
      </c>
      <c r="AO66" s="1069">
        <f t="shared" si="54"/>
        <v>-19647</v>
      </c>
      <c r="AP66" s="1069">
        <f t="shared" si="54"/>
        <v>-6186</v>
      </c>
      <c r="AQ66" s="1069">
        <f t="shared" si="54"/>
        <v>-31302</v>
      </c>
      <c r="AR66" s="1092">
        <f>SUM(AR52:AR65)</f>
        <v>-70455</v>
      </c>
      <c r="AS66" s="1069">
        <f t="shared" si="54"/>
        <v>-25498</v>
      </c>
      <c r="AT66" s="1069">
        <f t="shared" si="54"/>
        <v>-81734</v>
      </c>
      <c r="AU66" s="1069">
        <f t="shared" si="54"/>
        <v>-95203</v>
      </c>
      <c r="AV66" s="1069">
        <f t="shared" si="54"/>
        <v>143459</v>
      </c>
      <c r="AW66" s="1092">
        <f t="shared" si="54"/>
        <v>-58976</v>
      </c>
      <c r="AX66" s="1069">
        <f t="shared" si="54"/>
        <v>-112954</v>
      </c>
      <c r="AY66" s="1069">
        <f t="shared" si="54"/>
        <v>-142350</v>
      </c>
      <c r="AZ66" s="1069">
        <f t="shared" si="54"/>
        <v>-65387</v>
      </c>
      <c r="BA66" s="1069">
        <f t="shared" si="54"/>
        <v>-73930</v>
      </c>
      <c r="BB66" s="1092">
        <f t="shared" ref="BB66:CA66" si="55">SUM(BB52:BB65)</f>
        <v>-394621</v>
      </c>
      <c r="BC66" s="1069">
        <f t="shared" si="55"/>
        <v>1350</v>
      </c>
      <c r="BD66" s="1069">
        <f t="shared" si="55"/>
        <v>-35453</v>
      </c>
      <c r="BE66" s="1069">
        <f t="shared" si="55"/>
        <v>-48539</v>
      </c>
      <c r="BF66" s="1069">
        <f t="shared" si="55"/>
        <v>-15614</v>
      </c>
      <c r="BG66" s="1092">
        <f t="shared" si="55"/>
        <v>-98256</v>
      </c>
      <c r="BH66" s="1069">
        <f t="shared" si="55"/>
        <v>-20904</v>
      </c>
      <c r="BI66" s="1069">
        <f t="shared" si="55"/>
        <v>-69347</v>
      </c>
      <c r="BJ66" s="1069">
        <f t="shared" si="55"/>
        <v>-120754</v>
      </c>
      <c r="BK66" s="1069">
        <f t="shared" si="55"/>
        <v>-735034</v>
      </c>
      <c r="BL66" s="1092">
        <f t="shared" si="55"/>
        <v>-946039</v>
      </c>
      <c r="BM66" s="1069">
        <f t="shared" si="55"/>
        <v>-169874</v>
      </c>
      <c r="BN66" s="1069">
        <f t="shared" si="55"/>
        <v>-239068</v>
      </c>
      <c r="BO66" s="1069">
        <f t="shared" si="55"/>
        <v>-198335</v>
      </c>
      <c r="BP66" s="1069">
        <f t="shared" si="55"/>
        <v>-231514</v>
      </c>
      <c r="BQ66" s="1092">
        <f t="shared" si="55"/>
        <v>-838791</v>
      </c>
      <c r="BR66" s="1069">
        <f t="shared" si="55"/>
        <v>-223515</v>
      </c>
      <c r="BS66" s="1069">
        <f t="shared" si="55"/>
        <v>-273340</v>
      </c>
      <c r="BT66" s="1069">
        <f t="shared" si="55"/>
        <v>-270461</v>
      </c>
      <c r="BU66" s="1069">
        <f t="shared" si="55"/>
        <v>0</v>
      </c>
      <c r="BV66" s="1092">
        <f t="shared" si="55"/>
        <v>-767316</v>
      </c>
      <c r="BW66" s="1069">
        <f t="shared" si="55"/>
        <v>0</v>
      </c>
      <c r="BX66" s="1069">
        <f t="shared" si="55"/>
        <v>0</v>
      </c>
      <c r="BY66" s="1069">
        <f t="shared" si="55"/>
        <v>0</v>
      </c>
      <c r="BZ66" s="1069">
        <f t="shared" si="55"/>
        <v>0</v>
      </c>
      <c r="CA66" s="1092">
        <f t="shared" si="55"/>
        <v>0</v>
      </c>
    </row>
    <row r="67" spans="2:79" ht="7.9" customHeight="1">
      <c r="B67" s="1123"/>
      <c r="D67" s="366"/>
      <c r="I67" s="366"/>
      <c r="N67" s="366"/>
      <c r="S67" s="366"/>
      <c r="X67" s="366"/>
      <c r="AC67" s="366"/>
      <c r="AE67" s="1124"/>
      <c r="AH67" s="366"/>
      <c r="AL67" s="130"/>
      <c r="AM67" s="366"/>
      <c r="AP67" s="130"/>
      <c r="AR67" s="366"/>
      <c r="AW67" s="366"/>
      <c r="BB67" s="366"/>
      <c r="BG67" s="366"/>
      <c r="BL67" s="366"/>
      <c r="BQ67" s="366"/>
      <c r="BV67" s="366"/>
      <c r="CA67" s="366"/>
    </row>
    <row r="68" spans="2:79">
      <c r="B68" s="92" t="s">
        <v>106</v>
      </c>
      <c r="C68" s="81"/>
      <c r="D68" s="291"/>
      <c r="E68" s="83"/>
      <c r="F68" s="83"/>
      <c r="G68" s="83"/>
      <c r="H68" s="83"/>
      <c r="I68" s="291">
        <f>SUM(E68:H68)</f>
        <v>0</v>
      </c>
      <c r="J68" s="83"/>
      <c r="K68" s="83"/>
      <c r="L68" s="83"/>
      <c r="M68" s="83"/>
      <c r="N68" s="291">
        <f>SUM(J68:M68)</f>
        <v>0</v>
      </c>
      <c r="O68" s="83"/>
      <c r="P68" s="83"/>
      <c r="Q68" s="1101"/>
      <c r="R68" s="1101"/>
      <c r="S68" s="291">
        <f>SUM(O68:R68)</f>
        <v>0</v>
      </c>
      <c r="T68" s="83"/>
      <c r="U68" s="83"/>
      <c r="V68" s="1101"/>
      <c r="W68" s="1101"/>
      <c r="X68" s="291">
        <v>0</v>
      </c>
      <c r="Y68" s="1101"/>
      <c r="Z68" s="1102"/>
      <c r="AA68" s="1101"/>
      <c r="AB68" s="1102"/>
      <c r="AC68" s="291">
        <v>-334</v>
      </c>
      <c r="AD68" s="1101">
        <v>484</v>
      </c>
      <c r="AE68" s="1102">
        <v>1659</v>
      </c>
      <c r="AF68" s="1101">
        <v>-571</v>
      </c>
      <c r="AG68" s="1101">
        <v>2674</v>
      </c>
      <c r="AH68" s="291">
        <f>SUM(AD68:AG68)</f>
        <v>4246</v>
      </c>
      <c r="AI68" s="1101">
        <v>-2069</v>
      </c>
      <c r="AJ68" s="1101">
        <v>527</v>
      </c>
      <c r="AK68" s="1101">
        <v>362</v>
      </c>
      <c r="AL68" s="1101">
        <v>-2955</v>
      </c>
      <c r="AM68" s="291">
        <f>SUM(AI68:AL68)</f>
        <v>-4135</v>
      </c>
      <c r="AN68" s="1101">
        <v>-379</v>
      </c>
      <c r="AO68" s="1101">
        <v>-741</v>
      </c>
      <c r="AP68" s="1101">
        <v>810</v>
      </c>
      <c r="AQ68" s="1101">
        <v>-137</v>
      </c>
      <c r="AR68" s="291">
        <f>SUM(AN68:AQ68)</f>
        <v>-447</v>
      </c>
      <c r="AS68" s="1101">
        <v>-2280</v>
      </c>
      <c r="AT68" s="1101">
        <v>4920</v>
      </c>
      <c r="AU68" s="1101">
        <v>-1208</v>
      </c>
      <c r="AV68" s="1101">
        <v>4214</v>
      </c>
      <c r="AW68" s="291">
        <f>SUM(AS68:AV68)</f>
        <v>5646</v>
      </c>
      <c r="AX68" s="1101">
        <v>779</v>
      </c>
      <c r="AY68" s="1101">
        <v>-1342</v>
      </c>
      <c r="AZ68" s="1101">
        <v>-1909</v>
      </c>
      <c r="BA68" s="1101">
        <v>-3122</v>
      </c>
      <c r="BB68" s="291">
        <f>SUM(AX68:BA68)</f>
        <v>-5594</v>
      </c>
      <c r="BC68" s="1101">
        <v>-5180</v>
      </c>
      <c r="BD68" s="1101">
        <v>-2860</v>
      </c>
      <c r="BE68" s="1101">
        <v>-6612</v>
      </c>
      <c r="BF68" s="1101">
        <v>10868</v>
      </c>
      <c r="BG68" s="291">
        <f>SUM(BC68:BF68)</f>
        <v>-3784</v>
      </c>
      <c r="BH68" s="1101">
        <v>1011</v>
      </c>
      <c r="BI68" s="1101">
        <v>1279</v>
      </c>
      <c r="BJ68" s="1101">
        <v>-7187</v>
      </c>
      <c r="BK68" s="1101">
        <v>5096</v>
      </c>
      <c r="BL68" s="291">
        <f>SUM(BH68:BK68)</f>
        <v>199</v>
      </c>
      <c r="BM68" s="1101">
        <v>-2915</v>
      </c>
      <c r="BN68" s="1101">
        <v>238</v>
      </c>
      <c r="BO68" s="1101">
        <v>438</v>
      </c>
      <c r="BP68" s="1101">
        <v>-5311</v>
      </c>
      <c r="BQ68" s="291">
        <f>SUM(BM68:BP68)</f>
        <v>-7550</v>
      </c>
      <c r="BR68" s="1101">
        <v>9923</v>
      </c>
      <c r="BS68" s="1101">
        <v>1529</v>
      </c>
      <c r="BT68" s="1101">
        <v>1922</v>
      </c>
      <c r="BU68" s="1101"/>
      <c r="BV68" s="291">
        <f>SUM(BR68:BU68)</f>
        <v>13374</v>
      </c>
      <c r="BW68" s="1101"/>
      <c r="BX68" s="1101"/>
      <c r="BY68" s="1101"/>
      <c r="BZ68" s="1101"/>
      <c r="CA68" s="291">
        <f>SUM(BW68:BZ68)</f>
        <v>0</v>
      </c>
    </row>
    <row r="69" spans="2:79" ht="7.9" customHeight="1" thickBot="1">
      <c r="B69" s="84"/>
      <c r="C69" s="407"/>
      <c r="D69" s="129"/>
      <c r="E69" s="103"/>
      <c r="F69" s="103"/>
      <c r="G69" s="103"/>
      <c r="H69" s="103"/>
      <c r="I69" s="129"/>
      <c r="J69" s="103"/>
      <c r="K69" s="103"/>
      <c r="L69" s="103"/>
      <c r="M69" s="103"/>
      <c r="N69" s="129"/>
      <c r="O69" s="81"/>
      <c r="P69" s="103"/>
      <c r="Q69" s="81"/>
      <c r="R69" s="81"/>
      <c r="S69" s="1125"/>
      <c r="T69" s="103"/>
      <c r="U69" s="103"/>
      <c r="V69" s="1101"/>
      <c r="W69" s="1101"/>
      <c r="X69" s="1125"/>
      <c r="Y69" s="1101"/>
      <c r="Z69" s="1102"/>
      <c r="AA69" s="1101"/>
      <c r="AB69" s="1102"/>
      <c r="AC69" s="1125"/>
      <c r="AD69" s="1101"/>
      <c r="AE69" s="1102"/>
      <c r="AF69" s="1101"/>
      <c r="AG69" s="1101"/>
      <c r="AH69" s="1125"/>
      <c r="AI69" s="1101"/>
      <c r="AJ69" s="1101"/>
      <c r="AK69" s="1101"/>
      <c r="AL69" s="1101"/>
      <c r="AM69" s="1125"/>
      <c r="AN69" s="1101"/>
      <c r="AO69" s="1101"/>
      <c r="AP69" s="1101"/>
      <c r="AQ69" s="1101"/>
      <c r="AR69" s="1125"/>
      <c r="AS69" s="1101"/>
      <c r="AT69" s="1101"/>
      <c r="AU69" s="1101"/>
      <c r="AV69" s="1101"/>
      <c r="AW69" s="1125"/>
      <c r="AX69" s="1101"/>
      <c r="AY69" s="1101"/>
      <c r="AZ69" s="1101"/>
      <c r="BA69" s="1101"/>
      <c r="BB69" s="1125"/>
      <c r="BC69" s="1101"/>
      <c r="BD69" s="1101"/>
      <c r="BE69" s="1101"/>
      <c r="BF69" s="1101"/>
      <c r="BG69" s="1125"/>
      <c r="BH69" s="1101"/>
      <c r="BI69" s="1101"/>
      <c r="BJ69" s="1101"/>
      <c r="BK69" s="1101"/>
      <c r="BL69" s="1125"/>
      <c r="BM69" s="1101"/>
      <c r="BN69" s="1101"/>
      <c r="BO69" s="1101"/>
      <c r="BP69" s="1101"/>
      <c r="BQ69" s="1125"/>
      <c r="BR69" s="1101"/>
      <c r="BS69" s="1101"/>
      <c r="BT69" s="1101"/>
      <c r="BU69" s="1101"/>
      <c r="BV69" s="1125"/>
      <c r="BW69" s="1101"/>
      <c r="BX69" s="1101"/>
      <c r="BY69" s="1101"/>
      <c r="BZ69" s="1101"/>
      <c r="CA69" s="1125"/>
    </row>
    <row r="70" spans="2:79" s="96" customFormat="1" ht="13.5" thickBot="1">
      <c r="B70" s="430" t="s">
        <v>12</v>
      </c>
      <c r="C70" s="1126"/>
      <c r="D70" s="221">
        <f t="shared" ref="D70:M70" si="56">D68+D66+D46+D33</f>
        <v>0</v>
      </c>
      <c r="E70" s="220">
        <f t="shared" si="56"/>
        <v>0</v>
      </c>
      <c r="F70" s="220">
        <f t="shared" si="56"/>
        <v>0</v>
      </c>
      <c r="G70" s="220">
        <f t="shared" si="56"/>
        <v>0</v>
      </c>
      <c r="H70" s="220">
        <f t="shared" si="56"/>
        <v>0</v>
      </c>
      <c r="I70" s="221">
        <f t="shared" si="56"/>
        <v>0</v>
      </c>
      <c r="J70" s="220">
        <f t="shared" si="56"/>
        <v>0</v>
      </c>
      <c r="K70" s="1127">
        <f t="shared" si="56"/>
        <v>0</v>
      </c>
      <c r="L70" s="1127">
        <f t="shared" si="56"/>
        <v>0</v>
      </c>
      <c r="M70" s="220">
        <f t="shared" si="56"/>
        <v>0</v>
      </c>
      <c r="N70" s="221">
        <f t="shared" ref="N70:BB70" si="57">N33+N46+N66+N68</f>
        <v>0</v>
      </c>
      <c r="O70" s="1127">
        <f t="shared" si="57"/>
        <v>0</v>
      </c>
      <c r="P70" s="1127">
        <f t="shared" si="57"/>
        <v>0</v>
      </c>
      <c r="Q70" s="1127">
        <f t="shared" si="57"/>
        <v>0</v>
      </c>
      <c r="R70" s="1127">
        <f t="shared" si="57"/>
        <v>0</v>
      </c>
      <c r="S70" s="221">
        <f t="shared" si="57"/>
        <v>0</v>
      </c>
      <c r="T70" s="1127">
        <f t="shared" si="57"/>
        <v>0</v>
      </c>
      <c r="U70" s="1127">
        <f t="shared" si="57"/>
        <v>0</v>
      </c>
      <c r="V70" s="1127">
        <f t="shared" si="57"/>
        <v>0</v>
      </c>
      <c r="W70" s="1127">
        <f t="shared" si="57"/>
        <v>0</v>
      </c>
      <c r="X70" s="221">
        <f t="shared" si="57"/>
        <v>126696</v>
      </c>
      <c r="Y70" s="1127">
        <f t="shared" si="57"/>
        <v>0</v>
      </c>
      <c r="Z70" s="1128">
        <f t="shared" si="57"/>
        <v>0</v>
      </c>
      <c r="AA70" s="1127">
        <f t="shared" si="57"/>
        <v>0</v>
      </c>
      <c r="AB70" s="1127">
        <f t="shared" si="57"/>
        <v>0</v>
      </c>
      <c r="AC70" s="221">
        <f t="shared" si="57"/>
        <v>-37967</v>
      </c>
      <c r="AD70" s="1127">
        <f t="shared" si="57"/>
        <v>-1153</v>
      </c>
      <c r="AE70" s="1128">
        <f t="shared" si="57"/>
        <v>17584</v>
      </c>
      <c r="AF70" s="1127">
        <f t="shared" si="57"/>
        <v>14491</v>
      </c>
      <c r="AG70" s="1127">
        <f t="shared" si="57"/>
        <v>35270</v>
      </c>
      <c r="AH70" s="221">
        <f t="shared" si="57"/>
        <v>66192</v>
      </c>
      <c r="AI70" s="1127">
        <f t="shared" si="57"/>
        <v>12360</v>
      </c>
      <c r="AJ70" s="1127">
        <f t="shared" si="57"/>
        <v>549366</v>
      </c>
      <c r="AK70" s="1127">
        <f t="shared" si="57"/>
        <v>275338</v>
      </c>
      <c r="AL70" s="1127">
        <f t="shared" si="57"/>
        <v>-576322</v>
      </c>
      <c r="AM70" s="221">
        <f t="shared" si="57"/>
        <v>260742</v>
      </c>
      <c r="AN70" s="1127">
        <f t="shared" si="57"/>
        <v>-281535</v>
      </c>
      <c r="AO70" s="1127">
        <f t="shared" si="57"/>
        <v>-12220</v>
      </c>
      <c r="AP70" s="1127">
        <f t="shared" si="57"/>
        <v>-26312</v>
      </c>
      <c r="AQ70" s="1127">
        <f t="shared" si="57"/>
        <v>43372</v>
      </c>
      <c r="AR70" s="221">
        <f t="shared" si="57"/>
        <v>-276695</v>
      </c>
      <c r="AS70" s="1127">
        <f t="shared" si="57"/>
        <v>201034</v>
      </c>
      <c r="AT70" s="1127">
        <f t="shared" si="57"/>
        <v>-37975</v>
      </c>
      <c r="AU70" s="1127">
        <f t="shared" si="57"/>
        <v>-29277</v>
      </c>
      <c r="AV70" s="1127">
        <f t="shared" si="57"/>
        <v>191071</v>
      </c>
      <c r="AW70" s="221">
        <f t="shared" si="57"/>
        <v>324853</v>
      </c>
      <c r="AX70" s="1127">
        <f t="shared" si="57"/>
        <v>-47084</v>
      </c>
      <c r="AY70" s="1127">
        <f t="shared" si="57"/>
        <v>-394</v>
      </c>
      <c r="AZ70" s="1127">
        <f t="shared" si="57"/>
        <v>-14693</v>
      </c>
      <c r="BA70" s="1127">
        <f t="shared" si="57"/>
        <v>5517</v>
      </c>
      <c r="BB70" s="221">
        <f t="shared" si="57"/>
        <v>-56654</v>
      </c>
      <c r="BC70" s="1127">
        <f t="shared" ref="BC70:CA70" si="58">BC33+BC46+BC66+BC68</f>
        <v>129942</v>
      </c>
      <c r="BD70" s="1127">
        <f t="shared" si="58"/>
        <v>-772</v>
      </c>
      <c r="BE70" s="1127">
        <f t="shared" si="58"/>
        <v>-4457</v>
      </c>
      <c r="BF70" s="1127">
        <f t="shared" si="58"/>
        <v>88809</v>
      </c>
      <c r="BG70" s="221">
        <f t="shared" si="58"/>
        <v>213522</v>
      </c>
      <c r="BH70" s="1127">
        <f t="shared" si="58"/>
        <v>221554</v>
      </c>
      <c r="BI70" s="1127">
        <f t="shared" si="58"/>
        <v>78225</v>
      </c>
      <c r="BJ70" s="1127">
        <f t="shared" si="58"/>
        <v>170521</v>
      </c>
      <c r="BK70" s="1127">
        <f t="shared" si="58"/>
        <v>-392002</v>
      </c>
      <c r="BL70" s="221">
        <f t="shared" si="58"/>
        <v>78298</v>
      </c>
      <c r="BM70" s="1127">
        <f t="shared" si="58"/>
        <v>21260</v>
      </c>
      <c r="BN70" s="1127">
        <f t="shared" si="58"/>
        <v>-194732</v>
      </c>
      <c r="BO70" s="1127">
        <f t="shared" si="58"/>
        <v>-7269</v>
      </c>
      <c r="BP70" s="1127">
        <f t="shared" si="58"/>
        <v>38796</v>
      </c>
      <c r="BQ70" s="221">
        <f t="shared" si="58"/>
        <v>-141945</v>
      </c>
      <c r="BR70" s="1127">
        <f t="shared" si="58"/>
        <v>12922</v>
      </c>
      <c r="BS70" s="1127">
        <f t="shared" si="58"/>
        <v>-56190</v>
      </c>
      <c r="BT70" s="1127">
        <f t="shared" si="58"/>
        <v>-16013</v>
      </c>
      <c r="BU70" s="1127">
        <f t="shared" si="58"/>
        <v>271781.32637919998</v>
      </c>
      <c r="BV70" s="221">
        <f t="shared" si="58"/>
        <v>212500.32637920068</v>
      </c>
      <c r="BW70" s="1127">
        <f t="shared" si="58"/>
        <v>363553.26225093193</v>
      </c>
      <c r="BX70" s="1127">
        <f t="shared" si="58"/>
        <v>269253.69819506106</v>
      </c>
      <c r="BY70" s="1127">
        <f t="shared" si="58"/>
        <v>156796.84918621587</v>
      </c>
      <c r="BZ70" s="1127">
        <f t="shared" si="58"/>
        <v>295282.35513264872</v>
      </c>
      <c r="CA70" s="221">
        <f t="shared" si="58"/>
        <v>1084886.1647648572</v>
      </c>
    </row>
    <row r="71" spans="2:79" ht="7.9" customHeight="1">
      <c r="B71" s="187"/>
      <c r="C71" s="1077"/>
      <c r="D71" s="185"/>
      <c r="E71" s="1129"/>
      <c r="F71" s="1129"/>
      <c r="G71" s="1129"/>
      <c r="H71" s="1130"/>
      <c r="I71" s="1131"/>
      <c r="J71" s="1132"/>
      <c r="K71" s="1132"/>
      <c r="L71" s="1132"/>
      <c r="M71" s="1132"/>
      <c r="N71" s="1133"/>
      <c r="O71" s="81"/>
      <c r="P71" s="81"/>
      <c r="Q71" s="81"/>
      <c r="R71" s="81"/>
      <c r="S71" s="1095"/>
      <c r="T71" s="81"/>
      <c r="U71" s="81"/>
      <c r="V71" s="81"/>
      <c r="W71" s="81"/>
      <c r="X71" s="1095"/>
      <c r="Y71" s="81"/>
      <c r="Z71" s="135"/>
      <c r="AA71" s="81"/>
      <c r="AB71" s="81"/>
      <c r="AC71" s="1095"/>
      <c r="AD71" s="81"/>
      <c r="AE71" s="135"/>
      <c r="AF71" s="81"/>
      <c r="AG71" s="81"/>
      <c r="AH71" s="1095"/>
      <c r="AI71" s="81"/>
      <c r="AJ71" s="81"/>
      <c r="AK71" s="81"/>
      <c r="AL71" s="81"/>
      <c r="AM71" s="1095"/>
      <c r="AN71" s="81"/>
      <c r="AO71" s="81"/>
      <c r="AP71" s="81"/>
      <c r="AQ71" s="81"/>
      <c r="AR71" s="1095"/>
      <c r="AS71" s="81"/>
      <c r="AT71" s="81"/>
      <c r="AU71" s="81"/>
      <c r="AV71" s="81"/>
      <c r="AW71" s="1095"/>
      <c r="AX71" s="81"/>
      <c r="AY71" s="81"/>
      <c r="AZ71" s="81"/>
      <c r="BA71" s="81"/>
      <c r="BB71" s="1095"/>
      <c r="BC71" s="81"/>
      <c r="BD71" s="81"/>
      <c r="BE71" s="81"/>
      <c r="BF71" s="81"/>
      <c r="BG71" s="1095"/>
      <c r="BH71" s="81"/>
      <c r="BI71" s="81"/>
      <c r="BJ71" s="81"/>
      <c r="BK71" s="81"/>
      <c r="BL71" s="1095"/>
      <c r="BM71" s="81"/>
      <c r="BN71" s="81"/>
      <c r="BO71" s="81"/>
      <c r="BP71" s="81"/>
      <c r="BQ71" s="1095"/>
      <c r="BR71" s="81"/>
      <c r="BS71" s="81"/>
      <c r="BT71" s="81"/>
      <c r="BU71" s="81"/>
      <c r="BV71" s="1095"/>
      <c r="BW71" s="81"/>
      <c r="BX71" s="81"/>
      <c r="BY71" s="81"/>
      <c r="BZ71" s="81"/>
      <c r="CA71" s="1095"/>
    </row>
    <row r="72" spans="2:79">
      <c r="B72" s="92" t="s">
        <v>105</v>
      </c>
      <c r="C72" s="81"/>
      <c r="D72" s="291"/>
      <c r="E72" s="83"/>
      <c r="F72" s="103"/>
      <c r="G72" s="103"/>
      <c r="H72" s="103"/>
      <c r="I72" s="291"/>
      <c r="J72" s="83"/>
      <c r="K72" s="103"/>
      <c r="L72" s="103"/>
      <c r="M72" s="103"/>
      <c r="N72" s="291"/>
      <c r="O72" s="83"/>
      <c r="P72" s="103"/>
      <c r="Q72" s="103"/>
      <c r="R72" s="103"/>
      <c r="S72" s="291"/>
      <c r="T72" s="83">
        <f>S73</f>
        <v>0</v>
      </c>
      <c r="U72" s="103">
        <f>T73</f>
        <v>0</v>
      </c>
      <c r="V72" s="103">
        <f>U73</f>
        <v>0</v>
      </c>
      <c r="W72" s="103">
        <f>V73</f>
        <v>0</v>
      </c>
      <c r="X72" s="291"/>
      <c r="Y72" s="83">
        <f>W73</f>
        <v>0</v>
      </c>
      <c r="Z72" s="154">
        <f>Y73</f>
        <v>0</v>
      </c>
      <c r="AA72" s="103">
        <f>Z73</f>
        <v>0</v>
      </c>
      <c r="AB72" s="103">
        <f>AA73</f>
        <v>0</v>
      </c>
      <c r="AC72" s="291">
        <v>229211</v>
      </c>
      <c r="AD72" s="83">
        <v>191244</v>
      </c>
      <c r="AE72" s="154">
        <v>190091</v>
      </c>
      <c r="AF72" s="103">
        <v>207675</v>
      </c>
      <c r="AG72" s="103">
        <f>AF73</f>
        <v>222166</v>
      </c>
      <c r="AH72" s="291">
        <f>AC73</f>
        <v>191244</v>
      </c>
      <c r="AI72" s="83">
        <f>AG73</f>
        <v>257436</v>
      </c>
      <c r="AJ72" s="103">
        <f>AI73</f>
        <v>269796</v>
      </c>
      <c r="AK72" s="103">
        <f>AJ73</f>
        <v>819162</v>
      </c>
      <c r="AL72" s="103">
        <f>AK73</f>
        <v>1094500</v>
      </c>
      <c r="AM72" s="291">
        <f>AH73</f>
        <v>257436</v>
      </c>
      <c r="AN72" s="83">
        <f>AL73</f>
        <v>518178</v>
      </c>
      <c r="AO72" s="103">
        <f>AN73</f>
        <v>236643</v>
      </c>
      <c r="AP72" s="103">
        <f>AO73</f>
        <v>224423</v>
      </c>
      <c r="AQ72" s="103">
        <f>AP73</f>
        <v>198111</v>
      </c>
      <c r="AR72" s="291">
        <f>AM73</f>
        <v>518178</v>
      </c>
      <c r="AS72" s="83">
        <f>AQ73</f>
        <v>241483</v>
      </c>
      <c r="AT72" s="103">
        <f>AS73</f>
        <v>442517</v>
      </c>
      <c r="AU72" s="103">
        <f>AT73</f>
        <v>404542</v>
      </c>
      <c r="AV72" s="103">
        <f>AU73</f>
        <v>375265</v>
      </c>
      <c r="AW72" s="291">
        <f>AR73</f>
        <v>241483</v>
      </c>
      <c r="AX72" s="83">
        <f>AV73</f>
        <v>566336</v>
      </c>
      <c r="AY72" s="83">
        <f>AX73</f>
        <v>519252</v>
      </c>
      <c r="AZ72" s="103">
        <f>AY73</f>
        <v>518858</v>
      </c>
      <c r="BA72" s="103">
        <f>AZ73</f>
        <v>504165</v>
      </c>
      <c r="BB72" s="291">
        <f>AW73</f>
        <v>566336</v>
      </c>
      <c r="BC72" s="103">
        <f>BA73</f>
        <v>509682</v>
      </c>
      <c r="BD72" s="103">
        <f>BC73</f>
        <v>639624</v>
      </c>
      <c r="BE72" s="103">
        <v>638849</v>
      </c>
      <c r="BF72" s="103">
        <f>BE73</f>
        <v>634392</v>
      </c>
      <c r="BG72" s="291">
        <f>BB73</f>
        <v>509682</v>
      </c>
      <c r="BH72" s="83">
        <f>BF73</f>
        <v>723201</v>
      </c>
      <c r="BI72" s="103">
        <f>BH73</f>
        <v>944755</v>
      </c>
      <c r="BJ72" s="103">
        <f>BI73</f>
        <v>1022980</v>
      </c>
      <c r="BK72" s="103">
        <f>BJ73</f>
        <v>1193501</v>
      </c>
      <c r="BL72" s="291">
        <f>BG73</f>
        <v>723204</v>
      </c>
      <c r="BM72" s="83">
        <f>BK73</f>
        <v>801499</v>
      </c>
      <c r="BN72" s="103">
        <f>BM73</f>
        <v>822759</v>
      </c>
      <c r="BO72" s="103">
        <f>BN73</f>
        <v>628027</v>
      </c>
      <c r="BP72" s="103">
        <f>BO73</f>
        <v>620758</v>
      </c>
      <c r="BQ72" s="291">
        <f>BL73</f>
        <v>801502</v>
      </c>
      <c r="BR72" s="83">
        <f>BP73</f>
        <v>659554</v>
      </c>
      <c r="BS72" s="103">
        <f>BR73</f>
        <v>672476</v>
      </c>
      <c r="BT72" s="103">
        <f>BS73</f>
        <v>616286</v>
      </c>
      <c r="BU72" s="103">
        <f>BT73</f>
        <v>600273</v>
      </c>
      <c r="BV72" s="291">
        <f>BQ73</f>
        <v>659557</v>
      </c>
      <c r="BW72" s="83">
        <f>BU73</f>
        <v>872054.32637919998</v>
      </c>
      <c r="BX72" s="103">
        <f>BW73</f>
        <v>1235607.5886301319</v>
      </c>
      <c r="BY72" s="103">
        <f>BX73</f>
        <v>1504861.2868251931</v>
      </c>
      <c r="BZ72" s="103">
        <f>BY73</f>
        <v>1661658.1360114089</v>
      </c>
      <c r="CA72" s="291">
        <f>BV73</f>
        <v>872057.32637920068</v>
      </c>
    </row>
    <row r="73" spans="2:79" ht="13.15" thickBot="1">
      <c r="B73" s="84" t="s">
        <v>104</v>
      </c>
      <c r="C73" s="407"/>
      <c r="D73" s="1134"/>
      <c r="E73" s="203"/>
      <c r="F73" s="353"/>
      <c r="G73" s="353"/>
      <c r="H73" s="353"/>
      <c r="I73" s="129"/>
      <c r="J73" s="203"/>
      <c r="K73" s="353"/>
      <c r="L73" s="353"/>
      <c r="M73" s="353"/>
      <c r="N73" s="129"/>
      <c r="O73" s="353"/>
      <c r="P73" s="353"/>
      <c r="Q73" s="353"/>
      <c r="R73" s="353"/>
      <c r="S73" s="129">
        <f>S72+S70</f>
        <v>0</v>
      </c>
      <c r="T73" s="353">
        <f>T70+T72</f>
        <v>0</v>
      </c>
      <c r="U73" s="353">
        <f>U70+U72</f>
        <v>0</v>
      </c>
      <c r="V73" s="353">
        <f>V70+V72</f>
        <v>0</v>
      </c>
      <c r="W73" s="353">
        <f t="shared" ref="W73:AC73" si="59">W70+W72</f>
        <v>0</v>
      </c>
      <c r="X73" s="129">
        <f>X70+X72</f>
        <v>126696</v>
      </c>
      <c r="Y73" s="353">
        <f>Y70+Y72</f>
        <v>0</v>
      </c>
      <c r="Z73" s="353">
        <f>Z70+Z72</f>
        <v>0</v>
      </c>
      <c r="AA73" s="353">
        <f t="shared" si="59"/>
        <v>0</v>
      </c>
      <c r="AB73" s="353">
        <f t="shared" si="59"/>
        <v>0</v>
      </c>
      <c r="AC73" s="129">
        <f t="shared" si="59"/>
        <v>191244</v>
      </c>
      <c r="AD73" s="353">
        <f t="shared" ref="AD73:AM73" si="60">AD70+AD72</f>
        <v>190091</v>
      </c>
      <c r="AE73" s="1135">
        <f t="shared" si="60"/>
        <v>207675</v>
      </c>
      <c r="AF73" s="353">
        <f t="shared" si="60"/>
        <v>222166</v>
      </c>
      <c r="AG73" s="353">
        <f t="shared" si="60"/>
        <v>257436</v>
      </c>
      <c r="AH73" s="129">
        <f>AH70+AH72</f>
        <v>257436</v>
      </c>
      <c r="AI73" s="353">
        <f t="shared" si="60"/>
        <v>269796</v>
      </c>
      <c r="AJ73" s="353">
        <f t="shared" si="60"/>
        <v>819162</v>
      </c>
      <c r="AK73" s="353">
        <f t="shared" si="60"/>
        <v>1094500</v>
      </c>
      <c r="AL73" s="353">
        <f t="shared" si="60"/>
        <v>518178</v>
      </c>
      <c r="AM73" s="129">
        <f t="shared" si="60"/>
        <v>518178</v>
      </c>
      <c r="AN73" s="353">
        <f t="shared" ref="AN73:AW73" si="61">AN70+AN72</f>
        <v>236643</v>
      </c>
      <c r="AO73" s="353">
        <f t="shared" si="61"/>
        <v>224423</v>
      </c>
      <c r="AP73" s="353">
        <f t="shared" si="61"/>
        <v>198111</v>
      </c>
      <c r="AQ73" s="353">
        <f>AQ70+AQ72</f>
        <v>241483</v>
      </c>
      <c r="AR73" s="129">
        <f>AR70+AR72</f>
        <v>241483</v>
      </c>
      <c r="AS73" s="353">
        <f>AS70+AS72</f>
        <v>442517</v>
      </c>
      <c r="AT73" s="353">
        <f t="shared" si="61"/>
        <v>404542</v>
      </c>
      <c r="AU73" s="353">
        <f t="shared" si="61"/>
        <v>375265</v>
      </c>
      <c r="AV73" s="353">
        <f t="shared" si="61"/>
        <v>566336</v>
      </c>
      <c r="AW73" s="129">
        <f t="shared" si="61"/>
        <v>566336</v>
      </c>
      <c r="AX73" s="353">
        <f t="shared" ref="AX73:CA73" si="62">AX70+AX72</f>
        <v>519252</v>
      </c>
      <c r="AY73" s="353">
        <f t="shared" si="62"/>
        <v>518858</v>
      </c>
      <c r="AZ73" s="353">
        <f t="shared" si="62"/>
        <v>504165</v>
      </c>
      <c r="BA73" s="353">
        <f t="shared" si="62"/>
        <v>509682</v>
      </c>
      <c r="BB73" s="129">
        <f t="shared" si="62"/>
        <v>509682</v>
      </c>
      <c r="BC73" s="353">
        <f t="shared" si="62"/>
        <v>639624</v>
      </c>
      <c r="BD73" s="353">
        <f t="shared" si="62"/>
        <v>638852</v>
      </c>
      <c r="BE73" s="353">
        <f t="shared" si="62"/>
        <v>634392</v>
      </c>
      <c r="BF73" s="353">
        <f t="shared" si="62"/>
        <v>723201</v>
      </c>
      <c r="BG73" s="129">
        <f t="shared" si="62"/>
        <v>723204</v>
      </c>
      <c r="BH73" s="353">
        <f t="shared" si="62"/>
        <v>944755</v>
      </c>
      <c r="BI73" s="353">
        <f t="shared" si="62"/>
        <v>1022980</v>
      </c>
      <c r="BJ73" s="353">
        <f t="shared" si="62"/>
        <v>1193501</v>
      </c>
      <c r="BK73" s="353">
        <f t="shared" si="62"/>
        <v>801499</v>
      </c>
      <c r="BL73" s="129">
        <f t="shared" si="62"/>
        <v>801502</v>
      </c>
      <c r="BM73" s="353">
        <f t="shared" si="62"/>
        <v>822759</v>
      </c>
      <c r="BN73" s="353">
        <f t="shared" si="62"/>
        <v>628027</v>
      </c>
      <c r="BO73" s="353">
        <f t="shared" si="62"/>
        <v>620758</v>
      </c>
      <c r="BP73" s="353">
        <f t="shared" si="62"/>
        <v>659554</v>
      </c>
      <c r="BQ73" s="129">
        <f t="shared" si="62"/>
        <v>659557</v>
      </c>
      <c r="BR73" s="353">
        <f t="shared" si="62"/>
        <v>672476</v>
      </c>
      <c r="BS73" s="353">
        <f t="shared" si="62"/>
        <v>616286</v>
      </c>
      <c r="BT73" s="353">
        <f t="shared" si="62"/>
        <v>600273</v>
      </c>
      <c r="BU73" s="353">
        <f t="shared" si="62"/>
        <v>872054.32637919998</v>
      </c>
      <c r="BV73" s="129">
        <f t="shared" si="62"/>
        <v>872057.32637920068</v>
      </c>
      <c r="BW73" s="353">
        <f t="shared" si="62"/>
        <v>1235607.5886301319</v>
      </c>
      <c r="BX73" s="353">
        <f t="shared" si="62"/>
        <v>1504861.2868251931</v>
      </c>
      <c r="BY73" s="353">
        <f t="shared" si="62"/>
        <v>1661658.1360114089</v>
      </c>
      <c r="BZ73" s="353">
        <f t="shared" si="62"/>
        <v>1956940.4911440576</v>
      </c>
      <c r="CA73" s="129">
        <f t="shared" si="62"/>
        <v>1956943.4911440578</v>
      </c>
    </row>
    <row r="74" spans="2:79">
      <c r="B74" s="62"/>
      <c r="C74" s="1098"/>
      <c r="D74" s="1098"/>
      <c r="E74" s="1098"/>
      <c r="F74" s="1098"/>
      <c r="G74" s="1098"/>
      <c r="H74" s="1098"/>
      <c r="I74" s="1098"/>
      <c r="J74" s="103"/>
      <c r="K74" s="103"/>
      <c r="L74" s="103"/>
      <c r="M74" s="103"/>
      <c r="N74" s="103"/>
      <c r="O74" s="103"/>
      <c r="P74" s="103"/>
      <c r="Q74" s="103"/>
      <c r="R74" s="103"/>
      <c r="S74" s="103"/>
      <c r="T74" s="103"/>
      <c r="U74" s="103"/>
      <c r="V74" s="103"/>
      <c r="W74" s="103"/>
      <c r="X74" s="68"/>
      <c r="Y74" s="103"/>
      <c r="Z74" s="154"/>
      <c r="AA74" s="103"/>
      <c r="AB74" s="103"/>
      <c r="AE74" s="1124"/>
      <c r="AH74" s="68"/>
    </row>
    <row r="75" spans="2:79">
      <c r="B75" s="62"/>
      <c r="C75" s="1098"/>
      <c r="D75" s="1098"/>
      <c r="E75" s="1136">
        <f>E73-BS!E6</f>
        <v>0</v>
      </c>
      <c r="F75" s="1136">
        <f>F73-BS!F6</f>
        <v>0</v>
      </c>
      <c r="G75" s="1136">
        <f>G73-BS!G6</f>
        <v>0</v>
      </c>
      <c r="H75" s="1136">
        <f>H73-BS!H6</f>
        <v>0</v>
      </c>
      <c r="I75" s="1136">
        <f>I73-BS!I6</f>
        <v>0</v>
      </c>
      <c r="J75" s="1136">
        <f>J73-BS!J6</f>
        <v>0</v>
      </c>
      <c r="K75" s="1136">
        <f>K73-BS!K6</f>
        <v>0</v>
      </c>
      <c r="L75" s="1136">
        <f>L73-BS!L6</f>
        <v>0</v>
      </c>
      <c r="M75" s="1136">
        <f>M73-BS!M6</f>
        <v>0</v>
      </c>
      <c r="N75" s="1136">
        <f>N73-BS!N6</f>
        <v>0</v>
      </c>
      <c r="O75" s="1136">
        <f>O73-BS!O6</f>
        <v>0</v>
      </c>
      <c r="P75" s="1136">
        <f>P73-BS!P6</f>
        <v>0</v>
      </c>
      <c r="Q75" s="1136">
        <f>Q73-BS!Q6</f>
        <v>0</v>
      </c>
      <c r="R75" s="1136">
        <v>0</v>
      </c>
      <c r="S75" s="1136">
        <f>S73-BS!S6</f>
        <v>0</v>
      </c>
      <c r="T75" s="1136"/>
      <c r="U75" s="1136"/>
      <c r="V75" s="1136"/>
      <c r="W75" s="1136">
        <f>W73-BS!W6</f>
        <v>0</v>
      </c>
      <c r="X75" s="1136">
        <f>X73-BS!X6</f>
        <v>-101827</v>
      </c>
      <c r="Y75" s="1136"/>
      <c r="Z75" s="1136"/>
      <c r="AA75" s="1074">
        <f>AA73-BS!AA6</f>
        <v>0</v>
      </c>
      <c r="AB75" s="1074">
        <f>AB73-BS!AB6</f>
        <v>0</v>
      </c>
      <c r="AC75" s="1074">
        <f>AC73-BS!AC6</f>
        <v>688</v>
      </c>
      <c r="AD75" s="1074">
        <f>AD73-BS!AD6</f>
        <v>190091</v>
      </c>
      <c r="AE75" s="1136">
        <f>AE73-BS!AE6</f>
        <v>207675</v>
      </c>
      <c r="AF75" s="1074">
        <f>AF73-BS!AF6</f>
        <v>222166</v>
      </c>
      <c r="AG75" s="1074">
        <f>AG73-BS!AG6</f>
        <v>569</v>
      </c>
      <c r="AH75" s="1074">
        <f>AH73-BS!AH6</f>
        <v>569</v>
      </c>
      <c r="AI75" s="1074">
        <f>AI73-BS!AI6</f>
        <v>367</v>
      </c>
      <c r="AJ75" s="1074">
        <f>AJ73-BS!AJ6</f>
        <v>367</v>
      </c>
      <c r="AK75" s="1074">
        <f>AK73-BS!AK6</f>
        <v>367</v>
      </c>
      <c r="AL75" s="1074">
        <f>AL73-BS!AL6</f>
        <v>367</v>
      </c>
      <c r="AM75" s="1074">
        <f>AM73-BS!AM6</f>
        <v>367</v>
      </c>
      <c r="AN75" s="1074">
        <f>AN73-BS!AN6</f>
        <v>167</v>
      </c>
      <c r="AO75" s="1074">
        <f>AO73-BS!AO6</f>
        <v>133</v>
      </c>
      <c r="AP75" s="1074">
        <f>AP73-BS!AP6</f>
        <v>414</v>
      </c>
      <c r="AQ75" s="1074">
        <f>AQ73-BS!AQ6</f>
        <v>280</v>
      </c>
      <c r="AR75" s="1074">
        <f>AR73-BS!AR6</f>
        <v>280</v>
      </c>
      <c r="AS75" s="1074">
        <f>AS73-BS!AS6</f>
        <v>280</v>
      </c>
      <c r="AT75" s="1074">
        <f>AT73-BS!AT6</f>
        <v>280</v>
      </c>
      <c r="AU75" s="1074">
        <f>AU73-BS!AU6</f>
        <v>281</v>
      </c>
      <c r="AV75" s="1074">
        <f>AV73-BS!AV6</f>
        <v>281</v>
      </c>
      <c r="AW75" s="1074">
        <f>AW73-BS!AW6</f>
        <v>281</v>
      </c>
      <c r="AX75" s="1074">
        <f>AX73-BS!AX6</f>
        <v>280</v>
      </c>
      <c r="AY75" s="1074">
        <f>AY73-BS!AY6</f>
        <v>281</v>
      </c>
      <c r="AZ75" s="1074">
        <f>AZ73-BS!AZ6</f>
        <v>281</v>
      </c>
      <c r="BA75" s="1074">
        <f>BA73-BS!BA6</f>
        <v>623</v>
      </c>
      <c r="BB75" s="1074">
        <f>BB73-BS!BB6</f>
        <v>623</v>
      </c>
      <c r="BC75" s="1074">
        <f>BC73-BS!BC6</f>
        <v>1434</v>
      </c>
      <c r="BD75" s="1074">
        <f>BD73-BS!BD6</f>
        <v>1666</v>
      </c>
      <c r="BE75" s="1074">
        <f>BE73-BS!BE6</f>
        <v>1772</v>
      </c>
      <c r="BF75" s="1074">
        <f>BF73-BS!BF6</f>
        <v>1306</v>
      </c>
      <c r="BG75" s="1074">
        <f>BG73-BS!BG6</f>
        <v>1309</v>
      </c>
      <c r="BH75" s="1074">
        <f>BH73-BS!BH6</f>
        <v>4261</v>
      </c>
      <c r="BI75" s="1074">
        <f>BI73-BS!BI6</f>
        <v>5202</v>
      </c>
      <c r="BJ75" s="1074">
        <f>BJ73-BS!BJ6</f>
        <v>4923</v>
      </c>
      <c r="BK75" s="1074">
        <f>BK73-BS!BK6</f>
        <v>4439</v>
      </c>
      <c r="BL75" s="1074">
        <f>BL73-BS!BL6</f>
        <v>4442</v>
      </c>
      <c r="BM75" s="1074">
        <f>BM73-BS!BM6</f>
        <v>5371</v>
      </c>
      <c r="BN75" s="1074">
        <f>BN73-BS!BN6</f>
        <v>8963</v>
      </c>
      <c r="BO75" s="1074">
        <f>BO73-BS!BO6</f>
        <v>9888</v>
      </c>
      <c r="BP75" s="1074">
        <f>BP73-BS!BP6</f>
        <v>10931</v>
      </c>
      <c r="BQ75" s="1074">
        <f>BQ73-BS!BQ6</f>
        <v>10934</v>
      </c>
      <c r="BR75" s="1074">
        <f>BR73-BS!BR6</f>
        <v>15077</v>
      </c>
      <c r="BS75" s="1074">
        <f>BS73-BS!BS6</f>
        <v>16300</v>
      </c>
      <c r="BT75" s="1074">
        <f>BT73-BS!BT6</f>
        <v>16982</v>
      </c>
      <c r="BU75" s="1074">
        <f>BU73-BS!BU6</f>
        <v>16982</v>
      </c>
      <c r="BV75" s="1074">
        <f>BV73-BS!BV6</f>
        <v>16985.000000000698</v>
      </c>
      <c r="BW75" s="1074">
        <f>BW73-BS!BW6</f>
        <v>16982</v>
      </c>
      <c r="BX75" s="1074">
        <f>BX73-BS!BX6</f>
        <v>16982</v>
      </c>
      <c r="BY75" s="1074">
        <f>BY73-BS!BY6</f>
        <v>16982</v>
      </c>
      <c r="BZ75" s="1074">
        <f>BZ73-BS!BZ6</f>
        <v>16982</v>
      </c>
      <c r="CA75" s="1074">
        <f>CA73-BS!CA6</f>
        <v>16985.000000000233</v>
      </c>
    </row>
    <row r="76" spans="2:79" s="1075" customFormat="1">
      <c r="E76" s="1137"/>
      <c r="F76" s="1137"/>
      <c r="G76" s="1137"/>
      <c r="H76" s="1137"/>
      <c r="I76" s="1138"/>
      <c r="J76" s="1138"/>
      <c r="K76" s="1138"/>
      <c r="L76" s="1138"/>
      <c r="M76" s="1138"/>
      <c r="N76" s="1138"/>
      <c r="O76" s="1138"/>
      <c r="S76" s="1139"/>
      <c r="U76" s="1140"/>
      <c r="V76" s="1140"/>
      <c r="W76" s="1140"/>
      <c r="X76" s="1140"/>
      <c r="Y76" s="1140"/>
      <c r="Z76" s="1140"/>
      <c r="AA76" s="1140"/>
      <c r="AB76" s="1140"/>
      <c r="AC76" s="1140"/>
      <c r="AE76" s="1141"/>
    </row>
    <row r="77" spans="2:79" s="81" customFormat="1">
      <c r="C77" s="135" t="s">
        <v>103</v>
      </c>
      <c r="D77" s="135"/>
      <c r="H77" s="1142"/>
      <c r="I77" s="1142"/>
      <c r="J77" s="415" t="e">
        <f>J7/(BS!J14+BS!J20)</f>
        <v>#DIV/0!</v>
      </c>
      <c r="K77" s="415" t="e">
        <f>K7/(BS!K14+BS!K20)</f>
        <v>#DIV/0!</v>
      </c>
      <c r="L77" s="415" t="e">
        <f>L7/(BS!L14+BS!L20)</f>
        <v>#DIV/0!</v>
      </c>
      <c r="M77" s="415" t="e">
        <f>M7/(BS!M14+BS!M20)</f>
        <v>#DIV/0!</v>
      </c>
      <c r="N77" s="1142"/>
      <c r="O77" s="415" t="e">
        <f>O7/(BS!O14+BS!O20)</f>
        <v>#DIV/0!</v>
      </c>
      <c r="P77" s="415" t="e">
        <f>P7/(BS!P14+BS!P20)</f>
        <v>#DIV/0!</v>
      </c>
      <c r="Q77" s="415" t="e">
        <f>Q7/(BS!Q14+BS!Q20)</f>
        <v>#DIV/0!</v>
      </c>
      <c r="R77" s="415" t="e">
        <f>R7/(BS!R14+BS!R20)</f>
        <v>#DIV/0!</v>
      </c>
      <c r="S77" s="1142"/>
      <c r="T77" s="415"/>
      <c r="U77" s="415"/>
      <c r="V77" s="415"/>
      <c r="W77" s="415" t="e">
        <f>W7/(BS!W14+BS!W20)</f>
        <v>#DIV/0!</v>
      </c>
      <c r="X77" s="1142"/>
      <c r="Y77" s="415"/>
      <c r="Z77" s="415"/>
      <c r="AA77" s="415"/>
      <c r="AB77" s="415"/>
      <c r="AC77" s="415"/>
      <c r="AD77" s="415" t="e">
        <f>AD8/(BS!AC14)</f>
        <v>#DIV/0!</v>
      </c>
      <c r="AE77" s="415" t="e">
        <f>AE8/(BS!AD14)</f>
        <v>#DIV/0!</v>
      </c>
      <c r="AF77" s="415" t="e">
        <f>AF8/(BS!AE14)</f>
        <v>#DIV/0!</v>
      </c>
      <c r="AG77" s="415" t="e">
        <f>AG8/(BS!AF14)</f>
        <v>#DIV/0!</v>
      </c>
      <c r="AH77" s="415"/>
      <c r="AI77" s="415">
        <f>AI8/(BS!AH14)</f>
        <v>9.7859375743823293E-2</v>
      </c>
      <c r="AJ77" s="415">
        <f>AJ8/(BS!AI14)</f>
        <v>8.841001747233547E-2</v>
      </c>
      <c r="AK77" s="415">
        <f>AK8/(BS!AJ14)</f>
        <v>0.10682777455929819</v>
      </c>
      <c r="AL77" s="415">
        <f>AL8/(BS!AK14)</f>
        <v>9.4517677279794501E-2</v>
      </c>
      <c r="AN77" s="415">
        <f>AN8/(BS!AM14)</f>
        <v>9.5447832049794276E-2</v>
      </c>
      <c r="AO77" s="415">
        <f>AO8/(BS!AN14)</f>
        <v>9.3585749280566982E-2</v>
      </c>
      <c r="AP77" s="415">
        <f>AP8/(BS!AO14)</f>
        <v>9.0683985316796625E-2</v>
      </c>
      <c r="AQ77" s="415">
        <f>AQ8/(BS!AP14)</f>
        <v>8.5038284694619368E-2</v>
      </c>
      <c r="AS77" s="415">
        <f>AS8/(BS!AR14)</f>
        <v>7.6231750758030445E-2</v>
      </c>
      <c r="AT77" s="415">
        <f>AT8/(BS!AS14)</f>
        <v>7.8042592963482205E-2</v>
      </c>
      <c r="AU77" s="415">
        <f>AU8/(BS!AT14)</f>
        <v>8.0466789692391433E-2</v>
      </c>
      <c r="AV77" s="415">
        <f>AV8/(BS!AU14)</f>
        <v>8.1734021496755446E-2</v>
      </c>
      <c r="AX77" s="415">
        <f>AX8/(BS!AW14)</f>
        <v>8.1847320936263554E-2</v>
      </c>
      <c r="AY77" s="415">
        <f>AY8/(BS!AX14)</f>
        <v>8.7121027490738939E-2</v>
      </c>
      <c r="AZ77" s="415">
        <f>AZ8/(BS!AY14)</f>
        <v>8.158843105360869E-2</v>
      </c>
      <c r="BA77" s="415">
        <f>BA8/(BS!AZ14)</f>
        <v>8.5147779927122233E-2</v>
      </c>
      <c r="BC77" s="415">
        <f>BC8/(BS!BB14)</f>
        <v>8.4981371572152672E-2</v>
      </c>
      <c r="BD77" s="415">
        <f>BD8/(BS!BC14)</f>
        <v>8.7695423071898274E-2</v>
      </c>
      <c r="BE77" s="415">
        <f>BE8/(BS!BD14)</f>
        <v>8.8165645522448169E-2</v>
      </c>
      <c r="BF77" s="415">
        <f>BF8/(BS!BE14)</f>
        <v>8.8340718004150373E-2</v>
      </c>
      <c r="BH77" s="415">
        <f>BH8/(BS!BG14)</f>
        <v>8.9223180517479433E-2</v>
      </c>
      <c r="BI77" s="415">
        <f>BI8/(BS!BH14)</f>
        <v>0.16799251674213389</v>
      </c>
      <c r="BJ77" s="415">
        <f>BJ8/(BS!BI14)</f>
        <v>8.4308062793097827E-2</v>
      </c>
      <c r="BK77" s="415">
        <f>BK8/(BS!BJ14)</f>
        <v>8.1969839324913515E-2</v>
      </c>
      <c r="BM77" s="415">
        <f>BM8/(BS!BL14)</f>
        <v>8.0787851843392211E-2</v>
      </c>
      <c r="BN77" s="415">
        <f>BN8/(BS!BM14)</f>
        <v>8.1498107423280258E-2</v>
      </c>
      <c r="BO77" s="415">
        <f>BO8/(BS!BN14)</f>
        <v>7.7761124333443801E-2</v>
      </c>
      <c r="BP77" s="415">
        <f>BP8/(BS!BO14)</f>
        <v>7.8202445598532788E-2</v>
      </c>
      <c r="BR77" s="415">
        <f>BR8/(BS!BQ14)</f>
        <v>7.8331162107091554E-2</v>
      </c>
      <c r="BS77" s="415">
        <f>BS8/(BS!BR14)</f>
        <v>7.7265839110108009E-2</v>
      </c>
      <c r="BT77" s="415">
        <f>BT8/(BS!BS14)</f>
        <v>7.783432382079139E-2</v>
      </c>
      <c r="BU77" s="1143">
        <v>8.7999999999999995E-2</v>
      </c>
      <c r="BW77" s="1143">
        <v>8.7999999999999995E-2</v>
      </c>
      <c r="BX77" s="1143">
        <v>8.7999999999999995E-2</v>
      </c>
      <c r="BY77" s="1143">
        <v>8.7999999999999995E-2</v>
      </c>
      <c r="BZ77" s="1143">
        <v>8.7999999999999995E-2</v>
      </c>
    </row>
    <row r="78" spans="2:79" s="81" customFormat="1">
      <c r="C78" s="81" t="s">
        <v>223</v>
      </c>
      <c r="AB78" s="244" t="e">
        <f>AB10/BS!AB15</f>
        <v>#DIV/0!</v>
      </c>
      <c r="AC78" s="244"/>
      <c r="AD78" s="244" t="e">
        <f>AD10/BS!AD15</f>
        <v>#DIV/0!</v>
      </c>
      <c r="AE78" s="244" t="e">
        <f>AE10/BS!AE15</f>
        <v>#DIV/0!</v>
      </c>
      <c r="AF78" s="244" t="e">
        <f>AF10/BS!AF15</f>
        <v>#DIV/0!</v>
      </c>
      <c r="AG78" s="244">
        <f>AG10/BS!AG15</f>
        <v>0.11061097504468127</v>
      </c>
      <c r="AH78" s="244"/>
      <c r="AI78" s="244">
        <f>AI10/BS!AI15</f>
        <v>0.1179321692325353</v>
      </c>
      <c r="AJ78" s="244">
        <f>AJ10/BS!AJ15</f>
        <v>0.11485052030766019</v>
      </c>
      <c r="AK78" s="244">
        <f>AK10/BS!AK15</f>
        <v>0.11064877280077454</v>
      </c>
      <c r="AL78" s="244">
        <f>AL10/BS!AL15</f>
        <v>0.10856878924882087</v>
      </c>
      <c r="AM78" s="1144"/>
      <c r="AN78" s="244">
        <f>AN10/BS!AN15</f>
        <v>0.12301162830820192</v>
      </c>
      <c r="AO78" s="244">
        <f>AO10/BS!AO15</f>
        <v>0.1357265699085459</v>
      </c>
      <c r="AP78" s="244">
        <f>AP10/BS!AP15</f>
        <v>0.13366067758792791</v>
      </c>
      <c r="AQ78" s="244">
        <f>AQ10/BS!AQ15</f>
        <v>0.132958984693445</v>
      </c>
      <c r="AR78" s="1144"/>
      <c r="AS78" s="244">
        <f>AS10/BS!AS15</f>
        <v>0.1258795657862169</v>
      </c>
      <c r="AT78" s="244">
        <f>AT10/BS!AT15</f>
        <v>0.12017647800327745</v>
      </c>
      <c r="AU78" s="244">
        <f>AU10/BS!AU15</f>
        <v>0.11368855918086311</v>
      </c>
      <c r="AV78" s="244">
        <f>AV10/BS!AV15</f>
        <v>0.10993349479106601</v>
      </c>
      <c r="AX78" s="244">
        <f>AX10/BS!AX15</f>
        <v>0.11287809399392057</v>
      </c>
      <c r="AY78" s="244">
        <f>AY10/BS!AY15</f>
        <v>0.11235827038075377</v>
      </c>
      <c r="AZ78" s="244">
        <f>AZ10/BS!AZ15</f>
        <v>0.12424643336788048</v>
      </c>
      <c r="BA78" s="244">
        <f>BA10/BS!BA15</f>
        <v>0.14008369810957719</v>
      </c>
      <c r="BC78" s="244">
        <f>BC10/BS!BC15</f>
        <v>0.14020270270270271</v>
      </c>
      <c r="BD78" s="244">
        <f>BD10/BS!BD15</f>
        <v>0.14126342211685958</v>
      </c>
      <c r="BE78" s="244">
        <f>BE10/BS!BE15</f>
        <v>0.13579304032634457</v>
      </c>
      <c r="BF78" s="244">
        <f>BF10/BS!BF15</f>
        <v>0.14438342657003866</v>
      </c>
      <c r="BH78" s="244">
        <f>BH10/BS!BH15</f>
        <v>0.35619594839109914</v>
      </c>
      <c r="BI78" s="244">
        <f>BI10/BS!BI15</f>
        <v>0.13563795980516513</v>
      </c>
      <c r="BJ78" s="244">
        <f>BJ10/BS!BJ15</f>
        <v>0.12891011338578567</v>
      </c>
      <c r="BK78" s="244">
        <f>BK10/BS!BK15</f>
        <v>0.12787731277479267</v>
      </c>
      <c r="BM78" s="244">
        <f>BM10/BS!BM15</f>
        <v>0.13039912060210854</v>
      </c>
      <c r="BN78" s="244">
        <f>BN10/BS!BN15</f>
        <v>0.13389881641444437</v>
      </c>
      <c r="BO78" s="244">
        <f>BO10/BS!BO15</f>
        <v>0.13736723267718565</v>
      </c>
      <c r="BP78" s="244">
        <f>BP10/BS!BP15</f>
        <v>0.13802624566300159</v>
      </c>
      <c r="BR78" s="244">
        <f>BR10/BS!BR15</f>
        <v>0.14391008920511983</v>
      </c>
      <c r="BS78" s="244">
        <f>BS10/BS!BS15</f>
        <v>0.14830383990598969</v>
      </c>
      <c r="BT78" s="244">
        <f>BT10/BS!BT15</f>
        <v>0.14781905601964751</v>
      </c>
      <c r="BU78" s="1145">
        <v>0.13</v>
      </c>
      <c r="BW78" s="1145">
        <v>0.13500000000000001</v>
      </c>
      <c r="BX78" s="1145">
        <v>0.13500000000000001</v>
      </c>
      <c r="BY78" s="1145">
        <v>0.13</v>
      </c>
      <c r="BZ78" s="1145">
        <v>0.13</v>
      </c>
    </row>
    <row r="84" spans="18:31">
      <c r="R84" s="1090"/>
      <c r="S84" s="1090"/>
      <c r="T84" s="1090"/>
      <c r="U84" s="1146"/>
      <c r="V84" s="1146"/>
      <c r="W84" s="1146"/>
      <c r="X84" s="1146"/>
      <c r="Y84" s="1146"/>
      <c r="Z84" s="1146"/>
      <c r="AA84" s="1146"/>
      <c r="AB84" s="1146"/>
      <c r="AC84" s="1146"/>
      <c r="AD84" s="1146"/>
      <c r="AE84" s="1090"/>
    </row>
    <row r="85" spans="18:31">
      <c r="R85" s="1090"/>
      <c r="S85" s="1146"/>
      <c r="T85" s="1090"/>
      <c r="U85" s="1146"/>
      <c r="V85" s="1146"/>
      <c r="W85" s="1146"/>
      <c r="X85" s="1146"/>
      <c r="Y85" s="1146"/>
      <c r="Z85" s="1146"/>
      <c r="AA85" s="1146"/>
      <c r="AB85" s="1146"/>
      <c r="AC85" s="1146"/>
      <c r="AD85" s="1146"/>
      <c r="AE85" s="1090"/>
    </row>
    <row r="86" spans="18:31">
      <c r="R86" s="1090"/>
      <c r="S86" s="1146"/>
      <c r="T86" s="1090"/>
      <c r="U86" s="1146"/>
      <c r="V86" s="1146"/>
      <c r="W86" s="1146"/>
      <c r="X86" s="1146"/>
      <c r="Y86" s="1146"/>
      <c r="Z86" s="1146"/>
      <c r="AA86" s="1146"/>
      <c r="AB86" s="1146"/>
      <c r="AC86" s="1146"/>
      <c r="AD86" s="1146"/>
      <c r="AE86" s="1090"/>
    </row>
    <row r="87" spans="18:31">
      <c r="R87" s="1090"/>
      <c r="S87" s="1146"/>
      <c r="T87" s="1090"/>
      <c r="U87" s="1146"/>
      <c r="V87" s="1146"/>
      <c r="W87" s="1146"/>
      <c r="X87" s="1146"/>
      <c r="Y87" s="1146"/>
      <c r="Z87" s="1146"/>
      <c r="AA87" s="1146"/>
      <c r="AB87" s="1146"/>
      <c r="AC87" s="1146"/>
      <c r="AD87" s="1146"/>
      <c r="AE87" s="1090"/>
    </row>
    <row r="88" spans="18:31">
      <c r="R88" s="1090"/>
      <c r="S88" s="1090"/>
      <c r="T88" s="1090"/>
      <c r="U88" s="1146"/>
      <c r="V88" s="1146"/>
      <c r="W88" s="1146"/>
      <c r="X88" s="1146"/>
      <c r="Y88" s="1146"/>
      <c r="Z88" s="1146"/>
      <c r="AA88" s="1146"/>
      <c r="AB88" s="1146"/>
      <c r="AC88" s="1146"/>
      <c r="AD88" s="1146"/>
      <c r="AE88" s="1090"/>
    </row>
    <row r="89" spans="18:31">
      <c r="R89" s="1090"/>
      <c r="S89" s="1090"/>
      <c r="T89" s="1090"/>
      <c r="U89" s="1146"/>
      <c r="V89" s="1146"/>
      <c r="W89" s="1146"/>
      <c r="X89" s="1146"/>
      <c r="Y89" s="1146"/>
      <c r="Z89" s="1146"/>
      <c r="AA89" s="1146"/>
      <c r="AB89" s="1146"/>
      <c r="AC89" s="1146"/>
      <c r="AD89" s="1146"/>
      <c r="AE89" s="1090"/>
    </row>
    <row r="90" spans="18:31">
      <c r="R90" s="1090"/>
      <c r="S90" s="1090"/>
      <c r="T90" s="1090"/>
      <c r="U90" s="1146"/>
      <c r="V90" s="1146"/>
      <c r="W90" s="1146"/>
      <c r="X90" s="1146"/>
      <c r="Y90" s="1146"/>
      <c r="Z90" s="1146"/>
      <c r="AA90" s="1146"/>
      <c r="AB90" s="1146"/>
      <c r="AC90" s="1146"/>
      <c r="AD90" s="1146"/>
      <c r="AE90" s="1090"/>
    </row>
    <row r="91" spans="18:31">
      <c r="R91" s="1090"/>
      <c r="S91" s="1090"/>
      <c r="T91" s="1090"/>
      <c r="U91" s="1146"/>
      <c r="V91" s="1146"/>
      <c r="W91" s="1146"/>
      <c r="X91" s="1146"/>
      <c r="Y91" s="1146"/>
      <c r="Z91" s="1146"/>
      <c r="AA91" s="1146"/>
      <c r="AB91" s="1146"/>
      <c r="AC91" s="1146"/>
      <c r="AD91" s="1146"/>
      <c r="AE91" s="1090"/>
    </row>
    <row r="92" spans="18:31">
      <c r="R92" s="1090"/>
      <c r="S92" s="1090"/>
      <c r="T92" s="1090"/>
      <c r="U92" s="1146"/>
      <c r="V92" s="1146"/>
      <c r="W92" s="1146"/>
      <c r="X92" s="1146"/>
      <c r="Y92" s="1146"/>
      <c r="Z92" s="1146"/>
      <c r="AA92" s="1146"/>
      <c r="AB92" s="1146"/>
      <c r="AC92" s="1146"/>
      <c r="AD92" s="1146"/>
      <c r="AE92" s="1090"/>
    </row>
    <row r="93" spans="18:31">
      <c r="R93" s="1090"/>
      <c r="S93" s="1090"/>
      <c r="T93" s="1090"/>
      <c r="U93" s="1146"/>
      <c r="V93" s="1146"/>
      <c r="W93" s="1146"/>
      <c r="X93" s="1146"/>
      <c r="Y93" s="1146"/>
      <c r="Z93" s="1146"/>
      <c r="AA93" s="1146"/>
      <c r="AB93" s="1146"/>
      <c r="AC93" s="1146"/>
      <c r="AD93" s="1146"/>
      <c r="AE93" s="1090"/>
    </row>
    <row r="94" spans="18:31">
      <c r="R94" s="1090"/>
      <c r="S94" s="1090"/>
      <c r="T94" s="1090"/>
      <c r="U94" s="1146"/>
      <c r="V94" s="1146"/>
      <c r="W94" s="1146"/>
      <c r="X94" s="1146"/>
      <c r="Y94" s="1146"/>
      <c r="Z94" s="1146"/>
      <c r="AA94" s="1146"/>
      <c r="AB94" s="1146"/>
      <c r="AC94" s="1146"/>
      <c r="AD94" s="1146"/>
      <c r="AE94" s="1090"/>
    </row>
    <row r="95" spans="18:31">
      <c r="R95" s="1090"/>
      <c r="S95" s="1090"/>
      <c r="T95" s="1090"/>
      <c r="U95" s="1146"/>
      <c r="V95" s="1146"/>
      <c r="W95" s="1146"/>
      <c r="X95" s="1146"/>
      <c r="Y95" s="1146"/>
      <c r="Z95" s="1146"/>
      <c r="AA95" s="1146"/>
      <c r="AB95" s="1146"/>
      <c r="AC95" s="1146"/>
      <c r="AD95" s="1146"/>
      <c r="AE95" s="1090"/>
    </row>
    <row r="96" spans="18:31">
      <c r="R96" s="1090"/>
      <c r="S96" s="1090"/>
      <c r="T96" s="1090"/>
      <c r="U96" s="1090"/>
      <c r="V96" s="1090"/>
      <c r="W96" s="1090"/>
      <c r="X96" s="1090"/>
      <c r="Y96" s="1090"/>
      <c r="Z96" s="1090"/>
      <c r="AA96" s="1090"/>
      <c r="AB96" s="1090"/>
      <c r="AC96" s="1090"/>
      <c r="AD96" s="1090"/>
      <c r="AE96" s="1090"/>
    </row>
    <row r="97" spans="18:31">
      <c r="R97" s="1090"/>
      <c r="S97" s="1090"/>
      <c r="T97" s="1090"/>
      <c r="U97" s="1090"/>
      <c r="V97" s="1090"/>
      <c r="W97" s="1090"/>
      <c r="X97" s="1090"/>
      <c r="Y97" s="1090"/>
      <c r="Z97" s="1090"/>
      <c r="AA97" s="1090"/>
      <c r="AB97" s="1090"/>
      <c r="AC97" s="1090"/>
      <c r="AD97" s="1090"/>
      <c r="AE97" s="1090"/>
    </row>
    <row r="98" spans="18:31">
      <c r="R98" s="1090"/>
      <c r="S98" s="1090"/>
      <c r="T98" s="1090"/>
      <c r="U98" s="1090"/>
      <c r="V98" s="1090"/>
      <c r="W98" s="1090"/>
      <c r="X98" s="1090"/>
      <c r="Y98" s="1090"/>
      <c r="Z98" s="1090"/>
      <c r="AA98" s="1090"/>
      <c r="AB98" s="1090"/>
      <c r="AC98" s="1090"/>
      <c r="AD98" s="1090"/>
      <c r="AE98" s="1090"/>
    </row>
    <row r="99" spans="18:31">
      <c r="R99" s="1090"/>
      <c r="S99" s="1090"/>
      <c r="T99" s="1090"/>
      <c r="U99" s="1090"/>
      <c r="V99" s="1146"/>
      <c r="W99" s="1090"/>
      <c r="X99" s="1090"/>
      <c r="Y99" s="1090"/>
      <c r="Z99" s="1090"/>
      <c r="AA99" s="1090"/>
      <c r="AB99" s="1090"/>
      <c r="AC99" s="1090"/>
      <c r="AD99" s="1090"/>
      <c r="AE99" s="1090"/>
    </row>
    <row r="100" spans="18:31">
      <c r="R100" s="1090"/>
      <c r="S100" s="1090"/>
      <c r="T100" s="1090"/>
      <c r="U100" s="1090"/>
      <c r="V100" s="1090"/>
      <c r="W100" s="1090"/>
      <c r="X100" s="1090"/>
      <c r="Y100" s="1090"/>
      <c r="Z100" s="1090"/>
      <c r="AA100" s="1090"/>
      <c r="AB100" s="1090"/>
      <c r="AC100" s="1090"/>
      <c r="AD100" s="1090"/>
      <c r="AE100" s="1090"/>
    </row>
    <row r="101" spans="18:31">
      <c r="R101" s="1090"/>
      <c r="S101" s="1090"/>
      <c r="T101" s="1090"/>
      <c r="U101" s="1090"/>
      <c r="V101" s="1090"/>
      <c r="W101" s="1090"/>
      <c r="X101" s="1090"/>
      <c r="Y101" s="1090"/>
      <c r="Z101" s="1090"/>
      <c r="AA101" s="1090"/>
      <c r="AB101" s="1090"/>
      <c r="AC101" s="1090"/>
      <c r="AD101" s="1090"/>
      <c r="AE101" s="1090"/>
    </row>
    <row r="102" spans="18:31">
      <c r="R102" s="1090"/>
      <c r="S102" s="1090"/>
      <c r="T102" s="1090"/>
      <c r="U102" s="1090"/>
      <c r="V102" s="1090"/>
      <c r="W102" s="1090"/>
      <c r="X102" s="1090"/>
      <c r="Y102" s="1090"/>
      <c r="Z102" s="1090"/>
      <c r="AA102" s="1090"/>
      <c r="AB102" s="1090"/>
      <c r="AC102" s="1090"/>
      <c r="AD102" s="1090"/>
      <c r="AE102" s="1090"/>
    </row>
    <row r="103" spans="18:31">
      <c r="R103" s="1090"/>
      <c r="S103" s="1090"/>
      <c r="T103" s="1090"/>
      <c r="U103" s="1090"/>
      <c r="V103" s="1090"/>
      <c r="W103" s="1090"/>
      <c r="X103" s="1090"/>
      <c r="Y103" s="1090"/>
      <c r="Z103" s="1090"/>
      <c r="AA103" s="1090"/>
      <c r="AB103" s="1090"/>
      <c r="AC103" s="1090"/>
      <c r="AD103" s="1090"/>
      <c r="AE103" s="1090"/>
    </row>
    <row r="104" spans="18:31">
      <c r="R104" s="1090"/>
      <c r="S104" s="1090"/>
      <c r="T104" s="1090"/>
      <c r="U104" s="1090"/>
      <c r="V104" s="1090"/>
      <c r="W104" s="1090"/>
      <c r="X104" s="1090"/>
      <c r="Y104" s="1090"/>
      <c r="Z104" s="1090"/>
      <c r="AA104" s="1090"/>
      <c r="AB104" s="1090"/>
      <c r="AC104" s="1090"/>
      <c r="AD104" s="1090"/>
      <c r="AE104" s="1090"/>
    </row>
    <row r="105" spans="18:31">
      <c r="R105" s="1090"/>
      <c r="S105" s="1090"/>
      <c r="T105" s="1090"/>
      <c r="U105" s="1090"/>
      <c r="V105" s="1090"/>
      <c r="W105" s="1090"/>
      <c r="X105" s="1090"/>
      <c r="Y105" s="1090"/>
      <c r="Z105" s="1090"/>
      <c r="AA105" s="1090"/>
      <c r="AB105" s="1090"/>
      <c r="AC105" s="1090"/>
      <c r="AD105" s="1090"/>
      <c r="AE105" s="1090"/>
    </row>
    <row r="106" spans="18:31">
      <c r="R106" s="1090"/>
      <c r="S106" s="1090"/>
      <c r="T106" s="1090"/>
      <c r="U106" s="1090"/>
      <c r="V106" s="1090"/>
      <c r="W106" s="1090"/>
      <c r="X106" s="1090"/>
      <c r="Y106" s="1090"/>
      <c r="Z106" s="1090"/>
      <c r="AA106" s="1090"/>
      <c r="AB106" s="1090"/>
      <c r="AC106" s="1090"/>
      <c r="AD106" s="1090"/>
      <c r="AE106" s="1090"/>
    </row>
    <row r="107" spans="18:31">
      <c r="R107" s="1090"/>
      <c r="S107" s="1090"/>
      <c r="T107" s="1090"/>
      <c r="U107" s="1090"/>
      <c r="V107" s="1090"/>
      <c r="W107" s="1090"/>
      <c r="X107" s="1090"/>
      <c r="Y107" s="1090"/>
      <c r="Z107" s="1090"/>
      <c r="AA107" s="1090"/>
      <c r="AB107" s="1090"/>
      <c r="AC107" s="1090"/>
      <c r="AD107" s="1090"/>
      <c r="AE107" s="1090"/>
    </row>
    <row r="108" spans="18:31">
      <c r="R108" s="1090"/>
      <c r="S108" s="1090"/>
      <c r="T108" s="1090"/>
      <c r="U108" s="1090"/>
      <c r="V108" s="1090"/>
      <c r="W108" s="1090"/>
      <c r="X108" s="1090"/>
      <c r="Y108" s="1090"/>
      <c r="Z108" s="1090"/>
      <c r="AA108" s="1090"/>
      <c r="AB108" s="1090"/>
      <c r="AC108" s="1090"/>
      <c r="AD108" s="1090"/>
      <c r="AE108" s="1090"/>
    </row>
    <row r="109" spans="18:31">
      <c r="R109" s="1090"/>
      <c r="S109" s="1090"/>
      <c r="T109" s="1090"/>
      <c r="U109" s="1090"/>
      <c r="V109" s="1090"/>
      <c r="W109" s="1090"/>
      <c r="X109" s="1090"/>
      <c r="Y109" s="1090"/>
      <c r="Z109" s="1090"/>
      <c r="AA109" s="1090"/>
      <c r="AB109" s="1090"/>
      <c r="AC109" s="1090"/>
      <c r="AD109" s="1090"/>
      <c r="AE109" s="1090"/>
    </row>
    <row r="110" spans="18:31">
      <c r="R110" s="1090"/>
      <c r="S110" s="1090"/>
      <c r="T110" s="1090"/>
      <c r="U110" s="1090"/>
      <c r="V110" s="1090"/>
      <c r="W110" s="1090"/>
      <c r="X110" s="1090"/>
      <c r="Y110" s="1090"/>
      <c r="Z110" s="1090"/>
      <c r="AA110" s="1090"/>
      <c r="AB110" s="1090"/>
      <c r="AC110" s="1090"/>
      <c r="AD110" s="1090"/>
      <c r="AE110" s="1090"/>
    </row>
    <row r="111" spans="18:31">
      <c r="R111" s="1090"/>
      <c r="S111" s="1090"/>
      <c r="T111" s="1090"/>
      <c r="U111" s="1090"/>
      <c r="V111" s="1090"/>
      <c r="W111" s="1090"/>
      <c r="X111" s="1090"/>
      <c r="Y111" s="1090"/>
      <c r="Z111" s="1090"/>
      <c r="AA111" s="1090"/>
      <c r="AB111" s="1090"/>
      <c r="AC111" s="1090"/>
      <c r="AD111" s="1090"/>
      <c r="AE111" s="1090"/>
    </row>
    <row r="112" spans="18:31">
      <c r="R112" s="1090"/>
      <c r="S112" s="1090"/>
      <c r="T112" s="1090"/>
      <c r="U112" s="1090"/>
      <c r="V112" s="1090"/>
      <c r="W112" s="1090"/>
      <c r="X112" s="1090"/>
      <c r="Y112" s="1090"/>
      <c r="Z112" s="1090"/>
      <c r="AA112" s="1090"/>
      <c r="AB112" s="1090"/>
      <c r="AC112" s="1090"/>
      <c r="AD112" s="1090"/>
      <c r="AE112" s="1090"/>
    </row>
    <row r="113" spans="18:31">
      <c r="R113" s="1090"/>
      <c r="S113" s="1090"/>
      <c r="T113" s="1090"/>
      <c r="U113" s="1090"/>
      <c r="V113" s="1090"/>
      <c r="W113" s="1090"/>
      <c r="X113" s="1090"/>
      <c r="Y113" s="1090"/>
      <c r="Z113" s="1090"/>
      <c r="AA113" s="1090"/>
      <c r="AB113" s="1090"/>
      <c r="AC113" s="1090"/>
      <c r="AD113" s="1090"/>
      <c r="AE113" s="1090"/>
    </row>
    <row r="114" spans="18:31">
      <c r="R114" s="1090"/>
      <c r="S114" s="1090"/>
      <c r="T114" s="1090"/>
      <c r="U114" s="1090"/>
      <c r="V114" s="1090"/>
      <c r="W114" s="1090"/>
      <c r="X114" s="1090"/>
      <c r="Y114" s="1090"/>
      <c r="Z114" s="1090"/>
      <c r="AA114" s="1090"/>
      <c r="AB114" s="1090"/>
      <c r="AC114" s="1090"/>
      <c r="AD114" s="1090"/>
      <c r="AE114" s="1090"/>
    </row>
    <row r="115" spans="18:31">
      <c r="R115" s="1090"/>
      <c r="S115" s="1090"/>
      <c r="T115" s="1090"/>
      <c r="U115" s="1090"/>
      <c r="V115" s="1090"/>
      <c r="W115" s="1090"/>
      <c r="X115" s="1090"/>
      <c r="Y115" s="1090"/>
      <c r="Z115" s="1090"/>
      <c r="AA115" s="1090"/>
      <c r="AB115" s="1090"/>
      <c r="AC115" s="1090"/>
      <c r="AD115" s="1090"/>
      <c r="AE115" s="1090"/>
    </row>
    <row r="116" spans="18:31">
      <c r="T116" s="1090"/>
      <c r="U116" s="1090"/>
      <c r="V116" s="1090"/>
      <c r="W116" s="1090"/>
      <c r="X116" s="1090"/>
      <c r="Y116" s="1090"/>
      <c r="Z116" s="1090"/>
    </row>
    <row r="117" spans="18:31">
      <c r="T117" s="1090"/>
      <c r="U117" s="1090"/>
      <c r="V117" s="1090"/>
      <c r="W117" s="1090"/>
      <c r="X117" s="1090"/>
      <c r="Y117" s="1090"/>
      <c r="Z117" s="1090"/>
    </row>
    <row r="118" spans="18:31">
      <c r="T118" s="1090"/>
      <c r="U118" s="1090"/>
      <c r="V118" s="1090"/>
      <c r="W118" s="1090"/>
      <c r="X118" s="1090"/>
      <c r="Y118" s="1090"/>
      <c r="Z118" s="1090"/>
    </row>
    <row r="119" spans="18:31">
      <c r="T119" s="1090"/>
      <c r="U119" s="1090"/>
      <c r="V119" s="1090"/>
      <c r="W119" s="1090"/>
      <c r="X119" s="1090"/>
      <c r="Y119" s="1090"/>
      <c r="Z119" s="1090"/>
    </row>
    <row r="120" spans="18:31">
      <c r="T120" s="1090"/>
      <c r="U120" s="1090"/>
      <c r="V120" s="1090"/>
      <c r="W120" s="1090"/>
      <c r="X120" s="1090"/>
      <c r="Y120" s="1090"/>
      <c r="Z120" s="1090"/>
    </row>
  </sheetData>
  <pageMargins left="0.17" right="0.17" top="0.75" bottom="0.75" header="0.3" footer="0.3"/>
  <pageSetup scale="58" orientation="landscape" r:id="rId1"/>
  <ignoredErrors>
    <ignoredError sqref="I45 I1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L37"/>
  <sheetViews>
    <sheetView workbookViewId="0">
      <pane xSplit="1" ySplit="1" topLeftCell="B2" activePane="bottomRight" state="frozen"/>
      <selection pane="topRight" activeCell="B1" sqref="B1"/>
      <selection pane="bottomLeft" activeCell="A2" sqref="A2"/>
      <selection pane="bottomRight"/>
    </sheetView>
  </sheetViews>
  <sheetFormatPr defaultRowHeight="13.5"/>
  <cols>
    <col min="1" max="1" width="26.0625" customWidth="1"/>
    <col min="3" max="3" width="13.5625" customWidth="1"/>
    <col min="8" max="8" width="17.5625" customWidth="1"/>
    <col min="12" max="12" width="9.0625" bestFit="1" customWidth="1"/>
  </cols>
  <sheetData>
    <row r="1" spans="1:12">
      <c r="A1" s="3" t="s">
        <v>20</v>
      </c>
      <c r="B1" s="7" t="s">
        <v>0</v>
      </c>
      <c r="C1" s="7" t="s">
        <v>16</v>
      </c>
      <c r="D1" s="8" t="s">
        <v>21</v>
      </c>
      <c r="E1" s="8" t="s">
        <v>22</v>
      </c>
      <c r="F1" s="9" t="s">
        <v>23</v>
      </c>
      <c r="H1" s="10" t="s">
        <v>24</v>
      </c>
      <c r="I1" s="4">
        <v>2011</v>
      </c>
      <c r="J1" s="4">
        <v>2012</v>
      </c>
      <c r="K1" s="4">
        <v>2013</v>
      </c>
      <c r="L1" s="11" t="s">
        <v>25</v>
      </c>
    </row>
    <row r="2" spans="1:12">
      <c r="A2" s="5" t="s">
        <v>11</v>
      </c>
      <c r="B2" s="12" t="e">
        <f>#REF!</f>
        <v>#REF!</v>
      </c>
      <c r="C2" s="12" t="e">
        <f>#REF!</f>
        <v>#REF!</v>
      </c>
      <c r="D2" s="12" t="e">
        <f>C2*(1+D3)</f>
        <v>#REF!</v>
      </c>
      <c r="E2" s="12" t="e">
        <f>D2*(1+E3)</f>
        <v>#REF!</v>
      </c>
      <c r="F2" s="13" t="e">
        <f>E2*(1+F3)</f>
        <v>#REF!</v>
      </c>
      <c r="H2" s="5" t="s">
        <v>26</v>
      </c>
      <c r="I2" s="14"/>
      <c r="J2" s="14" t="e">
        <f>#REF!</f>
        <v>#REF!</v>
      </c>
      <c r="K2" s="14" t="e">
        <f>#REF!</f>
        <v>#REF!</v>
      </c>
      <c r="L2" s="15"/>
    </row>
    <row r="3" spans="1:12">
      <c r="A3" s="16" t="s">
        <v>27</v>
      </c>
      <c r="B3" s="17" t="e">
        <f>#REF!</f>
        <v>#REF!</v>
      </c>
      <c r="C3" s="17" t="e">
        <f>C2/B2-1</f>
        <v>#REF!</v>
      </c>
      <c r="D3" s="17">
        <f>B36</f>
        <v>0.2</v>
      </c>
      <c r="E3" s="17">
        <f>D3</f>
        <v>0.2</v>
      </c>
      <c r="F3" s="18">
        <f>E3</f>
        <v>0.2</v>
      </c>
      <c r="H3" s="5" t="s">
        <v>28</v>
      </c>
      <c r="I3" s="14" t="e">
        <f>I11/I10</f>
        <v>#REF!</v>
      </c>
      <c r="J3" s="14" t="e">
        <f>J11/J10</f>
        <v>#REF!</v>
      </c>
      <c r="K3" s="14" t="e">
        <f>K11/K10</f>
        <v>#REF!</v>
      </c>
      <c r="L3" s="15" t="e">
        <f>L11/L10</f>
        <v>#REF!</v>
      </c>
    </row>
    <row r="4" spans="1:12">
      <c r="A4" s="5" t="s">
        <v>29</v>
      </c>
      <c r="B4" s="12" t="e">
        <f>B2*B5</f>
        <v>#REF!</v>
      </c>
      <c r="C4" s="12" t="e">
        <f>C2*C5</f>
        <v>#REF!</v>
      </c>
      <c r="D4" s="12" t="e">
        <f>D2*D5</f>
        <v>#REF!</v>
      </c>
      <c r="E4" s="12" t="e">
        <f>E2*E5</f>
        <v>#REF!</v>
      </c>
      <c r="F4" s="13" t="e">
        <f>F2*F5</f>
        <v>#REF!</v>
      </c>
      <c r="H4" s="5" t="s">
        <v>30</v>
      </c>
      <c r="I4" s="14" t="e">
        <f>I12/I10</f>
        <v>#REF!</v>
      </c>
      <c r="J4" s="14" t="e">
        <f>J12/J10</f>
        <v>#REF!</v>
      </c>
      <c r="K4" s="14" t="e">
        <f>K12/K10</f>
        <v>#REF!</v>
      </c>
      <c r="L4" s="15" t="e">
        <f>L12/L10</f>
        <v>#REF!</v>
      </c>
    </row>
    <row r="5" spans="1:12">
      <c r="A5" s="16" t="s">
        <v>28</v>
      </c>
      <c r="B5" s="17">
        <v>0.1</v>
      </c>
      <c r="C5" s="17">
        <f>B5</f>
        <v>0.1</v>
      </c>
      <c r="D5" s="17">
        <f>C5</f>
        <v>0.1</v>
      </c>
      <c r="E5" s="17">
        <f>D5</f>
        <v>0.1</v>
      </c>
      <c r="F5" s="18">
        <v>0.2</v>
      </c>
      <c r="H5" s="5" t="s">
        <v>31</v>
      </c>
      <c r="I5" s="14" t="e">
        <f>I13/I10</f>
        <v>#REF!</v>
      </c>
      <c r="J5" s="14" t="e">
        <f>J13/J10</f>
        <v>#REF!</v>
      </c>
      <c r="K5" s="14" t="e">
        <f>K13/K10</f>
        <v>#REF!</v>
      </c>
      <c r="L5" s="15" t="e">
        <f>L13/L10</f>
        <v>#REF!</v>
      </c>
    </row>
    <row r="6" spans="1:12">
      <c r="A6" s="5" t="s">
        <v>32</v>
      </c>
      <c r="B6" s="12" t="e">
        <f>B2*B7</f>
        <v>#REF!</v>
      </c>
      <c r="C6" s="12" t="e">
        <f>C2*C7</f>
        <v>#REF!</v>
      </c>
      <c r="D6" s="12" t="e">
        <f>D2*D7</f>
        <v>#REF!</v>
      </c>
      <c r="E6" s="12" t="e">
        <f>E2*E7</f>
        <v>#REF!</v>
      </c>
      <c r="F6" s="13" t="e">
        <f>F2*F7</f>
        <v>#REF!</v>
      </c>
      <c r="H6" s="5" t="s">
        <v>15</v>
      </c>
      <c r="I6" s="14" t="e">
        <f>I14/I10</f>
        <v>#REF!</v>
      </c>
      <c r="J6" s="14" t="e">
        <f>J14/J10</f>
        <v>#REF!</v>
      </c>
      <c r="K6" s="14" t="e">
        <f>K14/K10</f>
        <v>#REF!</v>
      </c>
      <c r="L6" s="15" t="e">
        <f>L14/L10</f>
        <v>#REF!</v>
      </c>
    </row>
    <row r="7" spans="1:12">
      <c r="A7" s="16" t="s">
        <v>33</v>
      </c>
      <c r="B7" s="17">
        <v>0.06</v>
      </c>
      <c r="C7" s="17">
        <v>0.05</v>
      </c>
      <c r="D7" s="17">
        <v>4.2000000000000003E-2</v>
      </c>
      <c r="E7" s="17">
        <v>3.5000000000000003E-2</v>
      </c>
      <c r="F7" s="18">
        <v>0.03</v>
      </c>
      <c r="H7" s="19" t="s">
        <v>13</v>
      </c>
      <c r="I7" s="20" t="e">
        <f>I14/I15</f>
        <v>#REF!</v>
      </c>
      <c r="J7" s="20" t="e">
        <f>J14/J15</f>
        <v>#REF!</v>
      </c>
      <c r="K7" s="20" t="e">
        <f>K14/K15</f>
        <v>#REF!</v>
      </c>
      <c r="L7" s="20" t="e">
        <f>L14/L15</f>
        <v>#REF!</v>
      </c>
    </row>
    <row r="8" spans="1:12">
      <c r="A8" s="5" t="s">
        <v>6</v>
      </c>
      <c r="B8" s="1" t="e">
        <f>B4-B6</f>
        <v>#REF!</v>
      </c>
      <c r="C8" s="1" t="e">
        <f>C4-C6</f>
        <v>#REF!</v>
      </c>
      <c r="D8" s="1" t="e">
        <f>D4-D6</f>
        <v>#REF!</v>
      </c>
      <c r="E8" s="1" t="e">
        <f>E4-E6</f>
        <v>#REF!</v>
      </c>
      <c r="F8" s="21" t="e">
        <f>F4-F6</f>
        <v>#REF!</v>
      </c>
    </row>
    <row r="9" spans="1:12">
      <c r="A9" s="5"/>
      <c r="F9" s="22"/>
      <c r="H9" s="23" t="s">
        <v>34</v>
      </c>
      <c r="I9" s="24">
        <v>2011</v>
      </c>
      <c r="J9" s="24">
        <v>2012</v>
      </c>
      <c r="K9" s="24">
        <v>2013</v>
      </c>
      <c r="L9" s="25" t="s">
        <v>25</v>
      </c>
    </row>
    <row r="10" spans="1:12">
      <c r="A10" s="5" t="s">
        <v>35</v>
      </c>
      <c r="B10">
        <v>1</v>
      </c>
      <c r="C10">
        <v>2</v>
      </c>
      <c r="D10">
        <v>3</v>
      </c>
      <c r="E10">
        <v>4</v>
      </c>
      <c r="F10" s="22">
        <v>5</v>
      </c>
      <c r="H10" s="5" t="s">
        <v>11</v>
      </c>
      <c r="I10" s="26" t="e">
        <f>#REF!</f>
        <v>#REF!</v>
      </c>
      <c r="J10" s="26" t="e">
        <f>#REF!</f>
        <v>#REF!</v>
      </c>
      <c r="K10" s="26" t="e">
        <f>#REF!</f>
        <v>#REF!</v>
      </c>
      <c r="L10" s="27" t="e">
        <f>SUM(I10:K10)</f>
        <v>#REF!</v>
      </c>
    </row>
    <row r="11" spans="1:12">
      <c r="A11" s="5" t="s">
        <v>36</v>
      </c>
      <c r="B11" s="1" t="e">
        <f>B8/((1+$B$37)^B10)</f>
        <v>#REF!</v>
      </c>
      <c r="C11" s="1" t="e">
        <f>C8/((1+$B$37)^C10)</f>
        <v>#REF!</v>
      </c>
      <c r="D11" s="1" t="e">
        <f>D8/((1+$B$37)^D10)</f>
        <v>#REF!</v>
      </c>
      <c r="E11" s="1" t="e">
        <f>E8/((1+$B$37)^E10)</f>
        <v>#REF!</v>
      </c>
      <c r="F11" s="21" t="e">
        <f>F8/((1+$B$37)^F10)</f>
        <v>#REF!</v>
      </c>
      <c r="H11" s="5" t="s">
        <v>29</v>
      </c>
      <c r="I11" s="26" t="e">
        <f>#REF!</f>
        <v>#REF!</v>
      </c>
      <c r="J11" s="26" t="e">
        <f>#REF!</f>
        <v>#REF!</v>
      </c>
      <c r="K11" s="26" t="e">
        <f>#REF!</f>
        <v>#REF!</v>
      </c>
      <c r="L11" s="27" t="e">
        <f>SUM(I11:K11)</f>
        <v>#REF!</v>
      </c>
    </row>
    <row r="12" spans="1:12">
      <c r="A12" s="5"/>
      <c r="B12" s="1"/>
      <c r="C12" s="1"/>
      <c r="D12" s="1"/>
      <c r="E12" s="1"/>
      <c r="F12" s="21"/>
      <c r="H12" s="5" t="s">
        <v>6</v>
      </c>
      <c r="I12" s="26" t="e">
        <f>#REF!</f>
        <v>#REF!</v>
      </c>
      <c r="J12" s="26" t="e">
        <f>#REF!</f>
        <v>#REF!</v>
      </c>
      <c r="K12" s="26" t="e">
        <f>#REF!</f>
        <v>#REF!</v>
      </c>
      <c r="L12" s="27" t="e">
        <f>SUM(I12:K12)</f>
        <v>#REF!</v>
      </c>
    </row>
    <row r="13" spans="1:12">
      <c r="A13" s="5" t="s">
        <v>37</v>
      </c>
      <c r="B13" s="12" t="e">
        <f>#REF!</f>
        <v>#REF!</v>
      </c>
      <c r="C13" s="12" t="e">
        <f>#REF!</f>
        <v>#REF!</v>
      </c>
      <c r="D13" s="12" t="e">
        <f>D14*D2</f>
        <v>#REF!</v>
      </c>
      <c r="E13" s="12" t="e">
        <f>E14*E2</f>
        <v>#REF!</v>
      </c>
      <c r="F13" s="13" t="e">
        <f>F14*F2</f>
        <v>#REF!</v>
      </c>
      <c r="H13" s="5" t="s">
        <v>37</v>
      </c>
      <c r="I13" s="26" t="e">
        <f>#REF!</f>
        <v>#REF!</v>
      </c>
      <c r="J13" s="26" t="e">
        <f>#REF!</f>
        <v>#REF!</v>
      </c>
      <c r="K13" s="26" t="e">
        <f>#REF!</f>
        <v>#REF!</v>
      </c>
      <c r="L13" s="27" t="e">
        <f>SUM(I13:K13)</f>
        <v>#REF!</v>
      </c>
    </row>
    <row r="14" spans="1:12">
      <c r="A14" s="16" t="s">
        <v>38</v>
      </c>
      <c r="B14" s="2" t="e">
        <f>B13/B2</f>
        <v>#REF!</v>
      </c>
      <c r="C14" s="2" t="e">
        <f>C13/C2</f>
        <v>#REF!</v>
      </c>
      <c r="D14" s="17">
        <v>0.05</v>
      </c>
      <c r="E14" s="17">
        <v>0.1</v>
      </c>
      <c r="F14" s="18">
        <v>0.1</v>
      </c>
      <c r="H14" s="5" t="s">
        <v>39</v>
      </c>
      <c r="I14" s="28" t="e">
        <f>#REF!</f>
        <v>#REF!</v>
      </c>
      <c r="J14" s="28" t="e">
        <f>#REF!</f>
        <v>#REF!</v>
      </c>
      <c r="K14" s="28" t="e">
        <f>#REF!</f>
        <v>#REF!</v>
      </c>
      <c r="L14" s="27" t="e">
        <f>SUM(I14:K14)</f>
        <v>#REF!</v>
      </c>
    </row>
    <row r="15" spans="1:12">
      <c r="A15" s="5" t="s">
        <v>39</v>
      </c>
      <c r="B15" s="1" t="e">
        <f>#REF!</f>
        <v>#REF!</v>
      </c>
      <c r="C15" s="1" t="e">
        <f>#REF!</f>
        <v>#REF!</v>
      </c>
      <c r="D15" s="1" t="e">
        <f>D16*D2</f>
        <v>#REF!</v>
      </c>
      <c r="E15" s="1" t="e">
        <f>E16*E2</f>
        <v>#REF!</v>
      </c>
      <c r="F15" s="21" t="e">
        <f>F16*F2</f>
        <v>#REF!</v>
      </c>
      <c r="H15" s="19" t="s">
        <v>40</v>
      </c>
      <c r="I15" s="29" t="e">
        <f>#REF!</f>
        <v>#REF!</v>
      </c>
      <c r="J15" s="29" t="e">
        <f>#REF!</f>
        <v>#REF!</v>
      </c>
      <c r="K15" s="29" t="e">
        <f>#REF!</f>
        <v>#REF!</v>
      </c>
      <c r="L15" s="30" t="e">
        <f>K15</f>
        <v>#REF!</v>
      </c>
    </row>
    <row r="16" spans="1:12">
      <c r="A16" s="16" t="s">
        <v>15</v>
      </c>
      <c r="B16" s="2" t="e">
        <f>B15/B2</f>
        <v>#REF!</v>
      </c>
      <c r="C16" s="2" t="e">
        <f>C15/C2</f>
        <v>#REF!</v>
      </c>
      <c r="D16" s="17">
        <v>0.05</v>
      </c>
      <c r="E16" s="17">
        <v>0.1</v>
      </c>
      <c r="F16" s="18">
        <v>0.1</v>
      </c>
    </row>
    <row r="17" spans="1:8">
      <c r="A17" s="5" t="s">
        <v>13</v>
      </c>
      <c r="B17" s="31" t="e">
        <f>#REF!</f>
        <v>#REF!</v>
      </c>
      <c r="C17" s="31" t="e">
        <f>#REF!</f>
        <v>#REF!</v>
      </c>
      <c r="D17" s="31" t="e">
        <f>D15/D18</f>
        <v>#REF!</v>
      </c>
      <c r="E17" s="31" t="e">
        <f>E15/E18</f>
        <v>#REF!</v>
      </c>
      <c r="F17" s="32" t="e">
        <f>F15/F18</f>
        <v>#REF!</v>
      </c>
    </row>
    <row r="18" spans="1:8">
      <c r="A18" s="19" t="s">
        <v>41</v>
      </c>
      <c r="B18" s="33" t="e">
        <f>#REF!</f>
        <v>#REF!</v>
      </c>
      <c r="C18" s="33" t="e">
        <f>#REF!</f>
        <v>#REF!</v>
      </c>
      <c r="D18" s="33" t="e">
        <f>C18*1.01</f>
        <v>#REF!</v>
      </c>
      <c r="E18" s="33" t="e">
        <f>D18*1.01</f>
        <v>#REF!</v>
      </c>
      <c r="F18" s="34" t="e">
        <f>E18*1.01</f>
        <v>#REF!</v>
      </c>
    </row>
    <row r="19" spans="1:8">
      <c r="B19" s="35"/>
      <c r="C19" s="35"/>
      <c r="D19" s="35"/>
      <c r="E19" s="35"/>
      <c r="F19" s="35"/>
    </row>
    <row r="20" spans="1:8" ht="27">
      <c r="A20" s="36" t="s">
        <v>42</v>
      </c>
      <c r="B20" s="37" t="s">
        <v>43</v>
      </c>
      <c r="C20" s="37" t="s">
        <v>44</v>
      </c>
      <c r="D20" s="38" t="s">
        <v>45</v>
      </c>
    </row>
    <row r="21" spans="1:8">
      <c r="A21" s="5" t="s">
        <v>46</v>
      </c>
      <c r="B21" s="39" t="e">
        <f>SUM(B11:F11)</f>
        <v>#REF!</v>
      </c>
      <c r="C21" s="39" t="e">
        <f>B21</f>
        <v>#REF!</v>
      </c>
      <c r="D21" s="6" t="e">
        <f>C21</f>
        <v>#REF!</v>
      </c>
      <c r="G21" s="50"/>
    </row>
    <row r="22" spans="1:8">
      <c r="A22" s="5" t="s">
        <v>47</v>
      </c>
      <c r="B22" s="39" t="e">
        <f>(B26*F2)/((1+B37)^(F10))</f>
        <v>#REF!</v>
      </c>
      <c r="C22" s="39" t="e">
        <f>(C26*F15)/((1+B37)^F10)</f>
        <v>#REF!</v>
      </c>
      <c r="D22" s="6" t="e">
        <f>(D26*F8)/((1+B37)^F10)</f>
        <v>#REF!</v>
      </c>
      <c r="G22" s="48"/>
    </row>
    <row r="23" spans="1:8">
      <c r="A23" s="5" t="s">
        <v>19</v>
      </c>
      <c r="B23" s="39" t="e">
        <f>#REF!</f>
        <v>#REF!</v>
      </c>
      <c r="C23" s="39" t="e">
        <f>B23</f>
        <v>#REF!</v>
      </c>
      <c r="D23" s="6" t="e">
        <f>B23</f>
        <v>#REF!</v>
      </c>
      <c r="G23" s="49"/>
      <c r="H23" s="52"/>
    </row>
    <row r="24" spans="1:8">
      <c r="A24" s="5" t="s">
        <v>48</v>
      </c>
      <c r="B24" s="39" t="e">
        <f>SUM(B21:B23)</f>
        <v>#REF!</v>
      </c>
      <c r="C24" s="39" t="e">
        <f>SUM(C21:C23)</f>
        <v>#REF!</v>
      </c>
      <c r="D24" s="39" t="e">
        <f>SUM(D21:D23)</f>
        <v>#REF!</v>
      </c>
      <c r="G24" s="48"/>
    </row>
    <row r="25" spans="1:8">
      <c r="A25" s="5" t="s">
        <v>49</v>
      </c>
      <c r="B25" s="40" t="e">
        <f>B24/$B$18</f>
        <v>#REF!</v>
      </c>
      <c r="C25" s="40" t="e">
        <f>C24/$B$18</f>
        <v>#REF!</v>
      </c>
      <c r="D25" s="40" t="e">
        <f>D24/$B$18</f>
        <v>#REF!</v>
      </c>
      <c r="G25" s="49"/>
      <c r="H25" s="52"/>
    </row>
    <row r="26" spans="1:8">
      <c r="A26" s="41" t="s">
        <v>50</v>
      </c>
      <c r="B26" s="42">
        <v>5.8</v>
      </c>
      <c r="C26" s="42">
        <v>58</v>
      </c>
      <c r="D26" s="43">
        <v>35</v>
      </c>
      <c r="G26" s="49"/>
      <c r="H26" s="49"/>
    </row>
    <row r="27" spans="1:8">
      <c r="G27" s="51"/>
    </row>
    <row r="28" spans="1:8">
      <c r="A28" s="36" t="s">
        <v>51</v>
      </c>
      <c r="B28" s="37" t="s">
        <v>43</v>
      </c>
      <c r="C28" s="37" t="s">
        <v>44</v>
      </c>
      <c r="D28" s="38" t="s">
        <v>45</v>
      </c>
    </row>
    <row r="29" spans="1:8">
      <c r="A29" s="5" t="s">
        <v>46</v>
      </c>
      <c r="B29" s="44" t="e">
        <f>B21</f>
        <v>#REF!</v>
      </c>
      <c r="C29" s="44" t="e">
        <f>B29</f>
        <v>#REF!</v>
      </c>
      <c r="D29" s="45" t="e">
        <f>C29</f>
        <v>#REF!</v>
      </c>
      <c r="G29" s="48"/>
    </row>
    <row r="30" spans="1:8">
      <c r="A30" s="5" t="s">
        <v>52</v>
      </c>
      <c r="B30" s="44" t="e">
        <f>B34*F2</f>
        <v>#REF!</v>
      </c>
      <c r="C30" s="44" t="e">
        <f>C34*F15</f>
        <v>#REF!</v>
      </c>
      <c r="D30" s="45" t="e">
        <f>D34*F8</f>
        <v>#REF!</v>
      </c>
    </row>
    <row r="31" spans="1:8">
      <c r="A31" s="5" t="s">
        <v>19</v>
      </c>
      <c r="B31" s="39" t="e">
        <f>B23</f>
        <v>#REF!</v>
      </c>
      <c r="C31" s="39" t="e">
        <f>B31</f>
        <v>#REF!</v>
      </c>
      <c r="D31" s="6" t="e">
        <f>C31</f>
        <v>#REF!</v>
      </c>
    </row>
    <row r="32" spans="1:8">
      <c r="A32" s="5" t="s">
        <v>53</v>
      </c>
      <c r="B32" s="39" t="e">
        <f>SUM(B29:B31)</f>
        <v>#REF!</v>
      </c>
      <c r="C32" s="39" t="e">
        <f>SUM(C29:C31)</f>
        <v>#REF!</v>
      </c>
      <c r="D32" s="39" t="e">
        <f>SUM(D29:D31)</f>
        <v>#REF!</v>
      </c>
    </row>
    <row r="33" spans="1:4">
      <c r="A33" s="5" t="s">
        <v>49</v>
      </c>
      <c r="B33" s="40" t="e">
        <f>B32/$B$18</f>
        <v>#REF!</v>
      </c>
      <c r="C33" s="40" t="e">
        <f>C32/$B$18</f>
        <v>#REF!</v>
      </c>
      <c r="D33" s="40" t="e">
        <f>D32/$B$18</f>
        <v>#REF!</v>
      </c>
    </row>
    <row r="34" spans="1:4">
      <c r="A34" s="41" t="s">
        <v>50</v>
      </c>
      <c r="B34" s="42">
        <v>3.4</v>
      </c>
      <c r="C34" s="42">
        <v>34</v>
      </c>
      <c r="D34" s="43">
        <v>20</v>
      </c>
    </row>
    <row r="36" spans="1:4">
      <c r="A36" s="46" t="s">
        <v>54</v>
      </c>
      <c r="B36" s="47">
        <v>0.2</v>
      </c>
    </row>
    <row r="37" spans="1:4">
      <c r="A37" s="46" t="s">
        <v>55</v>
      </c>
      <c r="B37" s="47">
        <v>0.12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1:AZ68"/>
  <sheetViews>
    <sheetView tabSelected="1" zoomScaleNormal="100" workbookViewId="0">
      <pane xSplit="2" ySplit="4" topLeftCell="AK5" activePane="bottomRight" state="frozen"/>
      <selection activeCell="B4" sqref="B4:BV87"/>
      <selection pane="topRight" activeCell="B4" sqref="B4:BV87"/>
      <selection pane="bottomLeft" activeCell="B4" sqref="B4:BV87"/>
      <selection pane="bottomRight" activeCell="AR21" sqref="AR21"/>
    </sheetView>
  </sheetViews>
  <sheetFormatPr defaultColWidth="9" defaultRowHeight="12.75" outlineLevelRow="1" outlineLevelCol="1"/>
  <cols>
    <col min="1" max="1" width="1.5625" style="277" customWidth="1"/>
    <col min="2" max="2" width="47.0625" style="991" customWidth="1"/>
    <col min="3" max="6" width="9.5625" style="277" hidden="1" customWidth="1" outlineLevel="1"/>
    <col min="7" max="7" width="9.0625" style="277" customWidth="1" collapsed="1"/>
    <col min="8" max="11" width="9.0625" style="277" hidden="1" customWidth="1" outlineLevel="1"/>
    <col min="12" max="12" width="9.0625" style="277" customWidth="1" collapsed="1"/>
    <col min="13" max="16" width="9.0625" style="277" hidden="1" customWidth="1" outlineLevel="1"/>
    <col min="17" max="17" width="9.0625" style="277" customWidth="1" collapsed="1"/>
    <col min="18" max="21" width="9.0625" style="277" customWidth="1" outlineLevel="1"/>
    <col min="22" max="22" width="9.75" style="277" bestFit="1" customWidth="1"/>
    <col min="23" max="26" width="11.3125" style="277" customWidth="1" outlineLevel="1"/>
    <col min="27" max="27" width="11.3125" style="277" customWidth="1"/>
    <col min="28" max="30" width="11.3125" style="277" customWidth="1" outlineLevel="1"/>
    <col min="31" max="31" width="11.25" style="277" customWidth="1" outlineLevel="1"/>
    <col min="32" max="32" width="9.75" style="277" bestFit="1" customWidth="1"/>
    <col min="33" max="33" width="9.3125" style="277" bestFit="1" customWidth="1" outlineLevel="1"/>
    <col min="34" max="34" width="9.75" style="277" bestFit="1" customWidth="1" outlineLevel="1"/>
    <col min="35" max="36" width="9.3125" style="277" bestFit="1" customWidth="1" outlineLevel="1"/>
    <col min="37" max="37" width="9.75" style="277" bestFit="1" customWidth="1"/>
    <col min="38" max="38" width="9.3125" style="277" bestFit="1" customWidth="1" outlineLevel="1"/>
    <col min="39" max="39" width="10.8125" style="277" bestFit="1" customWidth="1" outlineLevel="1"/>
    <col min="40" max="41" width="9.3125" style="277" bestFit="1" customWidth="1" outlineLevel="1"/>
    <col min="42" max="52" width="9.0625" style="277" customWidth="1"/>
    <col min="53" max="16384" width="9" style="277"/>
  </cols>
  <sheetData>
    <row r="1" spans="2:52" ht="10.050000000000001" customHeight="1" outlineLevel="1">
      <c r="B1" s="277"/>
    </row>
    <row r="2" spans="2:52" ht="15">
      <c r="B2" s="985" t="str">
        <f>Comparison!B2</f>
        <v>DocuSign, Inc (DOCU)</v>
      </c>
    </row>
    <row r="3" spans="2:52" ht="5.55" customHeight="1" thickBot="1">
      <c r="B3" s="277"/>
    </row>
    <row r="4" spans="2:52" ht="15" customHeight="1" thickBot="1">
      <c r="B4" s="1180" t="s">
        <v>552</v>
      </c>
      <c r="C4" s="1181" t="s">
        <v>186</v>
      </c>
      <c r="D4" s="1181" t="s">
        <v>187</v>
      </c>
      <c r="E4" s="1181" t="s">
        <v>189</v>
      </c>
      <c r="F4" s="1181" t="s">
        <v>207</v>
      </c>
      <c r="G4" s="1182" t="str">
        <f>IS!AH4</f>
        <v>FY18</v>
      </c>
      <c r="H4" s="1181" t="str">
        <f>IS!AI4</f>
        <v>1Q19</v>
      </c>
      <c r="I4" s="1181" t="str">
        <f>IS!AJ4</f>
        <v>2Q19</v>
      </c>
      <c r="J4" s="1181" t="str">
        <f>IS!AK4</f>
        <v>3Q19</v>
      </c>
      <c r="K4" s="1181" t="str">
        <f>IS!AL4</f>
        <v>4Q19</v>
      </c>
      <c r="L4" s="1182" t="str">
        <f>IS!AM4</f>
        <v>FY19</v>
      </c>
      <c r="M4" s="1181" t="str">
        <f>IS!AN4</f>
        <v>1Q20</v>
      </c>
      <c r="N4" s="1181" t="str">
        <f>IS!AO4</f>
        <v>2Q20</v>
      </c>
      <c r="O4" s="1181" t="str">
        <f>IS!AP4</f>
        <v>3Q20</v>
      </c>
      <c r="P4" s="1181" t="str">
        <f>IS!AQ4</f>
        <v>4Q20</v>
      </c>
      <c r="Q4" s="1182" t="str">
        <f>IS!AR4</f>
        <v>FY20</v>
      </c>
      <c r="R4" s="1181" t="str">
        <f>IS!AS4</f>
        <v>1Q21</v>
      </c>
      <c r="S4" s="1181" t="str">
        <f>IS!AT4</f>
        <v>2Q21</v>
      </c>
      <c r="T4" s="1181" t="str">
        <f>IS!AU4</f>
        <v>3Q21</v>
      </c>
      <c r="U4" s="1181" t="str">
        <f>IS!AV4</f>
        <v>4Q21</v>
      </c>
      <c r="V4" s="1182" t="str">
        <f>IS!AW4</f>
        <v>FY21</v>
      </c>
      <c r="W4" s="1181" t="str">
        <f>IS!AX4</f>
        <v>1Q22</v>
      </c>
      <c r="X4" s="1181" t="str">
        <f>IS!AY4</f>
        <v>2Q22</v>
      </c>
      <c r="Y4" s="1181" t="str">
        <f>IS!AZ4</f>
        <v>3Q22</v>
      </c>
      <c r="Z4" s="1181" t="str">
        <f>IS!BA4</f>
        <v>4Q22</v>
      </c>
      <c r="AA4" s="1182" t="str">
        <f>IS!BB4</f>
        <v>FY22</v>
      </c>
      <c r="AB4" s="1181" t="str">
        <f>IS!BC4</f>
        <v>1Q23</v>
      </c>
      <c r="AC4" s="1181" t="str">
        <f>IS!BD4</f>
        <v>2Q23</v>
      </c>
      <c r="AD4" s="1181" t="str">
        <f>IS!BE4</f>
        <v>3Q23</v>
      </c>
      <c r="AE4" s="1181" t="str">
        <f>IS!BF4</f>
        <v>4Q23</v>
      </c>
      <c r="AF4" s="1182" t="str">
        <f>IS!BG4</f>
        <v>FY23</v>
      </c>
      <c r="AG4" s="1181" t="str">
        <f>IS!BH4</f>
        <v>1Q24</v>
      </c>
      <c r="AH4" s="1181" t="str">
        <f>IS!BI4</f>
        <v>2Q24</v>
      </c>
      <c r="AI4" s="1181" t="str">
        <f>IS!BJ4</f>
        <v>3Q24</v>
      </c>
      <c r="AJ4" s="1181" t="str">
        <f>IS!BK4</f>
        <v>4Q24</v>
      </c>
      <c r="AK4" s="1182" t="str">
        <f>IS!BL4</f>
        <v>FY24</v>
      </c>
      <c r="AL4" s="1181" t="str">
        <f>IS!BM4</f>
        <v>1Q25</v>
      </c>
      <c r="AM4" s="1181" t="str">
        <f>IS!BN4</f>
        <v>2Q25</v>
      </c>
      <c r="AN4" s="1181" t="str">
        <f>IS!BO4</f>
        <v>3Q25</v>
      </c>
      <c r="AO4" s="1181" t="str">
        <f>IS!BP4</f>
        <v>4Q25</v>
      </c>
      <c r="AP4" s="1182" t="str">
        <f>IS!BQ4</f>
        <v>FY25</v>
      </c>
      <c r="AQ4" s="1181" t="str">
        <f>IS!BR4</f>
        <v>1Q26</v>
      </c>
      <c r="AR4" s="1181" t="str">
        <f>IS!BS4</f>
        <v>2Q26</v>
      </c>
      <c r="AS4" s="1181" t="str">
        <f>IS!BT4</f>
        <v>3Q26</v>
      </c>
      <c r="AT4" s="1181" t="str">
        <f>IS!BU4</f>
        <v>4Q26E</v>
      </c>
      <c r="AU4" s="1182" t="str">
        <f>IS!BV4</f>
        <v>FY26E</v>
      </c>
      <c r="AV4" s="1181" t="str">
        <f>IS!BW4</f>
        <v>1Q27E</v>
      </c>
      <c r="AW4" s="1181" t="str">
        <f>IS!BX4</f>
        <v>2Q27E</v>
      </c>
      <c r="AX4" s="1181" t="str">
        <f>IS!BY4</f>
        <v>3Q27E</v>
      </c>
      <c r="AY4" s="1181" t="str">
        <f>IS!BZ4</f>
        <v>4Q27E</v>
      </c>
      <c r="AZ4" s="1182" t="str">
        <f>IS!CA4</f>
        <v>FY27E</v>
      </c>
    </row>
    <row r="5" spans="2:52" s="306" customFormat="1" ht="20.25" customHeight="1">
      <c r="B5" s="1008" t="s">
        <v>219</v>
      </c>
      <c r="C5" s="280">
        <v>315000</v>
      </c>
      <c r="D5" s="280">
        <v>335000</v>
      </c>
      <c r="E5" s="280">
        <v>354000</v>
      </c>
      <c r="F5" s="280">
        <v>373000</v>
      </c>
      <c r="G5" s="1211">
        <f>F5</f>
        <v>373000</v>
      </c>
      <c r="H5" s="280">
        <v>405000</v>
      </c>
      <c r="I5" s="280">
        <v>429000</v>
      </c>
      <c r="J5" s="280">
        <v>454000</v>
      </c>
      <c r="K5" s="280">
        <v>477000</v>
      </c>
      <c r="L5" s="1211">
        <f>K5</f>
        <v>477000</v>
      </c>
      <c r="M5" s="280">
        <v>508000</v>
      </c>
      <c r="N5" s="280">
        <v>537000</v>
      </c>
      <c r="O5" s="280">
        <v>562000</v>
      </c>
      <c r="P5" s="280">
        <v>589000</v>
      </c>
      <c r="Q5" s="1211">
        <f>P5</f>
        <v>589000</v>
      </c>
      <c r="R5" s="280">
        <v>661000</v>
      </c>
      <c r="S5" s="280">
        <v>749000</v>
      </c>
      <c r="T5" s="280">
        <v>822000</v>
      </c>
      <c r="U5" s="280">
        <v>892000</v>
      </c>
      <c r="V5" s="1211">
        <f>U5</f>
        <v>892000</v>
      </c>
      <c r="W5" s="280">
        <v>988000</v>
      </c>
      <c r="X5" s="280">
        <v>1053000</v>
      </c>
      <c r="Y5" s="280">
        <f>+X5+59000</f>
        <v>1112000</v>
      </c>
      <c r="Z5" s="1213">
        <v>1170000</v>
      </c>
      <c r="AA5" s="1212"/>
      <c r="AB5" s="1213">
        <v>1240000</v>
      </c>
      <c r="AC5" s="1213">
        <v>1280000</v>
      </c>
      <c r="AD5" s="280">
        <v>1320000</v>
      </c>
      <c r="AE5" s="280">
        <v>1360000</v>
      </c>
      <c r="AF5" s="1212"/>
      <c r="AG5" s="280">
        <v>1400000</v>
      </c>
      <c r="AH5" s="280">
        <v>1440000</v>
      </c>
      <c r="AI5" s="280">
        <v>1470000</v>
      </c>
      <c r="AJ5" s="280">
        <v>1510000</v>
      </c>
      <c r="AK5" s="1212"/>
      <c r="AL5" s="280">
        <v>1560000</v>
      </c>
      <c r="AM5" s="280">
        <v>1600000</v>
      </c>
      <c r="AN5" s="280">
        <v>1630000</v>
      </c>
      <c r="AO5" s="280">
        <v>1660000</v>
      </c>
      <c r="AP5" s="1212"/>
      <c r="AQ5" s="1236">
        <v>1710000</v>
      </c>
      <c r="AR5" s="1236">
        <v>1740000</v>
      </c>
      <c r="AS5" s="1236">
        <v>1780000</v>
      </c>
      <c r="AT5" s="1236"/>
      <c r="AU5" s="1212"/>
      <c r="AV5" s="1236"/>
      <c r="AW5" s="1236"/>
      <c r="AX5" s="1236"/>
      <c r="AY5" s="1236"/>
      <c r="AZ5" s="1212"/>
    </row>
    <row r="6" spans="2:52" s="1000" customFormat="1" ht="12" customHeight="1">
      <c r="B6" s="1009" t="s">
        <v>167</v>
      </c>
      <c r="C6" s="998"/>
      <c r="D6" s="998"/>
      <c r="E6" s="998"/>
      <c r="F6" s="998"/>
      <c r="G6" s="1020"/>
      <c r="H6" s="998">
        <f t="shared" ref="H6:V6" si="0">H5/C5-1</f>
        <v>0.28571428571428581</v>
      </c>
      <c r="I6" s="998">
        <f t="shared" si="0"/>
        <v>0.28059701492537314</v>
      </c>
      <c r="J6" s="998">
        <f t="shared" si="0"/>
        <v>0.28248587570621475</v>
      </c>
      <c r="K6" s="998">
        <f t="shared" si="0"/>
        <v>0.27882037533512061</v>
      </c>
      <c r="L6" s="1020">
        <f t="shared" si="0"/>
        <v>0.27882037533512061</v>
      </c>
      <c r="M6" s="998">
        <f t="shared" si="0"/>
        <v>0.2543209876543211</v>
      </c>
      <c r="N6" s="998">
        <f t="shared" si="0"/>
        <v>0.25174825174825166</v>
      </c>
      <c r="O6" s="998">
        <f t="shared" si="0"/>
        <v>0.23788546255506615</v>
      </c>
      <c r="P6" s="998">
        <f t="shared" si="0"/>
        <v>0.23480083857442358</v>
      </c>
      <c r="Q6" s="1020">
        <f t="shared" si="0"/>
        <v>0.23480083857442358</v>
      </c>
      <c r="R6" s="998">
        <f t="shared" si="0"/>
        <v>0.30118110236220463</v>
      </c>
      <c r="S6" s="998">
        <f t="shared" si="0"/>
        <v>0.39478584729981381</v>
      </c>
      <c r="T6" s="998">
        <f t="shared" si="0"/>
        <v>0.46263345195729544</v>
      </c>
      <c r="U6" s="998">
        <f t="shared" si="0"/>
        <v>0.51443123938879465</v>
      </c>
      <c r="V6" s="1020">
        <f t="shared" si="0"/>
        <v>0.51443123938879465</v>
      </c>
      <c r="W6" s="1028">
        <f>IF(AND(ISNUMBER(W5), ISNUMBER(R5)), W5/R5-1, "-")</f>
        <v>0.49470499243570343</v>
      </c>
      <c r="X6" s="1028">
        <f>IF(AND(ISNUMBER(X5), ISNUMBER(S5)), X5/S5-1, "-")</f>
        <v>0.40587449933244324</v>
      </c>
      <c r="Y6" s="1028">
        <f>IF(AND(ISNUMBER(Y5), ISNUMBER(T5)), Y5/T5-1, "-")</f>
        <v>0.35279805352798044</v>
      </c>
      <c r="Z6" s="1028">
        <f>IF(AND(ISNUMBER(Z5), ISNUMBER(U5)), Z5/U5-1, "-")</f>
        <v>0.31165919282511201</v>
      </c>
      <c r="AA6" s="1020"/>
      <c r="AB6" s="1028">
        <f>IF(AND(ISNUMBER(AB5), ISNUMBER(W5)), AB5/W5-1, "-")</f>
        <v>0.25506072874493935</v>
      </c>
      <c r="AC6" s="1028">
        <f>IF(AND(ISNUMBER(AC5), ISNUMBER(X5)), AC5/X5-1, "-")</f>
        <v>0.21557454890788219</v>
      </c>
      <c r="AD6" s="1028">
        <f>IF(AND(ISNUMBER(AD5), ISNUMBER(Y5)), AD5/Y5-1, "-")</f>
        <v>0.18705035971223016</v>
      </c>
      <c r="AE6" s="1028">
        <f>IF(AND(ISNUMBER(AE5), ISNUMBER(Z5)), AE5/Z5-1, "-")</f>
        <v>0.16239316239316248</v>
      </c>
      <c r="AF6" s="1020"/>
      <c r="AG6" s="1028">
        <f>IF(AND(ISNUMBER(AG5), ISNUMBER(AB5)), AG5/AB5-1, "-")</f>
        <v>0.12903225806451624</v>
      </c>
      <c r="AH6" s="1028">
        <f>IF(AND(ISNUMBER(AH5), ISNUMBER(AC5)), AH5/AC5-1, "-")</f>
        <v>0.125</v>
      </c>
      <c r="AI6" s="1028">
        <f>IF(AND(ISNUMBER(AI5), ISNUMBER(AD5)), AI5/AD5-1, "-")</f>
        <v>0.11363636363636354</v>
      </c>
      <c r="AJ6" s="1028">
        <f>IF(AND(ISNUMBER(AJ5), ISNUMBER(AE5)), AJ5/AE5-1, "-")</f>
        <v>0.11029411764705888</v>
      </c>
      <c r="AK6" s="1020"/>
      <c r="AL6" s="1028">
        <f>IF(AND(ISNUMBER(AL5), ISNUMBER(AG5)), AL5/AG5-1, "-")</f>
        <v>0.11428571428571432</v>
      </c>
      <c r="AM6" s="1028">
        <f>IF(AND(ISNUMBER(AM5), ISNUMBER(AH5)), AM5/AH5-1, "-")</f>
        <v>0.11111111111111116</v>
      </c>
      <c r="AN6" s="1028">
        <f>IF(AND(ISNUMBER(AN5), ISNUMBER(AI5)), AN5/AI5-1, "-")</f>
        <v>0.10884353741496589</v>
      </c>
      <c r="AO6" s="1028">
        <f>IF(AND(ISNUMBER(AO5), ISNUMBER(AJ5)), AO5/AJ5-1, "-")</f>
        <v>9.9337748344370924E-2</v>
      </c>
      <c r="AP6" s="1020"/>
      <c r="AQ6" s="1028">
        <f>IF(AND(ISNUMBER(AQ5), ISNUMBER(AL5)), AQ5/AL5-1, "-")</f>
        <v>9.6153846153846256E-2</v>
      </c>
      <c r="AR6" s="1028">
        <f>IF(AND(ISNUMBER(AR5), ISNUMBER(AM5)), AR5/AM5-1, "-")</f>
        <v>8.7499999999999911E-2</v>
      </c>
      <c r="AS6" s="1028">
        <f>IF(AND(ISNUMBER(AS5), ISNUMBER(AN5)), AS5/AN5-1, "-")</f>
        <v>9.2024539877300526E-2</v>
      </c>
      <c r="AT6" s="1028" t="str">
        <f>IF(AND(ISNUMBER(AT5), ISNUMBER(AO5)), AT5/AO5-1, "-")</f>
        <v>-</v>
      </c>
      <c r="AU6" s="1020"/>
      <c r="AV6" s="1028" t="str">
        <f>IF(AND(ISNUMBER(AV5), ISNUMBER(AQ5)), AV5/AQ5-1, "-")</f>
        <v>-</v>
      </c>
      <c r="AW6" s="1028" t="str">
        <f>IF(AND(ISNUMBER(AW5), ISNUMBER(AR5)), AW5/AR5-1, "-")</f>
        <v>-</v>
      </c>
      <c r="AX6" s="1028" t="str">
        <f>IF(AND(ISNUMBER(AX5), ISNUMBER(AS5)), AX5/AS5-1, "-")</f>
        <v>-</v>
      </c>
      <c r="AY6" s="1028" t="str">
        <f>IF(AND(ISNUMBER(AY5), ISNUMBER(AT5)), AY5/AT5-1, "-")</f>
        <v>-</v>
      </c>
      <c r="AZ6" s="1020"/>
    </row>
    <row r="7" spans="2:52" s="999" customFormat="1" ht="12" customHeight="1">
      <c r="B7" s="1009" t="s">
        <v>168</v>
      </c>
      <c r="C7" s="998"/>
      <c r="D7" s="998">
        <f>D5/C5-1</f>
        <v>6.3492063492063489E-2</v>
      </c>
      <c r="E7" s="998">
        <f>E5/D5-1</f>
        <v>5.6716417910447792E-2</v>
      </c>
      <c r="F7" s="998">
        <f>F5/E5-1</f>
        <v>5.3672316384180796E-2</v>
      </c>
      <c r="G7" s="1020"/>
      <c r="H7" s="998">
        <f>H5/F5-1</f>
        <v>8.5790884718498717E-2</v>
      </c>
      <c r="I7" s="998">
        <f>I5/H5-1</f>
        <v>5.9259259259259345E-2</v>
      </c>
      <c r="J7" s="998">
        <f>J5/I5-1</f>
        <v>5.8275058275058189E-2</v>
      </c>
      <c r="K7" s="998">
        <f>K5/J5-1</f>
        <v>5.0660792951541911E-2</v>
      </c>
      <c r="L7" s="1020"/>
      <c r="M7" s="998">
        <f>M5/K5-1</f>
        <v>6.4989517819706411E-2</v>
      </c>
      <c r="N7" s="998">
        <f>N5/M5-1</f>
        <v>5.7086614173228245E-2</v>
      </c>
      <c r="O7" s="998">
        <f>O5/N5-1</f>
        <v>4.6554934823091143E-2</v>
      </c>
      <c r="P7" s="998">
        <f>P5/O5-1</f>
        <v>4.8042704626334531E-2</v>
      </c>
      <c r="Q7" s="1020"/>
      <c r="R7" s="998">
        <f>R5/P5-1</f>
        <v>0.12224108658743638</v>
      </c>
      <c r="S7" s="998">
        <f>S5/R5-1</f>
        <v>0.13313161875945534</v>
      </c>
      <c r="T7" s="998">
        <f>T5/S5-1</f>
        <v>9.7463284379172288E-2</v>
      </c>
      <c r="U7" s="998">
        <f>U5/T5-1</f>
        <v>8.5158150851581516E-2</v>
      </c>
      <c r="V7" s="1020"/>
      <c r="W7" s="1028">
        <f>IF(AND(ISNUMBER(W5), ISNUMBER(U5)), W5/U5-1, "-")</f>
        <v>0.10762331838565031</v>
      </c>
      <c r="X7" s="1028">
        <f>IF(AND(ISNUMBER(X5), ISNUMBER(W5)), X5/W5-1, "-")</f>
        <v>6.578947368421062E-2</v>
      </c>
      <c r="Y7" s="1028">
        <f>IF(AND(ISNUMBER(Y5), ISNUMBER(X5)), Y5/X5-1, "-")</f>
        <v>5.6030389363722621E-2</v>
      </c>
      <c r="Z7" s="1028">
        <f>IF(AND(ISNUMBER(Z5), ISNUMBER(Y5)), Z5/Y5-1, "-")</f>
        <v>5.2158273381294862E-2</v>
      </c>
      <c r="AA7" s="1020"/>
      <c r="AB7" s="1028">
        <f>IF(AND(ISNUMBER(AB5), ISNUMBER(Z5)), AB5/Z5-1, "-")</f>
        <v>5.9829059829059839E-2</v>
      </c>
      <c r="AC7" s="1028">
        <f>IF(AND(ISNUMBER(AC5), ISNUMBER(AB5)), AC5/AB5-1, "-")</f>
        <v>3.2258064516129004E-2</v>
      </c>
      <c r="AD7" s="1028">
        <f>IF(AND(ISNUMBER(AD5), ISNUMBER(AC5)), AD5/AC5-1, "-")</f>
        <v>3.125E-2</v>
      </c>
      <c r="AE7" s="1028">
        <f>IF(AND(ISNUMBER(AE5), ISNUMBER(AD5)), AE5/AD5-1, "-")</f>
        <v>3.0303030303030276E-2</v>
      </c>
      <c r="AF7" s="1020"/>
      <c r="AG7" s="1028">
        <f>IF(AND(ISNUMBER(AG5), ISNUMBER(AE5)), AG5/AE5-1, "-")</f>
        <v>2.9411764705882248E-2</v>
      </c>
      <c r="AH7" s="1028">
        <f>IF(AND(ISNUMBER(AH5), ISNUMBER(AG5)), AH5/AG5-1, "-")</f>
        <v>2.857142857142847E-2</v>
      </c>
      <c r="AI7" s="1028">
        <f>IF(AND(ISNUMBER(AI5), ISNUMBER(AH5)), AI5/AH5-1, "-")</f>
        <v>2.0833333333333259E-2</v>
      </c>
      <c r="AJ7" s="1028">
        <f>IF(AND(ISNUMBER(AJ5), ISNUMBER(AI5)), AJ5/AI5-1, "-")</f>
        <v>2.7210884353741527E-2</v>
      </c>
      <c r="AK7" s="1020"/>
      <c r="AL7" s="1028">
        <f>IF(AND(ISNUMBER(AL5), ISNUMBER(AJ5)), AL5/AJ5-1, "-")</f>
        <v>3.3112582781456901E-2</v>
      </c>
      <c r="AM7" s="1028">
        <f>IF(AND(ISNUMBER(AM5), ISNUMBER(AL5)), AM5/AL5-1, "-")</f>
        <v>2.564102564102555E-2</v>
      </c>
      <c r="AN7" s="1028">
        <f>IF(AND(ISNUMBER(AN5), ISNUMBER(AM5)), AN5/AM5-1, "-")</f>
        <v>1.8750000000000044E-2</v>
      </c>
      <c r="AO7" s="1028">
        <f>IF(AND(ISNUMBER(AO5), ISNUMBER(AN5)), AO5/AN5-1, "-")</f>
        <v>1.8404907975460016E-2</v>
      </c>
      <c r="AP7" s="1020"/>
      <c r="AQ7" s="1028">
        <f>IF(AND(ISNUMBER(AQ5), ISNUMBER(AO5)), AQ5/AO5-1, "-")</f>
        <v>3.0120481927710774E-2</v>
      </c>
      <c r="AR7" s="1028">
        <f>IF(AND(ISNUMBER(AR5), ISNUMBER(AQ5)), AR5/AQ5-1, "-")</f>
        <v>1.7543859649122862E-2</v>
      </c>
      <c r="AS7" s="1028">
        <f>IF(AND(ISNUMBER(AS5), ISNUMBER(AR5)), AS5/AR5-1, "-")</f>
        <v>2.2988505747126409E-2</v>
      </c>
      <c r="AT7" s="1028" t="str">
        <f>IF(AND(ISNUMBER(AT5), ISNUMBER(AS5)), AT5/AS5-1, "-")</f>
        <v>-</v>
      </c>
      <c r="AU7" s="1020"/>
      <c r="AV7" s="1028" t="str">
        <f>IF(AND(ISNUMBER(AV5), ISNUMBER(AT5)), AV5/AT5-1, "-")</f>
        <v>-</v>
      </c>
      <c r="AW7" s="1028" t="str">
        <f>IF(AND(ISNUMBER(AW5), ISNUMBER(AV5)), AW5/AV5-1, "-")</f>
        <v>-</v>
      </c>
      <c r="AX7" s="1028" t="str">
        <f>IF(AND(ISNUMBER(AX5), ISNUMBER(AW5)), AX5/AW5-1, "-")</f>
        <v>-</v>
      </c>
      <c r="AY7" s="1028" t="str">
        <f>IF(AND(ISNUMBER(AY5), ISNUMBER(AX5)), AY5/AX5-1, "-")</f>
        <v>-</v>
      </c>
      <c r="AZ7" s="1020"/>
    </row>
    <row r="8" spans="2:52" s="280" customFormat="1" ht="18" customHeight="1">
      <c r="B8" s="1010" t="s">
        <v>562</v>
      </c>
      <c r="D8" s="280">
        <f>D5-C5</f>
        <v>20000</v>
      </c>
      <c r="E8" s="280">
        <f>E5-D5</f>
        <v>19000</v>
      </c>
      <c r="F8" s="280">
        <f>F5-E5</f>
        <v>19000</v>
      </c>
      <c r="G8" s="1214"/>
      <c r="H8" s="280">
        <f>H5-F5</f>
        <v>32000</v>
      </c>
      <c r="I8" s="280">
        <f>I5-H5</f>
        <v>24000</v>
      </c>
      <c r="J8" s="280">
        <f>J5-I5</f>
        <v>25000</v>
      </c>
      <c r="K8" s="280">
        <f>K5-J5</f>
        <v>23000</v>
      </c>
      <c r="L8" s="1211">
        <f>SUM(H8:K8)</f>
        <v>104000</v>
      </c>
      <c r="M8" s="280">
        <f>M5-K5</f>
        <v>31000</v>
      </c>
      <c r="N8" s="280">
        <f>N5-M5</f>
        <v>29000</v>
      </c>
      <c r="O8" s="280">
        <f>O5-N5</f>
        <v>25000</v>
      </c>
      <c r="P8" s="280">
        <f>P5-O5</f>
        <v>27000</v>
      </c>
      <c r="Q8" s="1211">
        <f>SUM(M8:P8)</f>
        <v>112000</v>
      </c>
      <c r="R8" s="280">
        <f>R5-P5</f>
        <v>72000</v>
      </c>
      <c r="S8" s="280">
        <f>S5-R5</f>
        <v>88000</v>
      </c>
      <c r="T8" s="280">
        <f>T5-S5</f>
        <v>73000</v>
      </c>
      <c r="U8" s="280">
        <f>U5-T5</f>
        <v>70000</v>
      </c>
      <c r="V8" s="1211">
        <f>SUM(R8:U8)</f>
        <v>303000</v>
      </c>
      <c r="W8" s="280">
        <f>W5-U5</f>
        <v>96000</v>
      </c>
      <c r="X8" s="280">
        <f>X5-W5</f>
        <v>65000</v>
      </c>
      <c r="Y8" s="280">
        <f>Y5-X5</f>
        <v>59000</v>
      </c>
      <c r="Z8" s="280">
        <f>IF(AND(ISNUMBER(Z5), ISNUMBER(Y5)), Z5-Y5, "-")</f>
        <v>58000</v>
      </c>
      <c r="AA8" s="1214"/>
      <c r="AB8" s="280">
        <f>IF(AND(ISNUMBER(AB5), ISNUMBER(Z5)), AB5-Z5, "-")</f>
        <v>70000</v>
      </c>
      <c r="AC8" s="1213">
        <f>AC5-AB5</f>
        <v>40000</v>
      </c>
      <c r="AD8" s="1213">
        <f>AD5-AC5</f>
        <v>40000</v>
      </c>
      <c r="AE8" s="280">
        <f>IF(AND(ISNUMBER(AE5), ISNUMBER(AD5)), AE5-AD5, "-")</f>
        <v>40000</v>
      </c>
      <c r="AF8" s="1214"/>
      <c r="AG8" s="280">
        <f>IF(AND(ISNUMBER(AG5), ISNUMBER(AE5)), AG5-AE5, "-")</f>
        <v>40000</v>
      </c>
      <c r="AH8" s="280">
        <f>IF(AND(ISNUMBER(AH5), ISNUMBER(AG5)), AH5-AG5, "-")</f>
        <v>40000</v>
      </c>
      <c r="AI8" s="280">
        <f>IF(AND(ISNUMBER(AI5), ISNUMBER(AH5)), AI5-AH5, "-")</f>
        <v>30000</v>
      </c>
      <c r="AJ8" s="280">
        <f>IF(AND(ISNUMBER(AJ5), ISNUMBER(AI5)), AJ5-AI5, "-")</f>
        <v>40000</v>
      </c>
      <c r="AK8" s="1214"/>
      <c r="AL8" s="280">
        <f>IF(AND(ISNUMBER(AL5), ISNUMBER(AJ5)), AL5-AJ5, "-")</f>
        <v>50000</v>
      </c>
      <c r="AM8" s="280">
        <f>IF(AND(ISNUMBER(AM5), ISNUMBER(AL5)), AM5-AL5, "-")</f>
        <v>40000</v>
      </c>
      <c r="AN8" s="280">
        <f>IF(AND(ISNUMBER(AN5), ISNUMBER(AM5)), AN5-AM5, "-")</f>
        <v>30000</v>
      </c>
      <c r="AO8" s="280">
        <f>IF(AND(ISNUMBER(AO5), ISNUMBER(AN5)), AO5-AN5, "-")</f>
        <v>30000</v>
      </c>
      <c r="AP8" s="1214"/>
      <c r="AQ8" s="1236">
        <f>IF(AND(ISNUMBER(AQ5), ISNUMBER(AO5)), AQ5-AO5, "-")</f>
        <v>50000</v>
      </c>
      <c r="AR8" s="1236">
        <f>IF(AND(ISNUMBER(AR5), ISNUMBER(AQ5)), AR5-AQ5, "-")</f>
        <v>30000</v>
      </c>
      <c r="AS8" s="1236">
        <f>IF(AND(ISNUMBER(AS5), ISNUMBER(AR5)), AS5-AR5, "-")</f>
        <v>40000</v>
      </c>
      <c r="AT8" s="1236" t="str">
        <f>IF(AND(ISNUMBER(AT5), ISNUMBER(AS5)), AT5-AS5, "-")</f>
        <v>-</v>
      </c>
      <c r="AU8" s="1214"/>
      <c r="AV8" s="1236" t="str">
        <f>IF(AND(ISNUMBER(AV5), ISNUMBER(AT5)), AV5-AT5, "-")</f>
        <v>-</v>
      </c>
      <c r="AW8" s="1236" t="str">
        <f>IF(AND(ISNUMBER(AW5), ISNUMBER(AV5)), AW5-AV5, "-")</f>
        <v>-</v>
      </c>
      <c r="AX8" s="1236" t="str">
        <f>IF(AND(ISNUMBER(AX5), ISNUMBER(AW5)), AX5-AW5, "-")</f>
        <v>-</v>
      </c>
      <c r="AY8" s="1236" t="str">
        <f>IF(AND(ISNUMBER(AY5), ISNUMBER(AX5)), AY5-AX5, "-")</f>
        <v>-</v>
      </c>
      <c r="AZ8" s="1214"/>
    </row>
    <row r="9" spans="2:52" s="999" customFormat="1" ht="12" customHeight="1">
      <c r="B9" s="1009" t="s">
        <v>555</v>
      </c>
      <c r="G9" s="1020"/>
      <c r="H9" s="1001"/>
      <c r="I9" s="1001">
        <f>I8/D8-1</f>
        <v>0.19999999999999996</v>
      </c>
      <c r="J9" s="1001">
        <f>J8/E8-1</f>
        <v>0.31578947368421062</v>
      </c>
      <c r="K9" s="1001">
        <f>K8/F8-1</f>
        <v>0.21052631578947367</v>
      </c>
      <c r="L9" s="1020"/>
      <c r="M9" s="1001">
        <f t="shared" ref="M9:X9" si="1">M8/H8-1</f>
        <v>-3.125E-2</v>
      </c>
      <c r="N9" s="1001">
        <f t="shared" si="1"/>
        <v>0.20833333333333326</v>
      </c>
      <c r="O9" s="1001">
        <f t="shared" si="1"/>
        <v>0</v>
      </c>
      <c r="P9" s="1001">
        <f t="shared" si="1"/>
        <v>0.17391304347826098</v>
      </c>
      <c r="Q9" s="1020">
        <f t="shared" si="1"/>
        <v>7.6923076923076872E-2</v>
      </c>
      <c r="R9" s="1001">
        <f t="shared" si="1"/>
        <v>1.3225806451612905</v>
      </c>
      <c r="S9" s="1001">
        <f t="shared" si="1"/>
        <v>2.0344827586206895</v>
      </c>
      <c r="T9" s="1001">
        <f t="shared" si="1"/>
        <v>1.92</v>
      </c>
      <c r="U9" s="1001">
        <f t="shared" si="1"/>
        <v>1.5925925925925926</v>
      </c>
      <c r="V9" s="1020">
        <f t="shared" si="1"/>
        <v>1.7053571428571428</v>
      </c>
      <c r="W9" s="1001">
        <f t="shared" si="1"/>
        <v>0.33333333333333326</v>
      </c>
      <c r="X9" s="1001">
        <f t="shared" si="1"/>
        <v>-0.26136363636363635</v>
      </c>
      <c r="Y9" s="1028">
        <f>IF(AND(ISNUMBER(Y8), ISNUMBER(T8)), Y8/T8-1, "-")</f>
        <v>-0.19178082191780821</v>
      </c>
      <c r="Z9" s="1028">
        <f>IF(AND(ISNUMBER(Z8), ISNUMBER(U8)), Z8/U8-1, "-")</f>
        <v>-0.17142857142857137</v>
      </c>
      <c r="AA9" s="1020"/>
      <c r="AB9" s="1028">
        <f>IF(AND(ISNUMBER(AB8), ISNUMBER(W8)), AB8/W8-1, "-")</f>
        <v>-0.27083333333333337</v>
      </c>
      <c r="AC9" s="1028">
        <f>IF(AND(ISNUMBER(AC8), ISNUMBER(X8)), AC8/X8-1, "-")</f>
        <v>-0.38461538461538458</v>
      </c>
      <c r="AD9" s="1028">
        <f>IF(AND(ISNUMBER(AD8), ISNUMBER(Y8)), AD8/Y8-1, "-")</f>
        <v>-0.32203389830508478</v>
      </c>
      <c r="AE9" s="1028">
        <f>IF(AND(ISNUMBER(AE8), ISNUMBER(Z8)), AE8/Z8-1, "-")</f>
        <v>-0.31034482758620685</v>
      </c>
      <c r="AF9" s="1020"/>
      <c r="AG9" s="1028">
        <f>IF(AND(ISNUMBER(AG8), ISNUMBER(AB8)), AG8/AB8-1, "-")</f>
        <v>-0.4285714285714286</v>
      </c>
      <c r="AH9" s="1028">
        <f>IF(AND(ISNUMBER(AH8), ISNUMBER(AC8)), AH8/AC8-1, "-")</f>
        <v>0</v>
      </c>
      <c r="AI9" s="1028">
        <f>IF(AND(ISNUMBER(AI8), ISNUMBER(AD8)), AI8/AD8-1, "-")</f>
        <v>-0.25</v>
      </c>
      <c r="AJ9" s="1028">
        <f>IF(AND(ISNUMBER(AJ8), ISNUMBER(AE8)), AJ8/AE8-1, "-")</f>
        <v>0</v>
      </c>
      <c r="AK9" s="1020"/>
      <c r="AL9" s="1028">
        <f>IF(AND(ISNUMBER(AL8), ISNUMBER(AG8)), AL8/AG8-1, "-")</f>
        <v>0.25</v>
      </c>
      <c r="AM9" s="1028">
        <f>IF(AND(ISNUMBER(AM8), ISNUMBER(AH8)), AM8/AH8-1, "-")</f>
        <v>0</v>
      </c>
      <c r="AN9" s="1028">
        <f>IF(AND(ISNUMBER(AN8), ISNUMBER(AI8)), AN8/AI8-1, "-")</f>
        <v>0</v>
      </c>
      <c r="AO9" s="1028">
        <f>IF(AND(ISNUMBER(AO8), ISNUMBER(AJ8)), AO8/AJ8-1, "-")</f>
        <v>-0.25</v>
      </c>
      <c r="AP9" s="1020"/>
      <c r="AQ9" s="1028">
        <f>IF(AND(ISNUMBER(AQ8), ISNUMBER(AL8)), AQ8/AL8-1, "-")</f>
        <v>0</v>
      </c>
      <c r="AR9" s="1028">
        <f>IF(AND(ISNUMBER(AR8), ISNUMBER(AM8)), AR8/AM8-1, "-")</f>
        <v>-0.25</v>
      </c>
      <c r="AS9" s="1028">
        <f>IF(AND(ISNUMBER(AS8), ISNUMBER(AN8)), AS8/AN8-1, "-")</f>
        <v>0.33333333333333326</v>
      </c>
      <c r="AT9" s="1028" t="str">
        <f>IF(AND(ISNUMBER(AT8), ISNUMBER(AO8)), AT8/AO8-1, "-")</f>
        <v>-</v>
      </c>
      <c r="AU9" s="1020"/>
      <c r="AV9" s="1028" t="str">
        <f>IF(AND(ISNUMBER(AV8), ISNUMBER(AQ8)), AV8/AQ8-1, "-")</f>
        <v>-</v>
      </c>
      <c r="AW9" s="1028" t="str">
        <f>IF(AND(ISNUMBER(AW8), ISNUMBER(AR8)), AW8/AR8-1, "-")</f>
        <v>-</v>
      </c>
      <c r="AX9" s="1028" t="str">
        <f>IF(AND(ISNUMBER(AX8), ISNUMBER(AS8)), AX8/AS8-1, "-")</f>
        <v>-</v>
      </c>
      <c r="AY9" s="1028" t="str">
        <f>IF(AND(ISNUMBER(AY8), ISNUMBER(AT8)), AY8/AT8-1, "-")</f>
        <v>-</v>
      </c>
      <c r="AZ9" s="1020"/>
    </row>
    <row r="10" spans="2:52" ht="14.25" customHeight="1">
      <c r="B10" s="1011"/>
      <c r="G10" s="279"/>
      <c r="L10" s="279"/>
      <c r="Q10" s="279"/>
      <c r="V10" s="279"/>
      <c r="AA10" s="279"/>
      <c r="AF10" s="279"/>
      <c r="AK10" s="279"/>
      <c r="AP10" s="279"/>
      <c r="AQ10" s="788"/>
      <c r="AR10" s="788"/>
      <c r="AS10" s="788"/>
      <c r="AT10" s="788"/>
      <c r="AU10" s="279"/>
      <c r="AV10" s="788"/>
      <c r="AW10" s="788"/>
      <c r="AX10" s="788"/>
      <c r="AY10" s="788"/>
      <c r="AZ10" s="279"/>
    </row>
    <row r="11" spans="2:52" s="306" customFormat="1" ht="14.25" customHeight="1">
      <c r="B11" s="1012" t="s">
        <v>553</v>
      </c>
      <c r="C11" s="280">
        <v>33000</v>
      </c>
      <c r="D11" s="280">
        <v>36000</v>
      </c>
      <c r="E11" s="280">
        <v>39000</v>
      </c>
      <c r="F11" s="280">
        <v>42000</v>
      </c>
      <c r="G11" s="281">
        <f>F11</f>
        <v>42000</v>
      </c>
      <c r="H11" s="280">
        <v>45000</v>
      </c>
      <c r="I11" s="280">
        <v>49000</v>
      </c>
      <c r="J11" s="280">
        <v>53000</v>
      </c>
      <c r="K11" s="280">
        <v>56000</v>
      </c>
      <c r="L11" s="281">
        <f>K11</f>
        <v>56000</v>
      </c>
      <c r="M11" s="280">
        <v>60000</v>
      </c>
      <c r="N11" s="280">
        <v>64000</v>
      </c>
      <c r="O11" s="280">
        <v>69000</v>
      </c>
      <c r="P11" s="280">
        <v>75000</v>
      </c>
      <c r="Q11" s="281">
        <f>P11</f>
        <v>75000</v>
      </c>
      <c r="R11" s="280">
        <v>89000</v>
      </c>
      <c r="S11" s="280">
        <v>99000</v>
      </c>
      <c r="T11" s="280">
        <v>113000</v>
      </c>
      <c r="U11" s="280">
        <v>125000</v>
      </c>
      <c r="V11" s="281">
        <f>U11</f>
        <v>125000</v>
      </c>
      <c r="W11" s="280">
        <v>136000</v>
      </c>
      <c r="X11" s="280">
        <v>148000</v>
      </c>
      <c r="Y11" s="280">
        <v>160000</v>
      </c>
      <c r="Z11" s="1213">
        <v>170000</v>
      </c>
      <c r="AA11" s="1215"/>
      <c r="AB11" s="1213">
        <v>182000</v>
      </c>
      <c r="AC11" s="1213">
        <v>191000</v>
      </c>
      <c r="AD11" s="280">
        <v>202000</v>
      </c>
      <c r="AE11" s="280">
        <v>211000</v>
      </c>
      <c r="AF11" s="281"/>
      <c r="AG11" s="280">
        <v>220000</v>
      </c>
      <c r="AH11" s="280">
        <v>226000</v>
      </c>
      <c r="AI11" s="280">
        <v>233000</v>
      </c>
      <c r="AJ11" s="280">
        <v>242000</v>
      </c>
      <c r="AK11" s="281"/>
      <c r="AL11" s="280">
        <v>248000</v>
      </c>
      <c r="AM11" s="280">
        <v>253000</v>
      </c>
      <c r="AN11" s="280">
        <v>256000</v>
      </c>
      <c r="AO11" s="280">
        <v>260000</v>
      </c>
      <c r="AP11" s="281"/>
      <c r="AQ11" s="1236">
        <v>268000</v>
      </c>
      <c r="AR11" s="1236">
        <v>271000</v>
      </c>
      <c r="AS11" s="1236">
        <v>276000</v>
      </c>
      <c r="AT11" s="1236"/>
      <c r="AU11" s="281"/>
      <c r="AV11" s="1236"/>
      <c r="AW11" s="1236"/>
      <c r="AX11" s="1236"/>
      <c r="AY11" s="1236"/>
      <c r="AZ11" s="281"/>
    </row>
    <row r="12" spans="2:52" s="1000" customFormat="1" ht="12" customHeight="1">
      <c r="B12" s="1009" t="s">
        <v>167</v>
      </c>
      <c r="C12" s="999"/>
      <c r="D12" s="999"/>
      <c r="E12" s="999"/>
      <c r="F12" s="999"/>
      <c r="G12" s="1021"/>
      <c r="H12" s="1002">
        <f t="shared" ref="H12:X12" si="2">H11/C11-1</f>
        <v>0.36363636363636354</v>
      </c>
      <c r="I12" s="1002">
        <f t="shared" si="2"/>
        <v>0.36111111111111116</v>
      </c>
      <c r="J12" s="1002">
        <f t="shared" si="2"/>
        <v>0.35897435897435903</v>
      </c>
      <c r="K12" s="1002">
        <f t="shared" si="2"/>
        <v>0.33333333333333326</v>
      </c>
      <c r="L12" s="1020">
        <f t="shared" si="2"/>
        <v>0.33333333333333326</v>
      </c>
      <c r="M12" s="1002">
        <f t="shared" si="2"/>
        <v>0.33333333333333326</v>
      </c>
      <c r="N12" s="1002">
        <f t="shared" si="2"/>
        <v>0.30612244897959173</v>
      </c>
      <c r="O12" s="1002">
        <f t="shared" si="2"/>
        <v>0.30188679245283012</v>
      </c>
      <c r="P12" s="1002">
        <f t="shared" si="2"/>
        <v>0.33928571428571419</v>
      </c>
      <c r="Q12" s="1020">
        <f t="shared" si="2"/>
        <v>0.33928571428571419</v>
      </c>
      <c r="R12" s="1002">
        <f t="shared" si="2"/>
        <v>0.48333333333333339</v>
      </c>
      <c r="S12" s="1002">
        <f t="shared" si="2"/>
        <v>0.546875</v>
      </c>
      <c r="T12" s="1002">
        <f t="shared" si="2"/>
        <v>0.6376811594202898</v>
      </c>
      <c r="U12" s="1002">
        <f t="shared" si="2"/>
        <v>0.66666666666666674</v>
      </c>
      <c r="V12" s="1020">
        <f t="shared" si="2"/>
        <v>0.66666666666666674</v>
      </c>
      <c r="W12" s="1002">
        <f t="shared" si="2"/>
        <v>0.5280898876404494</v>
      </c>
      <c r="X12" s="1002">
        <f t="shared" si="2"/>
        <v>0.49494949494949503</v>
      </c>
      <c r="Y12" s="1028">
        <f>IF(AND(ISNUMBER(Y11), ISNUMBER(T11)), Y11/T11-1, "-")</f>
        <v>0.41592920353982299</v>
      </c>
      <c r="Z12" s="1028">
        <f>IF(AND(ISNUMBER(Z11), ISNUMBER(U11)), Z11/U11-1, "-")</f>
        <v>0.3600000000000001</v>
      </c>
      <c r="AA12" s="1020"/>
      <c r="AB12" s="1028">
        <f>IF(AND(ISNUMBER(AB11), ISNUMBER(W11)), AB11/W11-1, "-")</f>
        <v>0.33823529411764697</v>
      </c>
      <c r="AC12" s="1002">
        <f>AC11/X11-1</f>
        <v>0.29054054054054057</v>
      </c>
      <c r="AD12" s="1028">
        <f>IF(AND(ISNUMBER(AD11), ISNUMBER(Y11)), AD11/Y11-1, "-")</f>
        <v>0.26249999999999996</v>
      </c>
      <c r="AE12" s="1028">
        <f>IF(AND(ISNUMBER(AE11), ISNUMBER(Z11)), AE11/Z11-1, "-")</f>
        <v>0.24117647058823533</v>
      </c>
      <c r="AF12" s="1022"/>
      <c r="AG12" s="1028">
        <f>IF(AND(ISNUMBER(AG11), ISNUMBER(AB11)), AG11/AB11-1, "-")</f>
        <v>0.20879120879120872</v>
      </c>
      <c r="AH12" s="1028">
        <f>IF(AND(ISNUMBER(AH11), ISNUMBER(AC11)), AH11/AC11-1, "-")</f>
        <v>0.18324607329842935</v>
      </c>
      <c r="AI12" s="1028">
        <f>IF(AND(ISNUMBER(AI11), ISNUMBER(AD11)), AI11/AD11-1, "-")</f>
        <v>0.15346534653465338</v>
      </c>
      <c r="AJ12" s="1028">
        <f>IF(AND(ISNUMBER(AJ11), ISNUMBER(AE11)), AJ11/AE11-1, "-")</f>
        <v>0.14691943127962093</v>
      </c>
      <c r="AK12" s="1022"/>
      <c r="AL12" s="1028">
        <f>IF(AND(ISNUMBER(AL11), ISNUMBER(AG11)), AL11/AG11-1, "-")</f>
        <v>0.1272727272727272</v>
      </c>
      <c r="AM12" s="1028">
        <f>IF(AND(ISNUMBER(AM11), ISNUMBER(AH11)), AM11/AH11-1, "-")</f>
        <v>0.11946902654867264</v>
      </c>
      <c r="AN12" s="1028">
        <f>IF(AND(ISNUMBER(AN11), ISNUMBER(AI11)), AN11/AI11-1, "-")</f>
        <v>9.8712446351931327E-2</v>
      </c>
      <c r="AO12" s="1028">
        <f>IF(AND(ISNUMBER(AO11), ISNUMBER(AJ11)), AO11/AJ11-1, "-")</f>
        <v>7.4380165289256173E-2</v>
      </c>
      <c r="AP12" s="1022"/>
      <c r="AQ12" s="1028">
        <f>IF(AND(ISNUMBER(AQ11), ISNUMBER(AL11)), AQ11/AL11-1, "-")</f>
        <v>8.0645161290322509E-2</v>
      </c>
      <c r="AR12" s="1028">
        <f>IF(AND(ISNUMBER(AR11), ISNUMBER(AM11)), AR11/AM11-1, "-")</f>
        <v>7.1146245059288571E-2</v>
      </c>
      <c r="AS12" s="1028">
        <f>IF(AND(ISNUMBER(AS11), ISNUMBER(AN11)), AS11/AN11-1, "-")</f>
        <v>7.8125E-2</v>
      </c>
      <c r="AT12" s="1028" t="str">
        <f>IF(AND(ISNUMBER(AT11), ISNUMBER(AO11)), AT11/AO11-1, "-")</f>
        <v>-</v>
      </c>
      <c r="AU12" s="1022"/>
      <c r="AV12" s="1028" t="str">
        <f>IF(AND(ISNUMBER(AV11), ISNUMBER(AQ11)), AV11/AQ11-1, "-")</f>
        <v>-</v>
      </c>
      <c r="AW12" s="1028" t="str">
        <f>IF(AND(ISNUMBER(AW11), ISNUMBER(AR11)), AW11/AR11-1, "-")</f>
        <v>-</v>
      </c>
      <c r="AX12" s="1028" t="str">
        <f>IF(AND(ISNUMBER(AX11), ISNUMBER(AS11)), AX11/AS11-1, "-")</f>
        <v>-</v>
      </c>
      <c r="AY12" s="1028" t="str">
        <f>IF(AND(ISNUMBER(AY11), ISNUMBER(AT11)), AY11/AT11-1, "-")</f>
        <v>-</v>
      </c>
      <c r="AZ12" s="1022"/>
    </row>
    <row r="13" spans="2:52" s="1000" customFormat="1" ht="12" customHeight="1">
      <c r="B13" s="1009" t="s">
        <v>168</v>
      </c>
      <c r="C13" s="998"/>
      <c r="D13" s="998">
        <f>D11/C11-1</f>
        <v>9.0909090909090828E-2</v>
      </c>
      <c r="E13" s="998">
        <f>E11/D11-1</f>
        <v>8.3333333333333259E-2</v>
      </c>
      <c r="F13" s="998">
        <f>F11/E11-1</f>
        <v>7.6923076923076872E-2</v>
      </c>
      <c r="G13" s="1020"/>
      <c r="H13" s="998">
        <f>H11/F11-1</f>
        <v>7.1428571428571397E-2</v>
      </c>
      <c r="I13" s="998">
        <f>I11/H11-1</f>
        <v>8.8888888888888795E-2</v>
      </c>
      <c r="J13" s="998">
        <f>J11/I11-1</f>
        <v>8.163265306122458E-2</v>
      </c>
      <c r="K13" s="998">
        <f>K11/J11-1</f>
        <v>5.6603773584905648E-2</v>
      </c>
      <c r="L13" s="1020"/>
      <c r="M13" s="998">
        <f>M11/K11-1</f>
        <v>7.1428571428571397E-2</v>
      </c>
      <c r="N13" s="998">
        <f>N11/M11-1</f>
        <v>6.6666666666666652E-2</v>
      </c>
      <c r="O13" s="998">
        <f>O11/N11-1</f>
        <v>7.8125E-2</v>
      </c>
      <c r="P13" s="998">
        <f>P11/O11-1</f>
        <v>8.6956521739130377E-2</v>
      </c>
      <c r="Q13" s="1020"/>
      <c r="R13" s="998">
        <f>R11/P11-1</f>
        <v>0.18666666666666676</v>
      </c>
      <c r="S13" s="998">
        <f>S11/R11-1</f>
        <v>0.11235955056179781</v>
      </c>
      <c r="T13" s="998">
        <f>T11/S11-1</f>
        <v>0.14141414141414144</v>
      </c>
      <c r="U13" s="998">
        <f>U11/T11-1</f>
        <v>0.10619469026548667</v>
      </c>
      <c r="V13" s="1020"/>
      <c r="W13" s="998">
        <f>W11/U11-1</f>
        <v>8.8000000000000078E-2</v>
      </c>
      <c r="X13" s="998">
        <f>X11/W11-1</f>
        <v>8.8235294117646967E-2</v>
      </c>
      <c r="Y13" s="1028">
        <f>IF(AND(ISNUMBER(Y11), ISNUMBER(X11)), Y11/X11-1, "-")</f>
        <v>8.1081081081081141E-2</v>
      </c>
      <c r="Z13" s="1028">
        <f>IF(AND(ISNUMBER(Z11), ISNUMBER(Y11)), Z11/Y11-1, "-")</f>
        <v>6.25E-2</v>
      </c>
      <c r="AA13" s="1020"/>
      <c r="AB13" s="1028">
        <f>IF(AND(ISNUMBER(AB11), ISNUMBER(Z11)), AB11/Z11-1, "-")</f>
        <v>7.0588235294117618E-2</v>
      </c>
      <c r="AC13" s="998">
        <f>AC11/AB11-1</f>
        <v>4.9450549450549497E-2</v>
      </c>
      <c r="AD13" s="1028">
        <f>IF(AND(ISNUMBER(AD11), ISNUMBER(AC11)), AD11/AC11-1, "-")</f>
        <v>5.7591623036649109E-2</v>
      </c>
      <c r="AE13" s="1028">
        <f>IF(AND(ISNUMBER(AE11), ISNUMBER(AD11)), AE11/AD11-1, "-")</f>
        <v>4.4554455445544594E-2</v>
      </c>
      <c r="AF13" s="1022"/>
      <c r="AG13" s="1028">
        <f>IF(AND(ISNUMBER(AG11), ISNUMBER(AE11)), AG11/AE11-1, "-")</f>
        <v>4.2654028436019065E-2</v>
      </c>
      <c r="AH13" s="1028">
        <f>IF(AND(ISNUMBER(AH11), ISNUMBER(AG11)), AH11/AG11-1, "-")</f>
        <v>2.7272727272727337E-2</v>
      </c>
      <c r="AI13" s="1028">
        <f>IF(AND(ISNUMBER(AI11), ISNUMBER(AH11)), AI11/AH11-1, "-")</f>
        <v>3.0973451327433565E-2</v>
      </c>
      <c r="AJ13" s="1028">
        <f>IF(AND(ISNUMBER(AJ11), ISNUMBER(AI11)), AJ11/AI11-1, "-")</f>
        <v>3.8626609442059978E-2</v>
      </c>
      <c r="AK13" s="1022"/>
      <c r="AL13" s="1028">
        <f>IF(AND(ISNUMBER(AL11), ISNUMBER(AJ11)), AL11/AJ11-1, "-")</f>
        <v>2.4793388429751984E-2</v>
      </c>
      <c r="AM13" s="1028">
        <f>IF(AND(ISNUMBER(AM11), ISNUMBER(AL11)), AM11/AL11-1, "-")</f>
        <v>2.0161290322580738E-2</v>
      </c>
      <c r="AN13" s="1028">
        <f>IF(AND(ISNUMBER(AN11), ISNUMBER(AM11)), AN11/AM11-1, "-")</f>
        <v>1.1857707509881354E-2</v>
      </c>
      <c r="AO13" s="1028">
        <f>IF(AND(ISNUMBER(AO11), ISNUMBER(AN11)), AO11/AN11-1, "-")</f>
        <v>1.5625E-2</v>
      </c>
      <c r="AP13" s="1022"/>
      <c r="AQ13" s="1028">
        <f>IF(AND(ISNUMBER(AQ11), ISNUMBER(AO11)), AQ11/AO11-1, "-")</f>
        <v>3.076923076923066E-2</v>
      </c>
      <c r="AR13" s="1028">
        <f>IF(AND(ISNUMBER(AR11), ISNUMBER(AQ11)), AR11/AQ11-1, "-")</f>
        <v>1.1194029850746245E-2</v>
      </c>
      <c r="AS13" s="1028">
        <f>IF(AND(ISNUMBER(AS11), ISNUMBER(AR11)), AS11/AR11-1, "-")</f>
        <v>1.8450184501844991E-2</v>
      </c>
      <c r="AT13" s="1028" t="str">
        <f>IF(AND(ISNUMBER(AT11), ISNUMBER(AS11)), AT11/AS11-1, "-")</f>
        <v>-</v>
      </c>
      <c r="AU13" s="1022"/>
      <c r="AV13" s="1028" t="str">
        <f>IF(AND(ISNUMBER(AV11), ISNUMBER(AT11)), AV11/AT11-1, "-")</f>
        <v>-</v>
      </c>
      <c r="AW13" s="1028" t="str">
        <f>IF(AND(ISNUMBER(AW11), ISNUMBER(AV11)), AW11/AV11-1, "-")</f>
        <v>-</v>
      </c>
      <c r="AX13" s="1028" t="str">
        <f>IF(AND(ISNUMBER(AX11), ISNUMBER(AW11)), AX11/AW11-1, "-")</f>
        <v>-</v>
      </c>
      <c r="AY13" s="1028" t="str">
        <f>IF(AND(ISNUMBER(AY11), ISNUMBER(AX11)), AY11/AX11-1, "-")</f>
        <v>-</v>
      </c>
      <c r="AZ13" s="1022"/>
    </row>
    <row r="14" spans="2:52" s="1000" customFormat="1" ht="12" customHeight="1">
      <c r="B14" s="1009" t="s">
        <v>554</v>
      </c>
      <c r="C14" s="998">
        <f>C11/C5</f>
        <v>0.10476190476190476</v>
      </c>
      <c r="D14" s="998">
        <f>D11/D5</f>
        <v>0.10746268656716418</v>
      </c>
      <c r="E14" s="998">
        <f>E11/E5</f>
        <v>0.11016949152542373</v>
      </c>
      <c r="F14" s="998">
        <f>F11/F5</f>
        <v>0.1126005361930295</v>
      </c>
      <c r="G14" s="1020"/>
      <c r="H14" s="998">
        <f t="shared" ref="H14:X14" si="3">H11/H5</f>
        <v>0.1111111111111111</v>
      </c>
      <c r="I14" s="998">
        <f t="shared" si="3"/>
        <v>0.11421911421911422</v>
      </c>
      <c r="J14" s="998">
        <f t="shared" si="3"/>
        <v>0.11674008810572688</v>
      </c>
      <c r="K14" s="998">
        <f t="shared" si="3"/>
        <v>0.11740041928721175</v>
      </c>
      <c r="L14" s="1020">
        <f t="shared" si="3"/>
        <v>0.11740041928721175</v>
      </c>
      <c r="M14" s="998">
        <f t="shared" si="3"/>
        <v>0.11811023622047244</v>
      </c>
      <c r="N14" s="998">
        <f t="shared" si="3"/>
        <v>0.11918063314711359</v>
      </c>
      <c r="O14" s="998">
        <f t="shared" si="3"/>
        <v>0.12277580071174377</v>
      </c>
      <c r="P14" s="998">
        <f t="shared" si="3"/>
        <v>0.12733446519524619</v>
      </c>
      <c r="Q14" s="1020">
        <f t="shared" si="3"/>
        <v>0.12733446519524619</v>
      </c>
      <c r="R14" s="998">
        <f t="shared" si="3"/>
        <v>0.1346444780635401</v>
      </c>
      <c r="S14" s="998">
        <f t="shared" si="3"/>
        <v>0.1321762349799733</v>
      </c>
      <c r="T14" s="998">
        <f t="shared" si="3"/>
        <v>0.13746958637469586</v>
      </c>
      <c r="U14" s="998">
        <f t="shared" si="3"/>
        <v>0.14013452914798205</v>
      </c>
      <c r="V14" s="1020">
        <f t="shared" si="3"/>
        <v>0.14013452914798205</v>
      </c>
      <c r="W14" s="998">
        <f t="shared" si="3"/>
        <v>0.13765182186234817</v>
      </c>
      <c r="X14" s="998">
        <f t="shared" si="3"/>
        <v>0.14055080721747387</v>
      </c>
      <c r="Y14" s="1028">
        <f>IF(AND(ISNUMBER(Y11), ISNUMBER(Y5)), Y11/Y5, "-")</f>
        <v>0.14388489208633093</v>
      </c>
      <c r="Z14" s="1028">
        <f>IF(AND(ISNUMBER(Z11), ISNUMBER(Z5)), Z11/Z5, "-")</f>
        <v>0.14529914529914531</v>
      </c>
      <c r="AA14" s="1020"/>
      <c r="AB14" s="1028">
        <f>IF(AND(ISNUMBER(AB11), ISNUMBER(AB5)), AB11/AB5, "-")</f>
        <v>0.14677419354838708</v>
      </c>
      <c r="AC14" s="998">
        <f>AC11/AC5</f>
        <v>0.14921875000000001</v>
      </c>
      <c r="AD14" s="1028">
        <f>IF(AND(ISNUMBER(AD11), ISNUMBER(AD5)), AD11/AD5, "-")</f>
        <v>0.15303030303030302</v>
      </c>
      <c r="AE14" s="1028">
        <f>IF(AND(ISNUMBER(AE11), ISNUMBER(AE5)), AE11/AE5, "-")</f>
        <v>0.15514705882352942</v>
      </c>
      <c r="AF14" s="1020"/>
      <c r="AG14" s="1028">
        <f>IF(AND(ISNUMBER(AG11), ISNUMBER(AG5)), AG11/AG5, "-")</f>
        <v>0.15714285714285714</v>
      </c>
      <c r="AH14" s="1028">
        <f>IF(AND(ISNUMBER(AH11), ISNUMBER(AH5)), AH11/AH5, "-")</f>
        <v>0.15694444444444444</v>
      </c>
      <c r="AI14" s="1028">
        <f>IF(AND(ISNUMBER(AI11), ISNUMBER(AI5)), AI11/AI5, "-")</f>
        <v>0.15850340136054422</v>
      </c>
      <c r="AJ14" s="1028">
        <f>IF(AND(ISNUMBER(AJ11), ISNUMBER(AJ5)), AJ11/AJ5, "-")</f>
        <v>0.16026490066225166</v>
      </c>
      <c r="AK14" s="1020"/>
      <c r="AL14" s="1028">
        <f>IF(AND(ISNUMBER(AL11), ISNUMBER(AL5)), AL11/AL5, "-")</f>
        <v>0.15897435897435896</v>
      </c>
      <c r="AM14" s="1028">
        <f>IF(AND(ISNUMBER(AM11), ISNUMBER(AM5)), AM11/AM5, "-")</f>
        <v>0.15812499999999999</v>
      </c>
      <c r="AN14" s="1028">
        <f>IF(AND(ISNUMBER(AN11), ISNUMBER(AN5)), AN11/AN5, "-")</f>
        <v>0.15705521472392639</v>
      </c>
      <c r="AO14" s="1028">
        <f>IF(AND(ISNUMBER(AO11), ISNUMBER(AO5)), AO11/AO5, "-")</f>
        <v>0.15662650602409639</v>
      </c>
      <c r="AP14" s="1020"/>
      <c r="AQ14" s="1028">
        <f>IF(AND(ISNUMBER(AQ11), ISNUMBER(AQ5)), AQ11/AQ5, "-")</f>
        <v>0.15672514619883041</v>
      </c>
      <c r="AR14" s="1028">
        <f>IF(AND(ISNUMBER(AR11), ISNUMBER(AR5)), AR11/AR5, "-")</f>
        <v>0.1557471264367816</v>
      </c>
      <c r="AS14" s="1028">
        <f>IF(AND(ISNUMBER(AS11), ISNUMBER(AS5)), AS11/AS5, "-")</f>
        <v>0.15505617977528091</v>
      </c>
      <c r="AT14" s="1028" t="str">
        <f>IF(AND(ISNUMBER(AT11), ISNUMBER(AT5)), AT11/AT5, "-")</f>
        <v>-</v>
      </c>
      <c r="AU14" s="1020"/>
      <c r="AV14" s="1028" t="str">
        <f>IF(AND(ISNUMBER(AV11), ISNUMBER(AV5)), AV11/AV5, "-")</f>
        <v>-</v>
      </c>
      <c r="AW14" s="1028" t="str">
        <f>IF(AND(ISNUMBER(AW11), ISNUMBER(AW5)), AW11/AW5, "-")</f>
        <v>-</v>
      </c>
      <c r="AX14" s="1028" t="str">
        <f>IF(AND(ISNUMBER(AX11), ISNUMBER(AX5)), AX11/AX5, "-")</f>
        <v>-</v>
      </c>
      <c r="AY14" s="1028" t="str">
        <f>IF(AND(ISNUMBER(AY11), ISNUMBER(AY5)), AY11/AY5, "-")</f>
        <v>-</v>
      </c>
      <c r="AZ14" s="1020"/>
    </row>
    <row r="15" spans="2:52" s="306" customFormat="1" ht="18" customHeight="1">
      <c r="B15" s="1010" t="s">
        <v>562</v>
      </c>
      <c r="C15" s="280"/>
      <c r="D15" s="280">
        <f>D11-C11</f>
        <v>3000</v>
      </c>
      <c r="E15" s="280">
        <f>E11-D11</f>
        <v>3000</v>
      </c>
      <c r="F15" s="280">
        <f>F11-E11</f>
        <v>3000</v>
      </c>
      <c r="G15" s="281"/>
      <c r="H15" s="280">
        <f>H11-F11</f>
        <v>3000</v>
      </c>
      <c r="I15" s="280">
        <f>I11-H11</f>
        <v>4000</v>
      </c>
      <c r="J15" s="280">
        <f>J11-I11</f>
        <v>4000</v>
      </c>
      <c r="K15" s="280">
        <f>K11-J11</f>
        <v>3000</v>
      </c>
      <c r="L15" s="281">
        <f>SUM(H15:K15)</f>
        <v>14000</v>
      </c>
      <c r="M15" s="280">
        <f>M11-K11</f>
        <v>4000</v>
      </c>
      <c r="N15" s="280">
        <f>N11-M11</f>
        <v>4000</v>
      </c>
      <c r="O15" s="280">
        <f>O11-N11</f>
        <v>5000</v>
      </c>
      <c r="P15" s="280">
        <f>P11-O11</f>
        <v>6000</v>
      </c>
      <c r="Q15" s="281">
        <f>SUM(M15:P15)</f>
        <v>19000</v>
      </c>
      <c r="R15" s="280">
        <f>R11-P11</f>
        <v>14000</v>
      </c>
      <c r="S15" s="280">
        <f>S11-R11</f>
        <v>10000</v>
      </c>
      <c r="T15" s="280">
        <f>T11-S11</f>
        <v>14000</v>
      </c>
      <c r="U15" s="280">
        <f>U11-T11</f>
        <v>12000</v>
      </c>
      <c r="V15" s="281">
        <f>SUM(R15:U15)</f>
        <v>50000</v>
      </c>
      <c r="W15" s="280">
        <f>W11-U11</f>
        <v>11000</v>
      </c>
      <c r="X15" s="280">
        <f>X11-W11</f>
        <v>12000</v>
      </c>
      <c r="Y15" s="280">
        <f>Y11-X11</f>
        <v>12000</v>
      </c>
      <c r="Z15" s="280">
        <f>IF(AND(ISNUMBER(Z11), ISNUMBER(Y11)), Z11-Y11, "-")</f>
        <v>10000</v>
      </c>
      <c r="AA15" s="281"/>
      <c r="AB15" s="280">
        <f>IF(AND(ISNUMBER(AB11), ISNUMBER(Z11)), AB11-Z11, "-")</f>
        <v>12000</v>
      </c>
      <c r="AC15" s="280">
        <f>AC11-AB11</f>
        <v>9000</v>
      </c>
      <c r="AD15" s="280">
        <f>AD11-AC11</f>
        <v>11000</v>
      </c>
      <c r="AE15" s="280">
        <f>IF(AND(ISNUMBER(AE11), ISNUMBER(AD11)), AE11-AD11, "-")</f>
        <v>9000</v>
      </c>
      <c r="AF15" s="281"/>
      <c r="AG15" s="280">
        <f>IF(AND(ISNUMBER(AG11), ISNUMBER(AE11)), AG11-AE11, "-")</f>
        <v>9000</v>
      </c>
      <c r="AH15" s="280">
        <f>IF(AND(ISNUMBER(AH11), ISNUMBER(AG11)), AH11-AG11, "-")</f>
        <v>6000</v>
      </c>
      <c r="AI15" s="280">
        <f>IF(AND(ISNUMBER(AI11), ISNUMBER(AH11)), AI11-AH11, "-")</f>
        <v>7000</v>
      </c>
      <c r="AJ15" s="280">
        <f>IF(AND(ISNUMBER(AJ11), ISNUMBER(AI11)), AJ11-AI11, "-")</f>
        <v>9000</v>
      </c>
      <c r="AK15" s="281"/>
      <c r="AL15" s="280">
        <f>IF(AND(ISNUMBER(AL11), ISNUMBER(AJ11)), AL11-AJ11, "-")</f>
        <v>6000</v>
      </c>
      <c r="AM15" s="280">
        <f>IF(AND(ISNUMBER(AM11), ISNUMBER(AL11)), AM11-AL11, "-")</f>
        <v>5000</v>
      </c>
      <c r="AN15" s="280">
        <f>IF(AND(ISNUMBER(AN11), ISNUMBER(AM11)), AN11-AM11, "-")</f>
        <v>3000</v>
      </c>
      <c r="AO15" s="280">
        <f>IF(AND(ISNUMBER(AO11), ISNUMBER(AN11)), AO11-AN11, "-")</f>
        <v>4000</v>
      </c>
      <c r="AP15" s="281"/>
      <c r="AQ15" s="1236">
        <f>IF(AND(ISNUMBER(AQ11), ISNUMBER(AO11)), AQ11-AO11, "-")</f>
        <v>8000</v>
      </c>
      <c r="AR15" s="1236">
        <f>IF(AND(ISNUMBER(AR11), ISNUMBER(AQ11)), AR11-AQ11, "-")</f>
        <v>3000</v>
      </c>
      <c r="AS15" s="1236">
        <f>IF(AND(ISNUMBER(AS11), ISNUMBER(AR11)), AS11-AR11, "-")</f>
        <v>5000</v>
      </c>
      <c r="AT15" s="1236" t="str">
        <f>IF(AND(ISNUMBER(AT11), ISNUMBER(AS11)), AT11-AS11, "-")</f>
        <v>-</v>
      </c>
      <c r="AU15" s="281"/>
      <c r="AV15" s="1236" t="str">
        <f>IF(AND(ISNUMBER(AV11), ISNUMBER(AT11)), AV11-AT11, "-")</f>
        <v>-</v>
      </c>
      <c r="AW15" s="1236" t="str">
        <f>IF(AND(ISNUMBER(AW11), ISNUMBER(AV11)), AW11-AV11, "-")</f>
        <v>-</v>
      </c>
      <c r="AX15" s="1236" t="str">
        <f>IF(AND(ISNUMBER(AX11), ISNUMBER(AW11)), AX11-AW11, "-")</f>
        <v>-</v>
      </c>
      <c r="AY15" s="1236" t="str">
        <f>IF(AND(ISNUMBER(AY11), ISNUMBER(AX11)), AY11-AX11, "-")</f>
        <v>-</v>
      </c>
      <c r="AZ15" s="281"/>
    </row>
    <row r="16" spans="2:52">
      <c r="B16" s="1009" t="s">
        <v>555</v>
      </c>
      <c r="C16" s="999"/>
      <c r="D16" s="999"/>
      <c r="E16" s="999"/>
      <c r="F16" s="999"/>
      <c r="G16" s="1020"/>
      <c r="H16" s="1001"/>
      <c r="I16" s="1001">
        <f>I15/D15-1</f>
        <v>0.33333333333333326</v>
      </c>
      <c r="J16" s="1001">
        <f>J15/E15-1</f>
        <v>0.33333333333333326</v>
      </c>
      <c r="K16" s="1001">
        <f>K15/F15-1</f>
        <v>0</v>
      </c>
      <c r="L16" s="1020"/>
      <c r="M16" s="1001">
        <f>M15/H15-1</f>
        <v>0.33333333333333326</v>
      </c>
      <c r="N16" s="1001">
        <f>N15/I15-1</f>
        <v>0</v>
      </c>
      <c r="O16" s="1001">
        <f>O15/J15-1</f>
        <v>0.25</v>
      </c>
      <c r="P16" s="1001">
        <f>P15/K15-1</f>
        <v>1</v>
      </c>
      <c r="Q16" s="1020"/>
      <c r="R16" s="1001">
        <f t="shared" ref="R16:X16" si="4">R15/M15-1</f>
        <v>2.5</v>
      </c>
      <c r="S16" s="1001">
        <f t="shared" si="4"/>
        <v>1.5</v>
      </c>
      <c r="T16" s="1001">
        <f t="shared" si="4"/>
        <v>1.7999999999999998</v>
      </c>
      <c r="U16" s="1001">
        <f t="shared" si="4"/>
        <v>1</v>
      </c>
      <c r="V16" s="1020">
        <f t="shared" si="4"/>
        <v>1.6315789473684212</v>
      </c>
      <c r="W16" s="1001">
        <f t="shared" si="4"/>
        <v>-0.2142857142857143</v>
      </c>
      <c r="X16" s="1001">
        <f t="shared" si="4"/>
        <v>0.19999999999999996</v>
      </c>
      <c r="Y16" s="1028">
        <f>IF(AND(ISNUMBER(Y15), ISNUMBER(T15)), Y15/T15-1, "-")</f>
        <v>-0.1428571428571429</v>
      </c>
      <c r="Z16" s="1028">
        <f>IF(AND(ISNUMBER(Z15), ISNUMBER(U15)), Z15/U15-1, "-")</f>
        <v>-0.16666666666666663</v>
      </c>
      <c r="AA16" s="1020"/>
      <c r="AB16" s="1028">
        <f>IF(AND(ISNUMBER(AB15), ISNUMBER(W15)), AB15/W15-1, "-")</f>
        <v>9.0909090909090828E-2</v>
      </c>
      <c r="AC16" s="998">
        <f>AC15/X15-1</f>
        <v>-0.25</v>
      </c>
      <c r="AD16" s="1028">
        <f>IF(AND(ISNUMBER(AD15), ISNUMBER(Y15)), AD15/Y15-1, "-")</f>
        <v>-8.333333333333337E-2</v>
      </c>
      <c r="AE16" s="1028">
        <f>IF(AND(ISNUMBER(AE15), ISNUMBER(Z15)), AE15/Z15-1, "-")</f>
        <v>-9.9999999999999978E-2</v>
      </c>
      <c r="AF16" s="279"/>
      <c r="AG16" s="1028">
        <f>IF(AND(ISNUMBER(AG15), ISNUMBER(AB15)), AG15/AB15-1, "-")</f>
        <v>-0.25</v>
      </c>
      <c r="AH16" s="1028">
        <f>IF(AND(ISNUMBER(AH15), ISNUMBER(AC15)), AH15/AC15-1, "-")</f>
        <v>-0.33333333333333337</v>
      </c>
      <c r="AI16" s="1028">
        <f>IF(AND(ISNUMBER(AI15), ISNUMBER(AD15)), AI15/AD15-1, "-")</f>
        <v>-0.36363636363636365</v>
      </c>
      <c r="AJ16" s="1028">
        <f>IF(AND(ISNUMBER(AJ15), ISNUMBER(AE15)), AJ15/AE15-1, "-")</f>
        <v>0</v>
      </c>
      <c r="AK16" s="279"/>
      <c r="AL16" s="1028">
        <f>IF(AND(ISNUMBER(AL15), ISNUMBER(AG15)), AL15/AG15-1, "-")</f>
        <v>-0.33333333333333337</v>
      </c>
      <c r="AM16" s="1028">
        <f>IF(AND(ISNUMBER(AM15), ISNUMBER(AH15)), AM15/AH15-1, "-")</f>
        <v>-0.16666666666666663</v>
      </c>
      <c r="AN16" s="1028">
        <f>IF(AND(ISNUMBER(AN15), ISNUMBER(AI15)), AN15/AI15-1, "-")</f>
        <v>-0.5714285714285714</v>
      </c>
      <c r="AO16" s="1028">
        <f>IF(AND(ISNUMBER(AO15), ISNUMBER(AJ15)), AO15/AJ15-1, "-")</f>
        <v>-0.55555555555555558</v>
      </c>
      <c r="AP16" s="279"/>
      <c r="AQ16" s="1028">
        <f>IF(AND(ISNUMBER(AQ15), ISNUMBER(AL15)), AQ15/AL15-1, "-")</f>
        <v>0.33333333333333326</v>
      </c>
      <c r="AR16" s="1028">
        <f>IF(AND(ISNUMBER(AR15), ISNUMBER(AM15)), AR15/AM15-1, "-")</f>
        <v>-0.4</v>
      </c>
      <c r="AS16" s="1028">
        <f>IF(AND(ISNUMBER(AS15), ISNUMBER(AN15)), AS15/AN15-1, "-")</f>
        <v>0.66666666666666674</v>
      </c>
      <c r="AT16" s="1028" t="str">
        <f>IF(AND(ISNUMBER(AT15), ISNUMBER(AO15)), AT15/AO15-1, "-")</f>
        <v>-</v>
      </c>
      <c r="AU16" s="279"/>
      <c r="AV16" s="1028" t="str">
        <f>IF(AND(ISNUMBER(AV15), ISNUMBER(AQ15)), AV15/AQ15-1, "-")</f>
        <v>-</v>
      </c>
      <c r="AW16" s="1028" t="str">
        <f>IF(AND(ISNUMBER(AW15), ISNUMBER(AR15)), AW15/AR15-1, "-")</f>
        <v>-</v>
      </c>
      <c r="AX16" s="1028" t="str">
        <f>IF(AND(ISNUMBER(AX15), ISNUMBER(AS15)), AX15/AS15-1, "-")</f>
        <v>-</v>
      </c>
      <c r="AY16" s="1028" t="str">
        <f>IF(AND(ISNUMBER(AY15), ISNUMBER(AT15)), AY15/AT15-1, "-")</f>
        <v>-</v>
      </c>
      <c r="AZ16" s="279"/>
    </row>
    <row r="17" spans="2:52" ht="14.25" customHeight="1">
      <c r="B17" s="1009"/>
      <c r="C17" s="999"/>
      <c r="D17" s="999"/>
      <c r="E17" s="999"/>
      <c r="F17" s="999"/>
      <c r="G17" s="1020"/>
      <c r="H17" s="1001"/>
      <c r="I17" s="1001"/>
      <c r="J17" s="1001"/>
      <c r="K17" s="1001"/>
      <c r="L17" s="1020"/>
      <c r="M17" s="1001"/>
      <c r="N17" s="1001"/>
      <c r="O17" s="1001"/>
      <c r="P17" s="1001"/>
      <c r="Q17" s="1020"/>
      <c r="R17" s="1001"/>
      <c r="S17" s="1001"/>
      <c r="T17" s="1001"/>
      <c r="U17" s="1001"/>
      <c r="V17" s="1020"/>
      <c r="W17" s="1001"/>
      <c r="X17" s="1001"/>
      <c r="Y17" s="1001"/>
      <c r="Z17" s="1001"/>
      <c r="AA17" s="279"/>
      <c r="AF17" s="279"/>
      <c r="AK17" s="279"/>
      <c r="AP17" s="279"/>
      <c r="AQ17" s="788"/>
      <c r="AR17" s="788"/>
      <c r="AS17" s="788"/>
      <c r="AT17" s="788"/>
      <c r="AU17" s="279"/>
      <c r="AV17" s="788"/>
      <c r="AW17" s="788"/>
      <c r="AX17" s="788"/>
      <c r="AY17" s="788"/>
      <c r="AZ17" s="279"/>
    </row>
    <row r="18" spans="2:52" s="306" customFormat="1" ht="14.25" customHeight="1">
      <c r="B18" s="1012" t="s">
        <v>323</v>
      </c>
      <c r="C18" s="280"/>
      <c r="D18" s="280"/>
      <c r="E18" s="280"/>
      <c r="F18" s="280"/>
      <c r="G18" s="281"/>
      <c r="H18" s="280">
        <v>215</v>
      </c>
      <c r="I18" s="280">
        <v>246</v>
      </c>
      <c r="J18" s="280">
        <v>285</v>
      </c>
      <c r="K18" s="280">
        <v>310</v>
      </c>
      <c r="L18" s="281">
        <f>K18</f>
        <v>310</v>
      </c>
      <c r="M18" s="280">
        <v>324</v>
      </c>
      <c r="N18" s="280">
        <v>370</v>
      </c>
      <c r="O18" s="280">
        <v>401</v>
      </c>
      <c r="P18" s="280">
        <v>437</v>
      </c>
      <c r="Q18" s="281">
        <f>P18</f>
        <v>437</v>
      </c>
      <c r="R18" s="280">
        <v>473</v>
      </c>
      <c r="S18" s="280">
        <v>520</v>
      </c>
      <c r="T18" s="280">
        <v>542</v>
      </c>
      <c r="U18" s="280">
        <v>599</v>
      </c>
      <c r="V18" s="281">
        <f>U18</f>
        <v>599</v>
      </c>
      <c r="W18" s="280">
        <v>673</v>
      </c>
      <c r="X18" s="280">
        <v>714</v>
      </c>
      <c r="Y18" s="280">
        <v>785</v>
      </c>
      <c r="Z18" s="280">
        <v>852</v>
      </c>
      <c r="AA18" s="281"/>
      <c r="AB18" s="280">
        <v>886</v>
      </c>
      <c r="AC18" s="280">
        <v>992</v>
      </c>
      <c r="AD18" s="280">
        <v>1052</v>
      </c>
      <c r="AE18" s="280">
        <v>1080</v>
      </c>
      <c r="AF18" s="281"/>
      <c r="AG18" s="280">
        <v>1063</v>
      </c>
      <c r="AH18" s="280">
        <v>1047</v>
      </c>
      <c r="AI18" s="280">
        <v>1051</v>
      </c>
      <c r="AJ18" s="280">
        <v>1060</v>
      </c>
      <c r="AK18" s="281"/>
      <c r="AL18" s="280">
        <v>1059</v>
      </c>
      <c r="AM18" s="280">
        <v>1066</v>
      </c>
      <c r="AN18" s="280">
        <v>1075</v>
      </c>
      <c r="AO18" s="280">
        <v>1131</v>
      </c>
      <c r="AP18" s="281"/>
      <c r="AQ18" s="1236">
        <v>1123</v>
      </c>
      <c r="AR18" s="1236">
        <v>1137</v>
      </c>
      <c r="AS18" s="1236">
        <v>1165</v>
      </c>
      <c r="AT18" s="1236"/>
      <c r="AU18" s="281"/>
      <c r="AV18" s="1236"/>
      <c r="AW18" s="1236"/>
      <c r="AX18" s="1236"/>
      <c r="AY18" s="1236"/>
      <c r="AZ18" s="281"/>
    </row>
    <row r="19" spans="2:52" s="194" customFormat="1" ht="12" customHeight="1">
      <c r="B19" s="1009" t="s">
        <v>167</v>
      </c>
      <c r="C19" s="998"/>
      <c r="D19" s="998"/>
      <c r="E19" s="998"/>
      <c r="F19" s="998"/>
      <c r="G19" s="1020"/>
      <c r="H19" s="998"/>
      <c r="I19" s="998"/>
      <c r="J19" s="998"/>
      <c r="K19" s="998"/>
      <c r="L19" s="1020"/>
      <c r="M19" s="998">
        <f t="shared" ref="M19:X19" si="5">M18/H18-1</f>
        <v>0.50697674418604644</v>
      </c>
      <c r="N19" s="998">
        <f t="shared" si="5"/>
        <v>0.50406504065040658</v>
      </c>
      <c r="O19" s="998">
        <f t="shared" si="5"/>
        <v>0.40701754385964906</v>
      </c>
      <c r="P19" s="998">
        <f t="shared" si="5"/>
        <v>0.4096774193548387</v>
      </c>
      <c r="Q19" s="1020">
        <f t="shared" si="5"/>
        <v>0.4096774193548387</v>
      </c>
      <c r="R19" s="998">
        <f t="shared" si="5"/>
        <v>0.45987654320987659</v>
      </c>
      <c r="S19" s="998">
        <f t="shared" si="5"/>
        <v>0.40540540540540548</v>
      </c>
      <c r="T19" s="998">
        <f t="shared" si="5"/>
        <v>0.35162094763092266</v>
      </c>
      <c r="U19" s="998">
        <f t="shared" si="5"/>
        <v>0.37070938215102966</v>
      </c>
      <c r="V19" s="1020">
        <f t="shared" si="5"/>
        <v>0.37070938215102966</v>
      </c>
      <c r="W19" s="998">
        <f t="shared" si="5"/>
        <v>0.42283298097251576</v>
      </c>
      <c r="X19" s="998">
        <f t="shared" si="5"/>
        <v>0.37307692307692308</v>
      </c>
      <c r="Y19" s="1028">
        <f>IF(AND(ISNUMBER(Y18), ISNUMBER(T18)), Y18/T18-1, "-")</f>
        <v>0.44833948339483398</v>
      </c>
      <c r="Z19" s="1028">
        <f>IF(AND(ISNUMBER(Z18), ISNUMBER(U18)), Z18/U18-1, "-")</f>
        <v>0.42237061769616036</v>
      </c>
      <c r="AA19" s="1020"/>
      <c r="AB19" s="1028">
        <f>IF(AND(ISNUMBER(AB18), ISNUMBER(W18)), AB18/W18-1, "-")</f>
        <v>0.31649331352154531</v>
      </c>
      <c r="AC19" s="998">
        <f>AC18/X18-1</f>
        <v>0.38935574229691872</v>
      </c>
      <c r="AD19" s="1028">
        <f>IF(AND(ISNUMBER(AD18), ISNUMBER(Y18)), AD18/Y18-1, "-")</f>
        <v>0.34012738853503177</v>
      </c>
      <c r="AE19" s="1028">
        <f>IF(AND(ISNUMBER(AE18), ISNUMBER(Z18)), AE18/Z18-1, "-")</f>
        <v>0.26760563380281699</v>
      </c>
      <c r="AF19" s="421"/>
      <c r="AG19" s="1028">
        <f>IF(AND(ISNUMBER(AG18), ISNUMBER(AB18)), AG18/AB18-1, "-")</f>
        <v>0.19977426636568851</v>
      </c>
      <c r="AH19" s="1028">
        <f>IF(AND(ISNUMBER(AH18), ISNUMBER(AC18)), AH18/AC18-1, "-")</f>
        <v>5.5443548387096753E-2</v>
      </c>
      <c r="AI19" s="1028">
        <f>IF(AND(ISNUMBER(AI18), ISNUMBER(AD18)), AI18/AD18-1, "-")</f>
        <v>-9.5057034220535908E-4</v>
      </c>
      <c r="AJ19" s="1028">
        <f>IF(AND(ISNUMBER(AJ18), ISNUMBER(AE18)), AJ18/AE18-1, "-")</f>
        <v>-1.851851851851849E-2</v>
      </c>
      <c r="AK19" s="421"/>
      <c r="AL19" s="1028">
        <f>IF(AND(ISNUMBER(AL18), ISNUMBER(AG18)), AL18/AG18-1, "-")</f>
        <v>-3.7629350893697566E-3</v>
      </c>
      <c r="AM19" s="1028">
        <f>IF(AND(ISNUMBER(AM18), ISNUMBER(AH18)), AM18/AH18-1, "-")</f>
        <v>1.8147086914995114E-2</v>
      </c>
      <c r="AN19" s="1028">
        <f>IF(AND(ISNUMBER(AN18), ISNUMBER(AI18)), AN18/AI18-1, "-")</f>
        <v>2.2835394862036118E-2</v>
      </c>
      <c r="AO19" s="1028">
        <f>IF(AND(ISNUMBER(AO18), ISNUMBER(AJ18)), AO18/AJ18-1, "-")</f>
        <v>6.6981132075471628E-2</v>
      </c>
      <c r="AP19" s="421"/>
      <c r="AQ19" s="1028">
        <f>IF(AND(ISNUMBER(AQ18), ISNUMBER(AL18)), AQ18/AL18-1, "-")</f>
        <v>6.0434372049102958E-2</v>
      </c>
      <c r="AR19" s="1028">
        <f>IF(AND(ISNUMBER(AR18), ISNUMBER(AM18)), AR18/AM18-1, "-")</f>
        <v>6.6604127579737327E-2</v>
      </c>
      <c r="AS19" s="1028">
        <f>IF(AND(ISNUMBER(AS18), ISNUMBER(AN18)), AS18/AN18-1, "-")</f>
        <v>8.3720930232558111E-2</v>
      </c>
      <c r="AT19" s="1028" t="str">
        <f>IF(AND(ISNUMBER(AT18), ISNUMBER(AO18)), AT18/AO18-1, "-")</f>
        <v>-</v>
      </c>
      <c r="AU19" s="421"/>
      <c r="AV19" s="1028" t="str">
        <f>IF(AND(ISNUMBER(AV18), ISNUMBER(AQ18)), AV18/AQ18-1, "-")</f>
        <v>-</v>
      </c>
      <c r="AW19" s="1028" t="str">
        <f>IF(AND(ISNUMBER(AW18), ISNUMBER(AR18)), AW18/AR18-1, "-")</f>
        <v>-</v>
      </c>
      <c r="AX19" s="1028" t="str">
        <f>IF(AND(ISNUMBER(AX18), ISNUMBER(AS18)), AX18/AS18-1, "-")</f>
        <v>-</v>
      </c>
      <c r="AY19" s="1028" t="str">
        <f>IF(AND(ISNUMBER(AY18), ISNUMBER(AT18)), AY18/AT18-1, "-")</f>
        <v>-</v>
      </c>
      <c r="AZ19" s="421"/>
    </row>
    <row r="20" spans="2:52" s="194" customFormat="1" ht="12" customHeight="1">
      <c r="B20" s="1009" t="s">
        <v>168</v>
      </c>
      <c r="C20" s="998"/>
      <c r="D20" s="998"/>
      <c r="E20" s="998"/>
      <c r="F20" s="998"/>
      <c r="G20" s="1020"/>
      <c r="H20" s="998"/>
      <c r="I20" s="998">
        <f>I18/H18-1</f>
        <v>0.14418604651162781</v>
      </c>
      <c r="J20" s="998">
        <f>J18/I18-1</f>
        <v>0.15853658536585358</v>
      </c>
      <c r="K20" s="998">
        <f>K18/J18-1</f>
        <v>8.7719298245614086E-2</v>
      </c>
      <c r="L20" s="1020"/>
      <c r="M20" s="998">
        <f>M18/K18-1</f>
        <v>4.5161290322580649E-2</v>
      </c>
      <c r="N20" s="998">
        <f>N18/M18-1</f>
        <v>0.14197530864197527</v>
      </c>
      <c r="O20" s="998">
        <f>O18/N18-1</f>
        <v>8.3783783783783816E-2</v>
      </c>
      <c r="P20" s="998">
        <f>P18/O18-1</f>
        <v>8.9775561097256817E-2</v>
      </c>
      <c r="Q20" s="1020"/>
      <c r="R20" s="998">
        <f>R18/P18-1</f>
        <v>8.237986270022879E-2</v>
      </c>
      <c r="S20" s="998">
        <f>S18/R18-1</f>
        <v>9.9365750528541241E-2</v>
      </c>
      <c r="T20" s="998">
        <f>T18/S18-1</f>
        <v>4.2307692307692379E-2</v>
      </c>
      <c r="U20" s="998">
        <f>U18/T18-1</f>
        <v>0.10516605166051662</v>
      </c>
      <c r="V20" s="1020"/>
      <c r="W20" s="998">
        <f>W18/U18-1</f>
        <v>0.12353923205342232</v>
      </c>
      <c r="X20" s="998">
        <f>X18/W18-1</f>
        <v>6.0921248142644879E-2</v>
      </c>
      <c r="Y20" s="1028">
        <f>IF(AND(ISNUMBER(Y18), ISNUMBER(X18)), Y18/X18-1, "-")</f>
        <v>9.9439775910364236E-2</v>
      </c>
      <c r="Z20" s="1028">
        <f>IF(AND(ISNUMBER(Z18), ISNUMBER(Y18)), Z18/Y18-1, "-")</f>
        <v>8.5350318471337561E-2</v>
      </c>
      <c r="AA20" s="1020"/>
      <c r="AB20" s="1028">
        <f>IF(AND(ISNUMBER(AB18), ISNUMBER(Z18)), AB18/Z18-1, "-")</f>
        <v>3.9906103286384997E-2</v>
      </c>
      <c r="AC20" s="998">
        <f>AC18/AB18-1</f>
        <v>0.11963882618510158</v>
      </c>
      <c r="AD20" s="1028">
        <f>IF(AND(ISNUMBER(AD18), ISNUMBER(AC18)), AD18/AC18-1, "-")</f>
        <v>6.0483870967741993E-2</v>
      </c>
      <c r="AE20" s="1028">
        <f>IF(AND(ISNUMBER(AE18), ISNUMBER(AD18)), AE18/AD18-1, "-")</f>
        <v>2.6615969581748944E-2</v>
      </c>
      <c r="AF20" s="421"/>
      <c r="AG20" s="1028">
        <f>IF(AND(ISNUMBER(AG18), ISNUMBER(AE18)), AG18/AE18-1, "-")</f>
        <v>-1.5740740740740722E-2</v>
      </c>
      <c r="AH20" s="1028">
        <f>IF(AND(ISNUMBER(AH18), ISNUMBER(AG18)), AH18/AG18-1, "-")</f>
        <v>-1.5051740357478804E-2</v>
      </c>
      <c r="AI20" s="1028">
        <f>IF(AND(ISNUMBER(AI18), ISNUMBER(AH18)), AI18/AH18-1, "-")</f>
        <v>3.8204393505252288E-3</v>
      </c>
      <c r="AJ20" s="1028">
        <f>IF(AND(ISNUMBER(AJ18), ISNUMBER(AI18)), AJ18/AI18-1, "-")</f>
        <v>8.5632730732636553E-3</v>
      </c>
      <c r="AK20" s="421"/>
      <c r="AL20" s="1028">
        <f>IF(AND(ISNUMBER(AL18), ISNUMBER(AJ18)), AL18/AJ18-1, "-")</f>
        <v>-9.4339622641514964E-4</v>
      </c>
      <c r="AM20" s="1028">
        <f>IF(AND(ISNUMBER(AM18), ISNUMBER(AL18)), AM18/AL18-1, "-")</f>
        <v>6.6100094428707123E-3</v>
      </c>
      <c r="AN20" s="1028">
        <f>IF(AND(ISNUMBER(AN18), ISNUMBER(AM18)), AN18/AM18-1, "-")</f>
        <v>8.4427767354595673E-3</v>
      </c>
      <c r="AO20" s="1028">
        <f>IF(AND(ISNUMBER(AO18), ISNUMBER(AN18)), AO18/AN18-1, "-")</f>
        <v>5.2093023255813886E-2</v>
      </c>
      <c r="AP20" s="421"/>
      <c r="AQ20" s="1028">
        <f>IF(AND(ISNUMBER(AQ18), ISNUMBER(AO18)), AQ18/AO18-1, "-")</f>
        <v>-7.0733863837312283E-3</v>
      </c>
      <c r="AR20" s="1028">
        <f>IF(AND(ISNUMBER(AR18), ISNUMBER(AQ18)), AR18/AQ18-1, "-")</f>
        <v>1.2466607301869992E-2</v>
      </c>
      <c r="AS20" s="1028">
        <f>IF(AND(ISNUMBER(AS18), ISNUMBER(AR18)), AS18/AR18-1, "-")</f>
        <v>2.4626209322779147E-2</v>
      </c>
      <c r="AT20" s="1028" t="str">
        <f>IF(AND(ISNUMBER(AT18), ISNUMBER(AS18)), AT18/AS18-1, "-")</f>
        <v>-</v>
      </c>
      <c r="AU20" s="421"/>
      <c r="AV20" s="1028" t="str">
        <f>IF(AND(ISNUMBER(AV18), ISNUMBER(AT18)), AV18/AT18-1, "-")</f>
        <v>-</v>
      </c>
      <c r="AW20" s="1028" t="str">
        <f>IF(AND(ISNUMBER(AW18), ISNUMBER(AV18)), AW18/AV18-1, "-")</f>
        <v>-</v>
      </c>
      <c r="AX20" s="1028" t="str">
        <f>IF(AND(ISNUMBER(AX18), ISNUMBER(AW18)), AX18/AW18-1, "-")</f>
        <v>-</v>
      </c>
      <c r="AY20" s="1028" t="str">
        <f>IF(AND(ISNUMBER(AY18), ISNUMBER(AX18)), AY18/AX18-1, "-")</f>
        <v>-</v>
      </c>
      <c r="AZ20" s="421"/>
    </row>
    <row r="21" spans="2:52" s="280" customFormat="1" ht="18" customHeight="1">
      <c r="B21" s="1013" t="s">
        <v>385</v>
      </c>
      <c r="G21" s="281"/>
      <c r="I21" s="280">
        <f>I18-H18</f>
        <v>31</v>
      </c>
      <c r="J21" s="280">
        <f>J18-I18</f>
        <v>39</v>
      </c>
      <c r="K21" s="280">
        <f>K18-J18</f>
        <v>25</v>
      </c>
      <c r="L21" s="281"/>
      <c r="M21" s="280">
        <f>+M18-K18</f>
        <v>14</v>
      </c>
      <c r="N21" s="280">
        <f>N18-M18</f>
        <v>46</v>
      </c>
      <c r="O21" s="280">
        <f>O18-N18</f>
        <v>31</v>
      </c>
      <c r="P21" s="280">
        <f>P18-O18</f>
        <v>36</v>
      </c>
      <c r="Q21" s="281">
        <f>SUM(M21:P21)</f>
        <v>127</v>
      </c>
      <c r="R21" s="280">
        <f>+R18-P18</f>
        <v>36</v>
      </c>
      <c r="S21" s="280">
        <f>S18-R18</f>
        <v>47</v>
      </c>
      <c r="T21" s="280">
        <f>T18-S18</f>
        <v>22</v>
      </c>
      <c r="U21" s="280">
        <f>U18-T18</f>
        <v>57</v>
      </c>
      <c r="V21" s="281">
        <f>SUM(R21:U21)</f>
        <v>162</v>
      </c>
      <c r="W21" s="280">
        <f>+W18-U18</f>
        <v>74</v>
      </c>
      <c r="X21" s="280">
        <f>X18-W18</f>
        <v>41</v>
      </c>
      <c r="Y21" s="280">
        <f>Y18-X18</f>
        <v>71</v>
      </c>
      <c r="Z21" s="280">
        <f>IF(AND(ISNUMBER(Z18), ISNUMBER(Y18)), Z18-Y18, "-")</f>
        <v>67</v>
      </c>
      <c r="AA21" s="1214"/>
      <c r="AB21" s="280">
        <f>IF(AND(ISNUMBER(AB18), ISNUMBER(Z18)), AB18-Z18, "-")</f>
        <v>34</v>
      </c>
      <c r="AC21" s="280">
        <f>AC18-AB18</f>
        <v>106</v>
      </c>
      <c r="AD21" s="280">
        <f>IF(AND(ISNUMBER(AD18), ISNUMBER(AC18)), AD18-AC18, "-")</f>
        <v>60</v>
      </c>
      <c r="AE21" s="280">
        <f>IF(AND(ISNUMBER(AE18), ISNUMBER(AD18)), AE18-AD18, "-")</f>
        <v>28</v>
      </c>
      <c r="AF21" s="281"/>
      <c r="AG21" s="280">
        <f>IF(AND(ISNUMBER(AG18), ISNUMBER(AE18)), AG18-AE18, "-")</f>
        <v>-17</v>
      </c>
      <c r="AH21" s="280">
        <f>IF(AND(ISNUMBER(AH18), ISNUMBER(AG18)), AH18-AG18, "-")</f>
        <v>-16</v>
      </c>
      <c r="AI21" s="280">
        <f>IF(AND(ISNUMBER(AI18), ISNUMBER(AH18)), AI18-AH18, "-")</f>
        <v>4</v>
      </c>
      <c r="AJ21" s="280">
        <f>IF(AND(ISNUMBER(AJ18), ISNUMBER(AI18)), AJ18-AI18, "-")</f>
        <v>9</v>
      </c>
      <c r="AK21" s="281"/>
      <c r="AL21" s="280">
        <f>IF(AND(ISNUMBER(AL18), ISNUMBER(AJ18)), AL18-AJ18, "-")</f>
        <v>-1</v>
      </c>
      <c r="AM21" s="280">
        <f>IF(AND(ISNUMBER(AM18), ISNUMBER(AL18)), AM18-AL18, "-")</f>
        <v>7</v>
      </c>
      <c r="AN21" s="280">
        <f>IF(AND(ISNUMBER(AN18), ISNUMBER(AM18)), AN18-AM18, "-")</f>
        <v>9</v>
      </c>
      <c r="AO21" s="280">
        <f>IF(AND(ISNUMBER(AO18), ISNUMBER(AN18)), AO18-AN18, "-")</f>
        <v>56</v>
      </c>
      <c r="AP21" s="281"/>
      <c r="AQ21" s="1236">
        <f>IF(AND(ISNUMBER(AQ18), ISNUMBER(AO18)), AQ18-AO18, "-")</f>
        <v>-8</v>
      </c>
      <c r="AR21" s="1236">
        <f>IF(AND(ISNUMBER(AR18), ISNUMBER(AQ18)), AR18-AQ18, "-")</f>
        <v>14</v>
      </c>
      <c r="AS21" s="1236">
        <f>IF(AND(ISNUMBER(AS18), ISNUMBER(AR18)), AS18-AR18, "-")</f>
        <v>28</v>
      </c>
      <c r="AT21" s="1236" t="str">
        <f>IF(AND(ISNUMBER(AT18), ISNUMBER(AS18)), AT18-AS18, "-")</f>
        <v>-</v>
      </c>
      <c r="AU21" s="281"/>
      <c r="AV21" s="1236" t="str">
        <f>IF(AND(ISNUMBER(AV18), ISNUMBER(AT18)), AV18-AT18, "-")</f>
        <v>-</v>
      </c>
      <c r="AW21" s="1236" t="str">
        <f>IF(AND(ISNUMBER(AW18), ISNUMBER(AV18)), AW18-AV18, "-")</f>
        <v>-</v>
      </c>
      <c r="AX21" s="1236" t="str">
        <f>IF(AND(ISNUMBER(AX18), ISNUMBER(AW18)), AX18-AW18, "-")</f>
        <v>-</v>
      </c>
      <c r="AY21" s="1236" t="str">
        <f>IF(AND(ISNUMBER(AY18), ISNUMBER(AX18)), AY18-AX18, "-")</f>
        <v>-</v>
      </c>
      <c r="AZ21" s="281"/>
    </row>
    <row r="22" spans="2:52" s="194" customFormat="1" ht="12" customHeight="1">
      <c r="B22" s="1009" t="s">
        <v>555</v>
      </c>
      <c r="C22" s="999"/>
      <c r="D22" s="999"/>
      <c r="E22" s="999"/>
      <c r="F22" s="999"/>
      <c r="G22" s="1020"/>
      <c r="H22" s="1001"/>
      <c r="I22" s="1001"/>
      <c r="J22" s="1001"/>
      <c r="K22" s="1001"/>
      <c r="L22" s="1020"/>
      <c r="M22" s="1001"/>
      <c r="N22" s="1001">
        <f>N21/I21-1</f>
        <v>0.4838709677419355</v>
      </c>
      <c r="O22" s="1001">
        <f>O21/J21-1</f>
        <v>-0.20512820512820518</v>
      </c>
      <c r="P22" s="1001">
        <f>P21/K21-1</f>
        <v>0.43999999999999995</v>
      </c>
      <c r="Q22" s="1020"/>
      <c r="R22" s="1001">
        <f t="shared" ref="R22:X22" si="6">R21/M21-1</f>
        <v>1.5714285714285716</v>
      </c>
      <c r="S22" s="1001">
        <f t="shared" si="6"/>
        <v>2.1739130434782705E-2</v>
      </c>
      <c r="T22" s="1001">
        <f t="shared" si="6"/>
        <v>-0.29032258064516125</v>
      </c>
      <c r="U22" s="1001">
        <f t="shared" si="6"/>
        <v>0.58333333333333326</v>
      </c>
      <c r="V22" s="1020">
        <f t="shared" si="6"/>
        <v>0.27559055118110232</v>
      </c>
      <c r="W22" s="1001">
        <f t="shared" si="6"/>
        <v>1.0555555555555554</v>
      </c>
      <c r="X22" s="1001">
        <f t="shared" si="6"/>
        <v>-0.12765957446808507</v>
      </c>
      <c r="Y22" s="1028">
        <f>IF(AND(ISNUMBER(Y21), ISNUMBER(T21)), Y21/T21-1, "-")</f>
        <v>2.2272727272727271</v>
      </c>
      <c r="Z22" s="1028">
        <f>IF(AND(ISNUMBER(Z21), ISNUMBER(U21)), Z21/U21-1, "-")</f>
        <v>0.17543859649122817</v>
      </c>
      <c r="AA22" s="1020"/>
      <c r="AB22" s="1028">
        <f>IF(AND(ISNUMBER(AB21), ISNUMBER(W21)), AB21/W21-1, "-")</f>
        <v>-0.54054054054054057</v>
      </c>
      <c r="AC22" s="1001">
        <f>AC21/X21-1</f>
        <v>1.5853658536585367</v>
      </c>
      <c r="AD22" s="1028">
        <f>IF(AND(ISNUMBER(AD21), ISNUMBER(Y21)), AD21/Y21-1, "-")</f>
        <v>-0.15492957746478875</v>
      </c>
      <c r="AE22" s="1028">
        <f>IF(AND(ISNUMBER(AE21), ISNUMBER(Z21)), AE21/Z21-1, "-")</f>
        <v>-0.58208955223880599</v>
      </c>
      <c r="AF22" s="421"/>
      <c r="AG22" s="1028">
        <f>IF(AND(ISNUMBER(AG21), ISNUMBER(AB21)), AG21/AB21-1, "-")</f>
        <v>-1.5</v>
      </c>
      <c r="AH22" s="1028">
        <f>IF(AND(ISNUMBER(AH21), ISNUMBER(AC21)), AH21/AC21-1, "-")</f>
        <v>-1.1509433962264151</v>
      </c>
      <c r="AI22" s="1028">
        <f>IF(AND(ISNUMBER(AI21), ISNUMBER(AD21)), AI21/AD21-1, "-")</f>
        <v>-0.93333333333333335</v>
      </c>
      <c r="AJ22" s="1028">
        <f>IF(AND(ISNUMBER(AJ21), ISNUMBER(AE21)), AJ21/AE21-1, "-")</f>
        <v>-0.6785714285714286</v>
      </c>
      <c r="AK22" s="421"/>
      <c r="AL22" s="1028">
        <f>IF(AND(ISNUMBER(AL21), ISNUMBER(AG21)), AL21/AG21-1, "-")</f>
        <v>-0.94117647058823528</v>
      </c>
      <c r="AM22" s="1028">
        <f>IF(AND(ISNUMBER(AM21), ISNUMBER(AH21)), AM21/AH21-1, "-")</f>
        <v>-1.4375</v>
      </c>
      <c r="AN22" s="1028">
        <f>IF(AND(ISNUMBER(AN21), ISNUMBER(AI21)), AN21/AI21-1, "-")</f>
        <v>1.25</v>
      </c>
      <c r="AO22" s="1028">
        <f>IF(AND(ISNUMBER(AO21), ISNUMBER(AJ21)), AO21/AJ21-1, "-")</f>
        <v>5.2222222222222223</v>
      </c>
      <c r="AP22" s="421"/>
      <c r="AQ22" s="1028">
        <f>IF(AND(ISNUMBER(AQ21), ISNUMBER(AL21)), AQ21/AL21-1, "-")</f>
        <v>7</v>
      </c>
      <c r="AR22" s="1028">
        <f>IF(AND(ISNUMBER(AR21), ISNUMBER(AM21)), AR21/AM21-1, "-")</f>
        <v>1</v>
      </c>
      <c r="AS22" s="1028">
        <f>IF(AND(ISNUMBER(AS21), ISNUMBER(AN21)), AS21/AN21-1, "-")</f>
        <v>2.1111111111111112</v>
      </c>
      <c r="AT22" s="1028" t="str">
        <f>IF(AND(ISNUMBER(AT21), ISNUMBER(AO21)), AT21/AO21-1, "-")</f>
        <v>-</v>
      </c>
      <c r="AU22" s="421"/>
      <c r="AV22" s="1028" t="str">
        <f>IF(AND(ISNUMBER(AV21), ISNUMBER(AQ21)), AV21/AQ21-1, "-")</f>
        <v>-</v>
      </c>
      <c r="AW22" s="1028" t="str">
        <f>IF(AND(ISNUMBER(AW21), ISNUMBER(AR21)), AW21/AR21-1, "-")</f>
        <v>-</v>
      </c>
      <c r="AX22" s="1028" t="str">
        <f>IF(AND(ISNUMBER(AX21), ISNUMBER(AS21)), AX21/AS21-1, "-")</f>
        <v>-</v>
      </c>
      <c r="AY22" s="1028" t="str">
        <f>IF(AND(ISNUMBER(AY21), ISNUMBER(AT21)), AY21/AT21-1, "-")</f>
        <v>-</v>
      </c>
      <c r="AZ22" s="421"/>
    </row>
    <row r="23" spans="2:52" ht="14.25" customHeight="1">
      <c r="B23" s="1009"/>
      <c r="C23" s="999"/>
      <c r="D23" s="999"/>
      <c r="E23" s="999"/>
      <c r="F23" s="999"/>
      <c r="G23" s="1020"/>
      <c r="H23" s="1001"/>
      <c r="I23" s="1001"/>
      <c r="J23" s="1001"/>
      <c r="K23" s="1001"/>
      <c r="L23" s="1020"/>
      <c r="M23" s="1001"/>
      <c r="N23" s="1001"/>
      <c r="O23" s="1001"/>
      <c r="P23" s="1001"/>
      <c r="Q23" s="1020"/>
      <c r="R23" s="1001"/>
      <c r="S23" s="1001"/>
      <c r="T23" s="1001"/>
      <c r="U23" s="1001"/>
      <c r="V23" s="1020"/>
      <c r="W23" s="1001"/>
      <c r="X23" s="1001"/>
      <c r="Y23" s="1001"/>
      <c r="Z23" s="1001"/>
      <c r="AA23" s="279"/>
      <c r="AF23" s="279"/>
      <c r="AK23" s="279"/>
      <c r="AP23" s="279"/>
      <c r="AQ23" s="788"/>
      <c r="AR23" s="788"/>
      <c r="AS23" s="788"/>
      <c r="AT23" s="788"/>
      <c r="AU23" s="279"/>
      <c r="AV23" s="788"/>
      <c r="AW23" s="788"/>
      <c r="AX23" s="788"/>
      <c r="AY23" s="788"/>
      <c r="AZ23" s="279"/>
    </row>
    <row r="24" spans="2:52" s="306" customFormat="1" ht="14.25" customHeight="1">
      <c r="B24" s="1014" t="s">
        <v>556</v>
      </c>
      <c r="C24" s="1216"/>
      <c r="D24" s="1216"/>
      <c r="E24" s="1216"/>
      <c r="F24" s="1216">
        <v>1.1499999999999999</v>
      </c>
      <c r="G24" s="1217"/>
      <c r="H24" s="1216">
        <v>1.1399999999999999</v>
      </c>
      <c r="I24" s="1216">
        <v>1.1499999999999999</v>
      </c>
      <c r="J24" s="1216">
        <v>1.1399999999999999</v>
      </c>
      <c r="K24" s="1216">
        <v>1.1200000000000001</v>
      </c>
      <c r="L24" s="1217">
        <f>K24</f>
        <v>1.1200000000000001</v>
      </c>
      <c r="M24" s="1216">
        <v>1.1200000000000001</v>
      </c>
      <c r="N24" s="1216">
        <v>1.1299999999999999</v>
      </c>
      <c r="O24" s="1216">
        <v>1.17</v>
      </c>
      <c r="P24" s="1216">
        <v>1.17</v>
      </c>
      <c r="Q24" s="1217">
        <f>P24</f>
        <v>1.17</v>
      </c>
      <c r="R24" s="1216">
        <v>1.19</v>
      </c>
      <c r="S24" s="1216">
        <v>1.2</v>
      </c>
      <c r="T24" s="1216">
        <v>1.22</v>
      </c>
      <c r="U24" s="1216">
        <v>1.23</v>
      </c>
      <c r="V24" s="1217">
        <f>U24</f>
        <v>1.23</v>
      </c>
      <c r="W24" s="1216">
        <v>1.25</v>
      </c>
      <c r="X24" s="1216">
        <v>1.24</v>
      </c>
      <c r="Y24" s="1216">
        <v>1.21</v>
      </c>
      <c r="Z24" s="1216">
        <v>1.19</v>
      </c>
      <c r="AA24" s="1217"/>
      <c r="AB24" s="1216">
        <v>1.1399999999999999</v>
      </c>
      <c r="AC24" s="1216">
        <v>1.1000000000000001</v>
      </c>
      <c r="AD24" s="1216">
        <v>1.08</v>
      </c>
      <c r="AE24" s="1216">
        <v>1.07</v>
      </c>
      <c r="AF24" s="1217"/>
      <c r="AG24" s="1216">
        <v>1.05</v>
      </c>
      <c r="AH24" s="1216">
        <v>1.02</v>
      </c>
      <c r="AI24" s="1216">
        <v>1</v>
      </c>
      <c r="AJ24" s="1216">
        <v>0.98</v>
      </c>
      <c r="AK24" s="1217"/>
      <c r="AL24" s="1216">
        <v>0.99</v>
      </c>
      <c r="AM24" s="1216">
        <v>0.99</v>
      </c>
      <c r="AN24" s="1216">
        <v>1</v>
      </c>
      <c r="AO24" s="1216">
        <v>1.01</v>
      </c>
      <c r="AP24" s="1217"/>
      <c r="AQ24" s="1237">
        <v>1.01</v>
      </c>
      <c r="AR24" s="1237">
        <v>1.02</v>
      </c>
      <c r="AS24" s="1237">
        <v>1.02</v>
      </c>
      <c r="AT24" s="1237"/>
      <c r="AU24" s="1217"/>
      <c r="AV24" s="1237"/>
      <c r="AW24" s="1237"/>
      <c r="AX24" s="1237"/>
      <c r="AY24" s="1237"/>
      <c r="AZ24" s="1217"/>
    </row>
    <row r="25" spans="2:52" ht="14.25" customHeight="1">
      <c r="B25" s="1011"/>
      <c r="G25" s="279"/>
      <c r="L25" s="279"/>
      <c r="Q25" s="279"/>
      <c r="V25" s="279"/>
      <c r="AA25" s="279"/>
      <c r="AF25" s="279"/>
      <c r="AK25" s="279"/>
      <c r="AP25" s="279"/>
      <c r="AQ25" s="788"/>
      <c r="AR25" s="788"/>
      <c r="AS25" s="788"/>
      <c r="AT25" s="788"/>
      <c r="AU25" s="279"/>
      <c r="AV25" s="788"/>
      <c r="AW25" s="788"/>
      <c r="AX25" s="788"/>
      <c r="AY25" s="788"/>
      <c r="AZ25" s="279"/>
    </row>
    <row r="26" spans="2:52" ht="14.25" customHeight="1" outlineLevel="1">
      <c r="B26" s="1012" t="s">
        <v>561</v>
      </c>
      <c r="C26" s="278"/>
      <c r="D26" s="278"/>
      <c r="E26" s="278"/>
      <c r="F26" s="278"/>
      <c r="G26" s="274"/>
      <c r="H26" s="278">
        <v>19</v>
      </c>
      <c r="I26" s="278">
        <v>19</v>
      </c>
      <c r="J26" s="278">
        <v>19</v>
      </c>
      <c r="K26" s="278">
        <v>18</v>
      </c>
      <c r="L26" s="274"/>
      <c r="M26" s="278">
        <v>19</v>
      </c>
      <c r="N26" s="278">
        <v>19</v>
      </c>
      <c r="O26" s="278">
        <v>18</v>
      </c>
      <c r="P26" s="278">
        <v>18</v>
      </c>
      <c r="Q26" s="274"/>
      <c r="R26" s="278">
        <v>18</v>
      </c>
      <c r="S26" s="278">
        <v>17</v>
      </c>
      <c r="T26" s="278">
        <v>17</v>
      </c>
      <c r="U26" s="278">
        <v>18</v>
      </c>
      <c r="V26" s="274"/>
      <c r="W26" s="278">
        <v>18</v>
      </c>
      <c r="X26" s="278">
        <v>18</v>
      </c>
      <c r="Y26" s="278"/>
      <c r="Z26" s="278"/>
      <c r="AA26" s="274"/>
      <c r="AB26" s="278"/>
      <c r="AC26" s="278"/>
      <c r="AD26" s="278"/>
      <c r="AE26" s="278"/>
      <c r="AF26" s="274"/>
      <c r="AG26" s="278"/>
      <c r="AH26" s="278"/>
      <c r="AI26" s="278"/>
      <c r="AJ26" s="278"/>
      <c r="AK26" s="274"/>
      <c r="AL26" s="278"/>
      <c r="AM26" s="278">
        <v>19</v>
      </c>
      <c r="AN26" s="278">
        <v>19</v>
      </c>
      <c r="AO26" s="278">
        <v>19</v>
      </c>
      <c r="AP26" s="274"/>
      <c r="AQ26" s="1238">
        <v>19</v>
      </c>
      <c r="AR26" s="1238">
        <v>19</v>
      </c>
      <c r="AS26" s="1238">
        <v>19</v>
      </c>
      <c r="AT26" s="1238"/>
      <c r="AU26" s="274"/>
      <c r="AV26" s="1238"/>
      <c r="AW26" s="1238"/>
      <c r="AX26" s="1238"/>
      <c r="AY26" s="1238"/>
      <c r="AZ26" s="274"/>
    </row>
    <row r="27" spans="2:52" s="1000" customFormat="1" ht="12" customHeight="1" outlineLevel="1">
      <c r="B27" s="1015" t="s">
        <v>322</v>
      </c>
      <c r="C27" s="1002"/>
      <c r="D27" s="1002"/>
      <c r="E27" s="1002"/>
      <c r="F27" s="1002"/>
      <c r="G27" s="1021"/>
      <c r="H27" s="999"/>
      <c r="I27" s="999"/>
      <c r="J27" s="999"/>
      <c r="K27" s="999"/>
      <c r="L27" s="1022"/>
      <c r="M27" s="999">
        <f>M26-H26</f>
        <v>0</v>
      </c>
      <c r="N27" s="999">
        <f>N26-I26</f>
        <v>0</v>
      </c>
      <c r="O27" s="999">
        <f>O26-J26</f>
        <v>-1</v>
      </c>
      <c r="P27" s="999">
        <f>P26-K26</f>
        <v>0</v>
      </c>
      <c r="Q27" s="1022"/>
      <c r="R27" s="999">
        <f>R26-M26</f>
        <v>-1</v>
      </c>
      <c r="S27" s="999">
        <f>S26-N26</f>
        <v>-2</v>
      </c>
      <c r="T27" s="999">
        <f>T26-O26</f>
        <v>-1</v>
      </c>
      <c r="U27" s="999">
        <f>U26-P26</f>
        <v>0</v>
      </c>
      <c r="V27" s="1022"/>
      <c r="W27" s="999">
        <f>W26-R26</f>
        <v>0</v>
      </c>
      <c r="X27" s="999">
        <f>X26-S26</f>
        <v>1</v>
      </c>
      <c r="Y27" s="999">
        <f>Y26-T26</f>
        <v>-17</v>
      </c>
      <c r="Z27" s="999">
        <f>Z26-U26</f>
        <v>-18</v>
      </c>
      <c r="AA27" s="1022"/>
      <c r="AB27" s="999"/>
      <c r="AC27" s="999"/>
      <c r="AD27" s="999"/>
      <c r="AE27" s="999"/>
      <c r="AF27" s="1022"/>
      <c r="AG27" s="999"/>
      <c r="AH27" s="999"/>
      <c r="AI27" s="999"/>
      <c r="AJ27" s="999"/>
      <c r="AK27" s="1022"/>
      <c r="AL27" s="999"/>
      <c r="AM27" s="999"/>
      <c r="AN27" s="999"/>
      <c r="AO27" s="999"/>
      <c r="AP27" s="1022"/>
      <c r="AQ27" s="1239"/>
      <c r="AR27" s="1239"/>
      <c r="AS27" s="1239"/>
      <c r="AT27" s="1239"/>
      <c r="AU27" s="1022"/>
      <c r="AV27" s="1239"/>
      <c r="AW27" s="1239"/>
      <c r="AX27" s="1239"/>
      <c r="AY27" s="1239"/>
      <c r="AZ27" s="1022"/>
    </row>
    <row r="28" spans="2:52" ht="18" customHeight="1" outlineLevel="1">
      <c r="B28" s="1012" t="s">
        <v>320</v>
      </c>
      <c r="C28" s="987"/>
      <c r="D28" s="987"/>
      <c r="E28" s="987"/>
      <c r="F28" s="987"/>
      <c r="G28" s="988"/>
      <c r="H28" s="990">
        <v>0.37</v>
      </c>
      <c r="I28" s="990">
        <v>0.37</v>
      </c>
      <c r="J28" s="990">
        <v>0.37</v>
      </c>
      <c r="K28" s="990">
        <v>0.34</v>
      </c>
      <c r="L28" s="1027"/>
      <c r="M28" s="990">
        <v>0.35</v>
      </c>
      <c r="N28" s="990">
        <v>0.35</v>
      </c>
      <c r="O28" s="990">
        <v>0.34</v>
      </c>
      <c r="P28" s="990">
        <v>0.35</v>
      </c>
      <c r="Q28" s="274"/>
      <c r="R28" s="990">
        <v>0.33</v>
      </c>
      <c r="S28" s="990">
        <v>0.31</v>
      </c>
      <c r="T28" s="987">
        <v>0.31</v>
      </c>
      <c r="U28" s="987">
        <v>0.32</v>
      </c>
      <c r="V28" s="274"/>
      <c r="W28" s="990">
        <v>0.32</v>
      </c>
      <c r="X28" s="990">
        <v>0.35</v>
      </c>
      <c r="Y28" s="987"/>
      <c r="Z28" s="987"/>
      <c r="AA28" s="274"/>
      <c r="AB28" s="990"/>
      <c r="AC28" s="990"/>
      <c r="AD28" s="987"/>
      <c r="AE28" s="987"/>
      <c r="AF28" s="274"/>
      <c r="AG28" s="990"/>
      <c r="AH28" s="990"/>
      <c r="AI28" s="987"/>
      <c r="AJ28" s="987"/>
      <c r="AK28" s="274"/>
      <c r="AL28" s="990"/>
      <c r="AM28" s="990">
        <v>0.4</v>
      </c>
      <c r="AN28" s="990">
        <v>0.4</v>
      </c>
      <c r="AO28" s="990">
        <v>0.39</v>
      </c>
      <c r="AP28" s="274"/>
      <c r="AQ28" s="1240">
        <v>0.39</v>
      </c>
      <c r="AR28" s="1240">
        <v>0.38</v>
      </c>
      <c r="AS28" s="1241">
        <v>0.37</v>
      </c>
      <c r="AT28" s="1240"/>
      <c r="AU28" s="274"/>
      <c r="AV28" s="1240"/>
      <c r="AW28" s="1240"/>
      <c r="AX28" s="1241"/>
      <c r="AY28" s="1241"/>
      <c r="AZ28" s="274"/>
    </row>
    <row r="29" spans="2:52" s="194" customFormat="1" ht="12" customHeight="1" outlineLevel="1">
      <c r="B29" s="1015" t="s">
        <v>167</v>
      </c>
      <c r="C29" s="470"/>
      <c r="D29" s="470"/>
      <c r="E29" s="470"/>
      <c r="F29" s="470"/>
      <c r="G29" s="469"/>
      <c r="H29" s="1002"/>
      <c r="I29" s="1002"/>
      <c r="J29" s="1002"/>
      <c r="K29" s="1002"/>
      <c r="L29" s="1022"/>
      <c r="M29" s="1002">
        <f>M28/H28-1</f>
        <v>-5.4054054054054057E-2</v>
      </c>
      <c r="N29" s="1002">
        <f>N28/I28-1</f>
        <v>-5.4054054054054057E-2</v>
      </c>
      <c r="O29" s="1002">
        <f>O28/J28-1</f>
        <v>-8.108108108108103E-2</v>
      </c>
      <c r="P29" s="1002">
        <f>P28/K28-1</f>
        <v>2.9411764705882248E-2</v>
      </c>
      <c r="Q29" s="1022"/>
      <c r="R29" s="1002">
        <f>R28/M28-1</f>
        <v>-5.7142857142857051E-2</v>
      </c>
      <c r="S29" s="1002">
        <f>S28/N28-1</f>
        <v>-0.11428571428571421</v>
      </c>
      <c r="T29" s="1002">
        <f>T28/O28-1</f>
        <v>-8.8235294117647078E-2</v>
      </c>
      <c r="U29" s="1002">
        <f>U28/P28-1</f>
        <v>-8.5714285714285632E-2</v>
      </c>
      <c r="V29" s="421"/>
      <c r="W29" s="1002">
        <f>W28/R28-1</f>
        <v>-3.0303030303030276E-2</v>
      </c>
      <c r="X29" s="1002">
        <f>X28/S28-1</f>
        <v>0.12903225806451601</v>
      </c>
      <c r="Y29" s="1002">
        <f>Y28/T28-1</f>
        <v>-1</v>
      </c>
      <c r="Z29" s="1002">
        <f>Z28/U28-1</f>
        <v>-1</v>
      </c>
      <c r="AA29" s="421"/>
      <c r="AB29" s="1002"/>
      <c r="AC29" s="1002"/>
      <c r="AD29" s="1002"/>
      <c r="AE29" s="1002"/>
      <c r="AF29" s="421"/>
      <c r="AG29" s="1002"/>
      <c r="AH29" s="1002"/>
      <c r="AI29" s="1002"/>
      <c r="AJ29" s="1002"/>
      <c r="AK29" s="421"/>
      <c r="AL29" s="1002"/>
      <c r="AM29" s="1002"/>
      <c r="AN29" s="1223"/>
      <c r="AO29" s="1223"/>
      <c r="AP29" s="421"/>
      <c r="AQ29" s="1242"/>
      <c r="AR29" s="1242"/>
      <c r="AS29" s="1242"/>
      <c r="AT29" s="1247"/>
      <c r="AU29" s="421"/>
      <c r="AV29" s="1242"/>
      <c r="AW29" s="1242"/>
      <c r="AX29" s="1242"/>
      <c r="AY29" s="1242"/>
      <c r="AZ29" s="421"/>
    </row>
    <row r="30" spans="2:52" ht="18" customHeight="1" outlineLevel="1">
      <c r="B30" s="1012" t="s">
        <v>321</v>
      </c>
      <c r="C30" s="987"/>
      <c r="D30" s="987"/>
      <c r="E30" s="987"/>
      <c r="F30" s="987"/>
      <c r="G30" s="988"/>
      <c r="H30" s="990">
        <v>0.63</v>
      </c>
      <c r="I30" s="990">
        <v>0.63</v>
      </c>
      <c r="J30" s="990">
        <v>0.63</v>
      </c>
      <c r="K30" s="990">
        <v>0.66</v>
      </c>
      <c r="L30" s="1027"/>
      <c r="M30" s="990">
        <v>0.65</v>
      </c>
      <c r="N30" s="990">
        <v>0.65</v>
      </c>
      <c r="O30" s="990">
        <v>0.66</v>
      </c>
      <c r="P30" s="990">
        <v>0.65</v>
      </c>
      <c r="Q30" s="274"/>
      <c r="R30" s="990">
        <v>0.67</v>
      </c>
      <c r="S30" s="990">
        <v>0.69</v>
      </c>
      <c r="T30" s="987">
        <v>0.69</v>
      </c>
      <c r="U30" s="987">
        <v>0.68</v>
      </c>
      <c r="V30" s="274"/>
      <c r="W30" s="990">
        <v>0.38</v>
      </c>
      <c r="X30" s="990">
        <v>0.65</v>
      </c>
      <c r="Y30" s="987"/>
      <c r="Z30" s="987"/>
      <c r="AA30" s="274"/>
      <c r="AB30" s="990"/>
      <c r="AC30" s="990"/>
      <c r="AD30" s="987"/>
      <c r="AE30" s="987"/>
      <c r="AF30" s="274"/>
      <c r="AG30" s="990"/>
      <c r="AH30" s="990"/>
      <c r="AI30" s="987"/>
      <c r="AJ30" s="987"/>
      <c r="AK30" s="274"/>
      <c r="AL30" s="990"/>
      <c r="AM30" s="990">
        <v>0.6</v>
      </c>
      <c r="AN30" s="990">
        <v>0.6</v>
      </c>
      <c r="AO30" s="990">
        <v>0.61</v>
      </c>
      <c r="AP30" s="274"/>
      <c r="AQ30" s="1240">
        <v>0.61</v>
      </c>
      <c r="AR30" s="1240">
        <v>0.62</v>
      </c>
      <c r="AS30" s="1241">
        <v>0.63</v>
      </c>
      <c r="AT30" s="1240"/>
      <c r="AU30" s="274"/>
      <c r="AV30" s="1240"/>
      <c r="AW30" s="1240"/>
      <c r="AX30" s="1241"/>
      <c r="AY30" s="1241"/>
      <c r="AZ30" s="274"/>
    </row>
    <row r="31" spans="2:52" s="1000" customFormat="1" ht="12" customHeight="1" outlineLevel="1">
      <c r="B31" s="1015" t="s">
        <v>167</v>
      </c>
      <c r="C31" s="999"/>
      <c r="D31" s="999"/>
      <c r="E31" s="999"/>
      <c r="F31" s="999"/>
      <c r="G31" s="1022"/>
      <c r="H31" s="1002"/>
      <c r="I31" s="1002"/>
      <c r="J31" s="1002"/>
      <c r="K31" s="1002"/>
      <c r="L31" s="1022"/>
      <c r="M31" s="1002">
        <f>M30/H30-1</f>
        <v>3.1746031746031855E-2</v>
      </c>
      <c r="N31" s="1002">
        <f>N30/I30-1</f>
        <v>3.1746031746031855E-2</v>
      </c>
      <c r="O31" s="1002">
        <f>O30/J30-1</f>
        <v>4.7619047619047672E-2</v>
      </c>
      <c r="P31" s="1002">
        <f>P30/K30-1</f>
        <v>-1.5151515151515138E-2</v>
      </c>
      <c r="Q31" s="1022"/>
      <c r="R31" s="1002">
        <f>R30/M30-1</f>
        <v>3.0769230769230882E-2</v>
      </c>
      <c r="S31" s="1002">
        <f>S30/N30-1</f>
        <v>6.153846153846132E-2</v>
      </c>
      <c r="T31" s="1002">
        <f>T30/O30-1</f>
        <v>4.5454545454545414E-2</v>
      </c>
      <c r="U31" s="1002">
        <f>U30/P30-1</f>
        <v>4.6153846153846212E-2</v>
      </c>
      <c r="V31" s="1022"/>
      <c r="W31" s="1002">
        <f>W30/R30-1</f>
        <v>-0.43283582089552242</v>
      </c>
      <c r="X31" s="1002">
        <f>X30/S30-1</f>
        <v>-5.7971014492753548E-2</v>
      </c>
      <c r="Y31" s="1002">
        <f>Y30/T30-1</f>
        <v>-1</v>
      </c>
      <c r="Z31" s="1002">
        <f>Z30/U30-1</f>
        <v>-1</v>
      </c>
      <c r="AA31" s="1022"/>
      <c r="AB31" s="1002"/>
      <c r="AC31" s="1002"/>
      <c r="AD31" s="1002"/>
      <c r="AE31" s="1002"/>
      <c r="AF31" s="1022"/>
      <c r="AG31" s="1002"/>
      <c r="AH31" s="1002"/>
      <c r="AI31" s="1002"/>
      <c r="AJ31" s="1002"/>
      <c r="AK31" s="1022"/>
      <c r="AL31" s="1002"/>
      <c r="AM31" s="1002"/>
      <c r="AN31" s="1002"/>
      <c r="AO31" s="1002"/>
      <c r="AP31" s="1022"/>
      <c r="AQ31" s="1242"/>
      <c r="AR31" s="1242"/>
      <c r="AS31" s="1242"/>
      <c r="AT31" s="1247"/>
      <c r="AU31" s="1022"/>
      <c r="AV31" s="1242"/>
      <c r="AW31" s="1242"/>
      <c r="AX31" s="1242"/>
      <c r="AY31" s="1242"/>
      <c r="AZ31" s="1022"/>
    </row>
    <row r="32" spans="2:52" ht="14.25" customHeight="1" outlineLevel="1">
      <c r="B32" s="1016"/>
      <c r="C32" s="752"/>
      <c r="D32" s="752"/>
      <c r="E32" s="752"/>
      <c r="F32" s="752"/>
      <c r="G32" s="1023"/>
      <c r="L32" s="279"/>
      <c r="Q32" s="279"/>
      <c r="V32" s="279"/>
      <c r="AA32" s="279"/>
      <c r="AF32" s="279"/>
      <c r="AK32" s="279"/>
      <c r="AP32" s="279"/>
      <c r="AQ32" s="788"/>
      <c r="AR32" s="788"/>
      <c r="AS32" s="788"/>
      <c r="AT32" s="788"/>
      <c r="AU32" s="279"/>
      <c r="AV32" s="788"/>
      <c r="AW32" s="788"/>
      <c r="AX32" s="788"/>
      <c r="AY32" s="788"/>
      <c r="AZ32" s="279"/>
    </row>
    <row r="33" spans="2:52" ht="14.25" customHeight="1">
      <c r="B33" s="1012" t="s">
        <v>557</v>
      </c>
      <c r="G33" s="279"/>
      <c r="L33" s="279"/>
      <c r="Q33" s="279"/>
      <c r="V33" s="279"/>
      <c r="AA33" s="279"/>
      <c r="AF33" s="279"/>
      <c r="AK33" s="279"/>
      <c r="AP33" s="279"/>
      <c r="AQ33" s="788"/>
      <c r="AR33" s="788"/>
      <c r="AS33" s="788"/>
      <c r="AT33" s="788"/>
      <c r="AU33" s="279"/>
      <c r="AV33" s="788"/>
      <c r="AW33" s="788"/>
      <c r="AX33" s="788"/>
      <c r="AY33" s="788"/>
      <c r="AZ33" s="279"/>
    </row>
    <row r="34" spans="2:52" s="280" customFormat="1" ht="18" customHeight="1">
      <c r="B34" s="1017" t="s">
        <v>558</v>
      </c>
      <c r="C34" s="280">
        <v>96345</v>
      </c>
      <c r="D34" s="280">
        <v>104242</v>
      </c>
      <c r="E34" s="280">
        <v>106577</v>
      </c>
      <c r="F34" s="280">
        <f>G34-E34-D34-C34</f>
        <v>121387</v>
      </c>
      <c r="G34" s="281">
        <v>428551</v>
      </c>
      <c r="H34" s="280">
        <v>129814</v>
      </c>
      <c r="I34" s="280">
        <v>138543</v>
      </c>
      <c r="J34" s="280">
        <v>147677</v>
      </c>
      <c r="K34" s="280">
        <f>L34-J34-I34-H34</f>
        <v>164977</v>
      </c>
      <c r="L34" s="281">
        <v>581011</v>
      </c>
      <c r="M34" s="280">
        <v>176266</v>
      </c>
      <c r="N34" s="280">
        <v>193736</v>
      </c>
      <c r="O34" s="280">
        <v>206439</v>
      </c>
      <c r="P34" s="280">
        <f>Q34-O34-N34-M34</f>
        <v>226039</v>
      </c>
      <c r="Q34" s="281">
        <v>802480</v>
      </c>
      <c r="R34" s="280">
        <v>242168</v>
      </c>
      <c r="S34" s="280">
        <v>275494</v>
      </c>
      <c r="T34" s="280">
        <v>306680</v>
      </c>
      <c r="U34" s="280">
        <v>338096</v>
      </c>
      <c r="V34" s="281">
        <f>SUM(R34:U34)</f>
        <v>1162438</v>
      </c>
      <c r="W34" s="280">
        <v>368423</v>
      </c>
      <c r="X34" s="280">
        <f>IS!AY13-Metrics!X38</f>
        <v>397882</v>
      </c>
      <c r="Y34" s="280">
        <v>417296</v>
      </c>
      <c r="Z34" s="280">
        <f>Z42-Z38</f>
        <v>442365</v>
      </c>
      <c r="AA34" s="281">
        <f>SUM(W34:Z34)</f>
        <v>1625966</v>
      </c>
      <c r="AB34" s="280">
        <f>AB42-AB38</f>
        <v>444453</v>
      </c>
      <c r="AC34" s="280">
        <f>AC42-AC38</f>
        <v>468622</v>
      </c>
      <c r="AD34" s="280">
        <f>AD42-AD38</f>
        <v>488280</v>
      </c>
      <c r="AE34" s="280">
        <f>AE42-AE38</f>
        <v>494577</v>
      </c>
      <c r="AF34" s="281">
        <f>SUM(AB34:AE34)</f>
        <v>1895932</v>
      </c>
      <c r="AG34" s="280">
        <f>AG42-AG38</f>
        <v>493058</v>
      </c>
      <c r="AH34" s="280">
        <f>AH42-AH38</f>
        <v>508888.38</v>
      </c>
      <c r="AI34" s="280">
        <f>AI42-AI38</f>
        <v>518311.54000000004</v>
      </c>
      <c r="AJ34" s="280">
        <f>AJ42-AJ38</f>
        <v>516479.85</v>
      </c>
      <c r="AK34" s="281">
        <f>SUM(AG34:AJ34)</f>
        <v>2036737.77</v>
      </c>
      <c r="AL34" s="280">
        <f>AL42-AL38</f>
        <v>512714.9</v>
      </c>
      <c r="AM34" s="280">
        <f>AM42-AM38</f>
        <v>529939.43999999994</v>
      </c>
      <c r="AN34" s="280">
        <f>AN42-AN38</f>
        <v>542820</v>
      </c>
      <c r="AO34" s="280">
        <f>AO42-AO38</f>
        <v>557252</v>
      </c>
      <c r="AP34" s="281"/>
      <c r="AQ34" s="280">
        <f>AQ42-AQ38</f>
        <v>546654</v>
      </c>
      <c r="AR34" s="280">
        <f>AR42-AR38</f>
        <v>567636</v>
      </c>
      <c r="AS34" s="280">
        <f>AS42-AS38</f>
        <v>576350</v>
      </c>
      <c r="AT34" s="1236"/>
      <c r="AU34" s="281"/>
      <c r="AV34" s="1236"/>
      <c r="AW34" s="1236"/>
      <c r="AX34" s="1236"/>
      <c r="AY34" s="1236"/>
      <c r="AZ34" s="281"/>
    </row>
    <row r="35" spans="2:52" s="309" customFormat="1" ht="12" customHeight="1">
      <c r="B35" s="1018" t="s">
        <v>167</v>
      </c>
      <c r="G35" s="310"/>
      <c r="H35" s="998">
        <f t="shared" ref="H35:X35" si="7">H34/C34-1</f>
        <v>0.34738699465462664</v>
      </c>
      <c r="I35" s="998">
        <f t="shared" si="7"/>
        <v>0.32905162986128422</v>
      </c>
      <c r="J35" s="998">
        <f t="shared" si="7"/>
        <v>0.38563667583062022</v>
      </c>
      <c r="K35" s="309">
        <f t="shared" si="7"/>
        <v>0.35909940932719309</v>
      </c>
      <c r="L35" s="310">
        <f t="shared" si="7"/>
        <v>0.35575695774831928</v>
      </c>
      <c r="M35" s="998">
        <f t="shared" si="7"/>
        <v>0.35783505631133772</v>
      </c>
      <c r="N35" s="998">
        <f t="shared" si="7"/>
        <v>0.39838172986004339</v>
      </c>
      <c r="O35" s="998">
        <f t="shared" si="7"/>
        <v>0.39790894993804038</v>
      </c>
      <c r="P35" s="309">
        <f t="shared" si="7"/>
        <v>0.37012432035980769</v>
      </c>
      <c r="Q35" s="310">
        <f t="shared" si="7"/>
        <v>0.38117866959489577</v>
      </c>
      <c r="R35" s="998">
        <f t="shared" si="7"/>
        <v>0.37387811602918308</v>
      </c>
      <c r="S35" s="998">
        <f t="shared" si="7"/>
        <v>0.42200726762191842</v>
      </c>
      <c r="T35" s="998">
        <f t="shared" si="7"/>
        <v>0.48557200916493493</v>
      </c>
      <c r="U35" s="309">
        <f t="shared" si="7"/>
        <v>0.49574188524989049</v>
      </c>
      <c r="V35" s="310">
        <f t="shared" si="7"/>
        <v>0.4485569733825141</v>
      </c>
      <c r="W35" s="998">
        <f t="shared" si="7"/>
        <v>0.52135294506293151</v>
      </c>
      <c r="X35" s="998">
        <f t="shared" si="7"/>
        <v>0.44424923954786677</v>
      </c>
      <c r="Y35" s="1028">
        <f>IF(AND(ISNUMBER(Y34), ISNUMBER(T34)), Y34/T34-1, "-")</f>
        <v>0.36068866571018643</v>
      </c>
      <c r="Z35" s="1028">
        <f>IF(AND(ISNUMBER(Z34), ISNUMBER(U34)), Z34/U34-1, "-")</f>
        <v>0.30840057261842779</v>
      </c>
      <c r="AA35" s="310">
        <f>AA34/V34-1</f>
        <v>0.39875503037581361</v>
      </c>
      <c r="AB35" s="1028">
        <f>IF(AND(ISNUMBER(AB34), ISNUMBER(W34)), AB34/W34-1, "-")</f>
        <v>0.20636605206515335</v>
      </c>
      <c r="AC35" s="1028">
        <f>IF(AND(ISNUMBER(AC34), ISNUMBER(X34)), AC34/X34-1, "-")</f>
        <v>0.17779140549208061</v>
      </c>
      <c r="AD35" s="1028">
        <f>IF(AND(ISNUMBER(AD34), ISNUMBER(Y34)), AD34/Y34-1, "-")</f>
        <v>0.17010467390054052</v>
      </c>
      <c r="AE35" s="1028">
        <f>IF(AND(ISNUMBER(AE34), ISNUMBER(Z34)), AE34/Z34-1, "-")</f>
        <v>0.11802922925638337</v>
      </c>
      <c r="AF35" s="310">
        <f>AF34/AA34-1</f>
        <v>0.16603422211780572</v>
      </c>
      <c r="AG35" s="1028">
        <f>IF(AND(ISNUMBER(AG34), ISNUMBER(AB34)), AG34/AB34-1, "-")</f>
        <v>0.10935914483646192</v>
      </c>
      <c r="AH35" s="1028">
        <f>IF(AND(ISNUMBER(AH34), ISNUMBER(AC34)), AH34/AC34-1, "-")</f>
        <v>8.5925073940190666E-2</v>
      </c>
      <c r="AI35" s="1028">
        <f>IF(AND(ISNUMBER(AI34), ISNUMBER(AD34)), AI34/AD34-1, "-")</f>
        <v>6.1504751372163602E-2</v>
      </c>
      <c r="AJ35" s="1028">
        <f>IF(AND(ISNUMBER(AJ34), ISNUMBER(AE34)), AJ34/AE34-1, "-")</f>
        <v>4.4286026240605514E-2</v>
      </c>
      <c r="AK35" s="310">
        <f>AK34/AF34-1</f>
        <v>7.4267310219986893E-2</v>
      </c>
      <c r="AL35" s="1028">
        <f>IF(AND(ISNUMBER(AL34), ISNUMBER(AG34)), AL34/AG34-1, "-")</f>
        <v>3.9867317840903249E-2</v>
      </c>
      <c r="AM35" s="1028">
        <f>IF(AND(ISNUMBER(AM34), ISNUMBER(AH34)), AM34/AH34-1, "-")</f>
        <v>4.1366753157145997E-2</v>
      </c>
      <c r="AN35" s="1028">
        <f>IF(AND(ISNUMBER(AN34), ISNUMBER(AI34)), AN34/AI34-1, "-")</f>
        <v>4.728519067894954E-2</v>
      </c>
      <c r="AO35" s="1028">
        <f>IF(AND(ISNUMBER(AO34), ISNUMBER(AJ34)), AO34/AJ34-1, "-")</f>
        <v>7.8942382747361872E-2</v>
      </c>
      <c r="AP35" s="310"/>
      <c r="AQ35" s="1028">
        <f>IF(AND(ISNUMBER(AQ34), ISNUMBER(AL34)), AQ34/AL34-1, "-")</f>
        <v>6.6194877504047511E-2</v>
      </c>
      <c r="AR35" s="1028">
        <f>IF(AND(ISNUMBER(AR34), ISNUMBER(AM34)), AR34/AM34-1, "-")</f>
        <v>7.113371293897286E-2</v>
      </c>
      <c r="AS35" s="1028">
        <f>IF(AND(ISNUMBER(AS34), ISNUMBER(AN34)), AS34/AN34-1, "-")</f>
        <v>6.1770015843189308E-2</v>
      </c>
      <c r="AT35" s="1028" t="str">
        <f>IF(AND(ISNUMBER(AT34), ISNUMBER(AO34)), AT34/AO34-1, "-")</f>
        <v>-</v>
      </c>
      <c r="AU35" s="310"/>
      <c r="AV35" s="1028" t="str">
        <f>IF(AND(ISNUMBER(AV34), ISNUMBER(AQ34)), AV34/AQ34-1, "-")</f>
        <v>-</v>
      </c>
      <c r="AW35" s="1028" t="str">
        <f>IF(AND(ISNUMBER(AW34), ISNUMBER(AR34)), AW34/AR34-1, "-")</f>
        <v>-</v>
      </c>
      <c r="AX35" s="1028" t="str">
        <f>IF(AND(ISNUMBER(AX34), ISNUMBER(AS34)), AX34/AS34-1, "-")</f>
        <v>-</v>
      </c>
      <c r="AY35" s="1028" t="str">
        <f>IF(AND(ISNUMBER(AY34), ISNUMBER(AT34)), AY34/AT34-1, "-")</f>
        <v>-</v>
      </c>
      <c r="AZ35" s="310"/>
    </row>
    <row r="36" spans="2:52" s="235" customFormat="1" ht="12" customHeight="1">
      <c r="B36" s="1015" t="s">
        <v>168</v>
      </c>
      <c r="C36" s="309"/>
      <c r="D36" s="309">
        <f>D34/C34-1</f>
        <v>8.196585188644967E-2</v>
      </c>
      <c r="E36" s="309">
        <f>E34/D34-1</f>
        <v>2.2399800464304231E-2</v>
      </c>
      <c r="F36" s="309">
        <f>F34/E34-1</f>
        <v>0.13896056372388044</v>
      </c>
      <c r="G36" s="402"/>
      <c r="H36" s="1002">
        <f>H34/F34-1</f>
        <v>6.942259055747324E-2</v>
      </c>
      <c r="I36" s="1002">
        <f>I34/H34-1</f>
        <v>6.7242362148920654E-2</v>
      </c>
      <c r="J36" s="1002">
        <f>J34/I34-1</f>
        <v>6.5928989555589235E-2</v>
      </c>
      <c r="K36" s="1002">
        <f>K34/J34-1</f>
        <v>0.11714755852299286</v>
      </c>
      <c r="L36" s="402"/>
      <c r="M36" s="1002">
        <f>M34/K34-1</f>
        <v>6.8427720227668187E-2</v>
      </c>
      <c r="N36" s="1002">
        <f>N34/M34-1</f>
        <v>9.9111570013502348E-2</v>
      </c>
      <c r="O36" s="1002">
        <f>O34/N34-1</f>
        <v>6.556860882850879E-2</v>
      </c>
      <c r="P36" s="1002">
        <f>P34/O34-1</f>
        <v>9.4943300442261291E-2</v>
      </c>
      <c r="Q36" s="402"/>
      <c r="R36" s="1002">
        <f>R34/P34-1</f>
        <v>7.13549431735232E-2</v>
      </c>
      <c r="S36" s="1002">
        <f>S34/R34-1</f>
        <v>0.13761520927620485</v>
      </c>
      <c r="T36" s="1002">
        <f>T34/S34-1</f>
        <v>0.11320028748357491</v>
      </c>
      <c r="U36" s="1002">
        <f>U34/T34-1</f>
        <v>0.10243902439024399</v>
      </c>
      <c r="V36" s="310"/>
      <c r="W36" s="1002">
        <f>W34/U34-1</f>
        <v>8.9699375325351438E-2</v>
      </c>
      <c r="X36" s="1002">
        <f>X34/W34-1</f>
        <v>7.9959720212907426E-2</v>
      </c>
      <c r="Y36" s="1028">
        <f>IF(AND(ISNUMBER(Y34), ISNUMBER(X34)), Y34/X34-1, "-")</f>
        <v>4.8793360845677869E-2</v>
      </c>
      <c r="Z36" s="1028">
        <f>IF(AND(ISNUMBER(Z34), ISNUMBER(Y34)), Z34/Y34-1, "-")</f>
        <v>6.00748629270349E-2</v>
      </c>
      <c r="AA36" s="310"/>
      <c r="AB36" s="1028">
        <f>IF(AND(ISNUMBER(AB34), ISNUMBER(Z34)), AB34/Z34-1, "-")</f>
        <v>4.7200840934522592E-3</v>
      </c>
      <c r="AC36" s="1028">
        <f>IF(AND(ISNUMBER(AC34), ISNUMBER(AB34)), AC34/AB34-1, "-")</f>
        <v>5.4379203200338289E-2</v>
      </c>
      <c r="AD36" s="1028">
        <f>IF(AND(ISNUMBER(AD34), ISNUMBER(AC34)), AD34/AC34-1, "-")</f>
        <v>4.1948521409579609E-2</v>
      </c>
      <c r="AE36" s="1028">
        <f>IF(AND(ISNUMBER(AE34), ISNUMBER(AD34)), AE34/AD34-1, "-")</f>
        <v>1.2896289014499907E-2</v>
      </c>
      <c r="AF36" s="310"/>
      <c r="AG36" s="1028">
        <f>IF(AND(ISNUMBER(AG34), ISNUMBER(AE34)), AG34/AE34-1, "-")</f>
        <v>-3.07131144392081E-3</v>
      </c>
      <c r="AH36" s="1028">
        <f>IF(AND(ISNUMBER(AH34), ISNUMBER(AG34)), AH34/AG34-1, "-")</f>
        <v>3.210652702116179E-2</v>
      </c>
      <c r="AI36" s="1028">
        <f>IF(AND(ISNUMBER(AI34), ISNUMBER(AH34)), AI34/AH34-1, "-")</f>
        <v>1.851714515469971E-2</v>
      </c>
      <c r="AJ36" s="1028">
        <f>IF(AND(ISNUMBER(AJ34), ISNUMBER(AI34)), AJ34/AI34-1, "-")</f>
        <v>-3.5339556591775789E-3</v>
      </c>
      <c r="AK36" s="310"/>
      <c r="AL36" s="1028">
        <f>IF(AND(ISNUMBER(AL34), ISNUMBER(AJ34)), AL34/AJ34-1, "-")</f>
        <v>-7.2896357912123344E-3</v>
      </c>
      <c r="AM36" s="1028">
        <f>IF(AND(ISNUMBER(AM34), ISNUMBER(AL34)), AM34/AL34-1, "-")</f>
        <v>3.3594771675252488E-2</v>
      </c>
      <c r="AN36" s="1028">
        <f>IF(AND(ISNUMBER(AN34), ISNUMBER(AM34)), AN34/AM34-1, "-")</f>
        <v>2.4305720668761799E-2</v>
      </c>
      <c r="AO36" s="1028">
        <f>IF(AND(ISNUMBER(AO34), ISNUMBER(AN34)), AO34/AN34-1, "-")</f>
        <v>2.6587082274050378E-2</v>
      </c>
      <c r="AP36" s="402"/>
      <c r="AQ36" s="1028">
        <f>IF(AND(ISNUMBER(AQ34), ISNUMBER(AO34)), AQ34/AO34-1, "-")</f>
        <v>-1.9018325640823175E-2</v>
      </c>
      <c r="AR36" s="1028">
        <f>IF(AND(ISNUMBER(AR34), ISNUMBER(AQ34)), AR34/AQ34-1, "-")</f>
        <v>3.8382596669922942E-2</v>
      </c>
      <c r="AS36" s="1028">
        <f>IF(AND(ISNUMBER(AS34), ISNUMBER(AR34)), AS34/AR34-1, "-")</f>
        <v>1.5351387156558038E-2</v>
      </c>
      <c r="AT36" s="1028" t="str">
        <f>IF(AND(ISNUMBER(AT34), ISNUMBER(AS34)), AT34/AS34-1, "-")</f>
        <v>-</v>
      </c>
      <c r="AU36" s="402"/>
      <c r="AV36" s="1028" t="str">
        <f>IF(AND(ISNUMBER(AV34), ISNUMBER(AT34)), AV34/AT34-1, "-")</f>
        <v>-</v>
      </c>
      <c r="AW36" s="1028" t="str">
        <f>IF(AND(ISNUMBER(AW34), ISNUMBER(AV34)), AW34/AV34-1, "-")</f>
        <v>-</v>
      </c>
      <c r="AX36" s="1028" t="str">
        <f>IF(AND(ISNUMBER(AX34), ISNUMBER(AW34)), AX34/AW34-1, "-")</f>
        <v>-</v>
      </c>
      <c r="AY36" s="1028" t="str">
        <f>IF(AND(ISNUMBER(AY34), ISNUMBER(AX34)), AY34/AX34-1, "-")</f>
        <v>-</v>
      </c>
      <c r="AZ36" s="402"/>
    </row>
    <row r="37" spans="2:52" s="309" customFormat="1" ht="12" customHeight="1">
      <c r="B37" s="1018" t="s">
        <v>560</v>
      </c>
      <c r="C37" s="309">
        <f t="shared" ref="C37:AQ37" si="8">C34/C42</f>
        <v>0.84886958360499742</v>
      </c>
      <c r="D37" s="309">
        <f t="shared" si="8"/>
        <v>0.8303290506041755</v>
      </c>
      <c r="E37" s="309">
        <f t="shared" si="8"/>
        <v>0.81612540106747122</v>
      </c>
      <c r="F37" s="309">
        <f t="shared" si="8"/>
        <v>0.81536735763128554</v>
      </c>
      <c r="G37" s="310">
        <f t="shared" si="8"/>
        <v>0.82651435668770157</v>
      </c>
      <c r="H37" s="309">
        <f t="shared" si="8"/>
        <v>0.83316646128568495</v>
      </c>
      <c r="I37" s="309">
        <f t="shared" si="8"/>
        <v>0.82938028303919931</v>
      </c>
      <c r="J37" s="309">
        <f t="shared" si="8"/>
        <v>0.82785548112229168</v>
      </c>
      <c r="K37" s="309">
        <f t="shared" si="8"/>
        <v>0.82599182905092827</v>
      </c>
      <c r="L37" s="310">
        <f t="shared" si="8"/>
        <v>0.82886832370618391</v>
      </c>
      <c r="M37" s="309">
        <f t="shared" si="8"/>
        <v>0.823819182845552</v>
      </c>
      <c r="N37" s="309">
        <f t="shared" si="8"/>
        <v>0.82226711712476441</v>
      </c>
      <c r="O37" s="309">
        <f t="shared" si="8"/>
        <v>0.82740418914477643</v>
      </c>
      <c r="P37" s="309">
        <f t="shared" si="8"/>
        <v>0.82227395914803836</v>
      </c>
      <c r="Q37" s="310">
        <f t="shared" si="8"/>
        <v>0.8239259690483598</v>
      </c>
      <c r="R37" s="309">
        <f t="shared" si="8"/>
        <v>0.81533380244228448</v>
      </c>
      <c r="S37" s="309">
        <f t="shared" si="8"/>
        <v>0.80504603911644634</v>
      </c>
      <c r="T37" s="309">
        <f t="shared" si="8"/>
        <v>0.8008920853539746</v>
      </c>
      <c r="U37" s="309">
        <f t="shared" si="8"/>
        <v>0.78463116561227952</v>
      </c>
      <c r="V37" s="310">
        <f t="shared" si="8"/>
        <v>0.80000027528359374</v>
      </c>
      <c r="W37" s="309">
        <f t="shared" si="8"/>
        <v>0.78541948247413007</v>
      </c>
      <c r="X37" s="309">
        <f t="shared" si="8"/>
        <v>0.77735013011777021</v>
      </c>
      <c r="Y37" s="309">
        <f t="shared" si="8"/>
        <v>0.76503080868913198</v>
      </c>
      <c r="Z37" s="309">
        <f t="shared" si="8"/>
        <v>0.76161101048847513</v>
      </c>
      <c r="AA37" s="310">
        <f t="shared" si="8"/>
        <v>0.77161919559152303</v>
      </c>
      <c r="AB37" s="309">
        <f t="shared" si="8"/>
        <v>0.75498393047637813</v>
      </c>
      <c r="AC37" s="309">
        <f t="shared" si="8"/>
        <v>0.75318876730999185</v>
      </c>
      <c r="AD37" s="309">
        <f t="shared" si="8"/>
        <v>0.7564802320194961</v>
      </c>
      <c r="AE37" s="309">
        <f t="shared" si="8"/>
        <v>0.7498408068213519</v>
      </c>
      <c r="AF37" s="310">
        <f t="shared" si="8"/>
        <v>0.75357553812430067</v>
      </c>
      <c r="AG37" s="309">
        <f t="shared" si="8"/>
        <v>0.74548978814251243</v>
      </c>
      <c r="AH37" s="309">
        <f t="shared" si="8"/>
        <v>0.74</v>
      </c>
      <c r="AI37" s="309">
        <f t="shared" si="8"/>
        <v>0.7400000000000001</v>
      </c>
      <c r="AJ37" s="309">
        <f t="shared" si="8"/>
        <v>0.72499999999999998</v>
      </c>
      <c r="AK37" s="310">
        <f t="shared" si="8"/>
        <v>0.7374456149828269</v>
      </c>
      <c r="AL37" s="309">
        <f t="shared" si="8"/>
        <v>0.72250000000000003</v>
      </c>
      <c r="AM37" s="309">
        <f t="shared" si="8"/>
        <v>0.72</v>
      </c>
      <c r="AN37" s="309">
        <f t="shared" si="8"/>
        <v>0.71913833761691526</v>
      </c>
      <c r="AO37" s="309">
        <f t="shared" si="8"/>
        <v>0.71787512302705825</v>
      </c>
      <c r="AP37" s="310"/>
      <c r="AQ37" s="309">
        <f t="shared" si="8"/>
        <v>0.71583989607859055</v>
      </c>
      <c r="AR37" s="1028">
        <f>AR34/AR42</f>
        <v>0.70898135981894395</v>
      </c>
      <c r="AS37" s="1028">
        <f>AS34/AS42</f>
        <v>0.70428300849269876</v>
      </c>
      <c r="AT37" s="1028"/>
      <c r="AU37" s="310"/>
      <c r="AV37" s="1028"/>
      <c r="AW37" s="1028"/>
      <c r="AX37" s="1028"/>
      <c r="AY37" s="1028"/>
      <c r="AZ37" s="310"/>
    </row>
    <row r="38" spans="2:52" s="280" customFormat="1" ht="18" customHeight="1">
      <c r="B38" s="1017" t="s">
        <v>559</v>
      </c>
      <c r="C38" s="280">
        <v>17153</v>
      </c>
      <c r="D38" s="280">
        <v>21301</v>
      </c>
      <c r="E38" s="280">
        <v>24012</v>
      </c>
      <c r="F38" s="280">
        <f>G38-E38-D38-C38</f>
        <v>27487</v>
      </c>
      <c r="G38" s="281">
        <v>89953</v>
      </c>
      <c r="H38" s="280">
        <v>25994</v>
      </c>
      <c r="I38" s="280">
        <v>28501</v>
      </c>
      <c r="J38" s="280">
        <v>30708</v>
      </c>
      <c r="K38" s="280">
        <f>L38-J38-I38-H38</f>
        <v>34755</v>
      </c>
      <c r="L38" s="281">
        <v>119958</v>
      </c>
      <c r="M38" s="280">
        <v>37696</v>
      </c>
      <c r="N38" s="280">
        <v>41876</v>
      </c>
      <c r="O38" s="280">
        <v>43063</v>
      </c>
      <c r="P38" s="280">
        <f>Q38-O38-N38-M38</f>
        <v>48856</v>
      </c>
      <c r="Q38" s="281">
        <v>171491</v>
      </c>
      <c r="R38" s="280">
        <v>54849</v>
      </c>
      <c r="S38" s="280">
        <v>66715</v>
      </c>
      <c r="T38" s="280">
        <v>76243</v>
      </c>
      <c r="U38" s="280">
        <v>92802</v>
      </c>
      <c r="V38" s="281">
        <f>SUM(R38:U38)</f>
        <v>290609</v>
      </c>
      <c r="W38" s="280">
        <v>100655</v>
      </c>
      <c r="X38" s="280">
        <v>113962</v>
      </c>
      <c r="Y38" s="280">
        <v>128167</v>
      </c>
      <c r="Z38" s="1209">
        <f>481247-SUM(W38:Y38)</f>
        <v>138463</v>
      </c>
      <c r="AA38" s="1210">
        <f>SUM(W38:Z38)</f>
        <v>481247</v>
      </c>
      <c r="AB38" s="1209">
        <v>144239</v>
      </c>
      <c r="AC38" s="1209">
        <v>153562</v>
      </c>
      <c r="AD38" s="1209">
        <v>157183</v>
      </c>
      <c r="AE38" s="1209">
        <f>619983-SUM(AB38:AD38)</f>
        <v>164999</v>
      </c>
      <c r="AF38" s="1210">
        <f>SUM(AB38:AE38)</f>
        <v>619983</v>
      </c>
      <c r="AG38" s="1209">
        <v>168330</v>
      </c>
      <c r="AH38" s="1209">
        <f>AH41*AH42</f>
        <v>178798.62</v>
      </c>
      <c r="AI38" s="1209">
        <f>AI41*AI42</f>
        <v>182109.46</v>
      </c>
      <c r="AJ38" s="1209">
        <f>AJ41*AJ42</f>
        <v>195906.15000000002</v>
      </c>
      <c r="AK38" s="1210">
        <f>SUM(AG38:AJ38)</f>
        <v>725144.23</v>
      </c>
      <c r="AL38" s="1209">
        <f>AL41*AL42</f>
        <v>196925.1</v>
      </c>
      <c r="AM38" s="1209">
        <f>AM41*AM42</f>
        <v>206087.56000000003</v>
      </c>
      <c r="AN38" s="280">
        <v>212000</v>
      </c>
      <c r="AO38" s="280">
        <v>219000</v>
      </c>
      <c r="AP38" s="281"/>
      <c r="AQ38" s="1236">
        <v>217000</v>
      </c>
      <c r="AR38" s="1236">
        <v>233000</v>
      </c>
      <c r="AS38" s="1236">
        <v>242000</v>
      </c>
      <c r="AT38" s="1236"/>
      <c r="AU38" s="281"/>
      <c r="AV38" s="1236"/>
      <c r="AW38" s="1236"/>
      <c r="AX38" s="1236"/>
      <c r="AY38" s="1236"/>
      <c r="AZ38" s="281"/>
    </row>
    <row r="39" spans="2:52" s="1005" customFormat="1" ht="12" customHeight="1">
      <c r="B39" s="1018" t="s">
        <v>167</v>
      </c>
      <c r="G39" s="1025"/>
      <c r="H39" s="1005">
        <f t="shared" ref="H39:X39" si="9">H38/C38-1</f>
        <v>0.51542004314114154</v>
      </c>
      <c r="I39" s="1005">
        <f t="shared" si="9"/>
        <v>0.33801229989202386</v>
      </c>
      <c r="J39" s="1005">
        <f t="shared" si="9"/>
        <v>0.2788605697151425</v>
      </c>
      <c r="K39" s="1005">
        <f t="shared" si="9"/>
        <v>0.26441590570087681</v>
      </c>
      <c r="L39" s="1025">
        <f t="shared" si="9"/>
        <v>0.33356308294331494</v>
      </c>
      <c r="M39" s="1005">
        <f t="shared" si="9"/>
        <v>0.45018081095637452</v>
      </c>
      <c r="N39" s="1005">
        <f t="shared" si="9"/>
        <v>0.46928177958668127</v>
      </c>
      <c r="O39" s="1005">
        <f t="shared" si="9"/>
        <v>0.40233815292431929</v>
      </c>
      <c r="P39" s="1005">
        <f t="shared" si="9"/>
        <v>0.40572579484966198</v>
      </c>
      <c r="Q39" s="1025">
        <f t="shared" si="9"/>
        <v>0.42959202387502282</v>
      </c>
      <c r="R39" s="1005">
        <f t="shared" si="9"/>
        <v>0.4550350169779287</v>
      </c>
      <c r="S39" s="1005">
        <f t="shared" si="9"/>
        <v>0.59315598433470251</v>
      </c>
      <c r="T39" s="1005">
        <f t="shared" si="9"/>
        <v>0.77049903629565986</v>
      </c>
      <c r="U39" s="1005">
        <f t="shared" si="9"/>
        <v>0.89950057311282139</v>
      </c>
      <c r="V39" s="1025">
        <f t="shared" si="9"/>
        <v>0.69460204908712408</v>
      </c>
      <c r="W39" s="1005">
        <f t="shared" si="9"/>
        <v>0.83512917281992372</v>
      </c>
      <c r="X39" s="1005">
        <f t="shared" si="9"/>
        <v>0.70819156111818926</v>
      </c>
      <c r="Y39" s="1028">
        <f>IF(AND(ISNUMBER(Y38), ISNUMBER(T38)), Y38/T38-1, "-")</f>
        <v>0.68103301286675499</v>
      </c>
      <c r="Z39" s="1028">
        <f>IF(AND(ISNUMBER(Z38), ISNUMBER(U38)), Z38/U38-1, "-")</f>
        <v>0.49202603392168265</v>
      </c>
      <c r="AA39" s="1025">
        <f>AA38/V38-1</f>
        <v>0.65599482466131476</v>
      </c>
      <c r="AB39" s="1028">
        <f>IF(AND(ISNUMBER(AB38), ISNUMBER(W38)), AB38/W38-1, "-")</f>
        <v>0.43300382494659972</v>
      </c>
      <c r="AC39" s="1028">
        <f>IF(AND(ISNUMBER(AC38), ISNUMBER(X38)), AC38/X38-1, "-")</f>
        <v>0.34748424913567688</v>
      </c>
      <c r="AD39" s="1028">
        <f>IF(AND(ISNUMBER(AD38), ISNUMBER(Y38)), AD38/Y38-1, "-")</f>
        <v>0.22639212901917039</v>
      </c>
      <c r="AE39" s="1028">
        <f>IF(AND(ISNUMBER(AE38), ISNUMBER(Z38)), AE38/Z38-1, "-")</f>
        <v>0.19164686594974834</v>
      </c>
      <c r="AF39" s="1025">
        <f>AF38/AA38-1</f>
        <v>0.28828439450012167</v>
      </c>
      <c r="AG39" s="1028">
        <f>IF(AND(ISNUMBER(AG38), ISNUMBER(AB38)), AG38/AB38-1, "-")</f>
        <v>0.16702140197866044</v>
      </c>
      <c r="AH39" s="1028">
        <v>0.17</v>
      </c>
      <c r="AI39" s="1028">
        <f>IF(AND(ISNUMBER(AI38), ISNUMBER(AD38)), AI38/AD38-1, "-")</f>
        <v>0.15858241667355877</v>
      </c>
      <c r="AJ39" s="1028">
        <f>IF(AND(ISNUMBER(AJ38), ISNUMBER(AE38)), AJ38/AE38-1, "-")</f>
        <v>0.18731719586179318</v>
      </c>
      <c r="AK39" s="1025">
        <f>AK38/AF38-1</f>
        <v>0.1696195379550729</v>
      </c>
      <c r="AL39" s="1028">
        <f>IF(AND(ISNUMBER(AL38), ISNUMBER(AG38)), AL38/AG38-1, "-")</f>
        <v>0.16987524505435747</v>
      </c>
      <c r="AM39" s="1028">
        <f>IF(AND(ISNUMBER(AM38), ISNUMBER(AH38)), AM38/AH38-1, "-")</f>
        <v>0.1526238849047048</v>
      </c>
      <c r="AN39" s="1028">
        <f>IF(AND(ISNUMBER(AN38), ISNUMBER(AI38)), AN38/AI38-1, "-")</f>
        <v>0.1641350207726715</v>
      </c>
      <c r="AO39" s="1028">
        <f>IF(AND(ISNUMBER(AO38), ISNUMBER(AJ38)), AO38/AJ38-1, "-")</f>
        <v>0.11788221043596625</v>
      </c>
      <c r="AP39" s="1025"/>
      <c r="AQ39" s="1028">
        <f>IF(AND(ISNUMBER(AQ38), ISNUMBER(AL38)), AQ38/AL38-1, "-")</f>
        <v>0.10194180426974508</v>
      </c>
      <c r="AR39" s="1028">
        <f>IF(AND(ISNUMBER(AR38), ISNUMBER(AM38)), AR38/AM38-1, "-")</f>
        <v>0.13058740663434509</v>
      </c>
      <c r="AS39" s="1028">
        <f>IF(AND(ISNUMBER(AS38), ISNUMBER(AN38)), AS38/AN38-1, "-")</f>
        <v>0.14150943396226423</v>
      </c>
      <c r="AT39" s="1028" t="str">
        <f>IF(AND(ISNUMBER(AT38), ISNUMBER(AO38)), AT38/AO38-1, "-")</f>
        <v>-</v>
      </c>
      <c r="AU39" s="1025"/>
      <c r="AV39" s="1028" t="str">
        <f>IF(AND(ISNUMBER(AV38), ISNUMBER(AQ38)), AV38/AQ38-1, "-")</f>
        <v>-</v>
      </c>
      <c r="AW39" s="1028" t="str">
        <f>IF(AND(ISNUMBER(AW38), ISNUMBER(AR38)), AW38/AR38-1, "-")</f>
        <v>-</v>
      </c>
      <c r="AX39" s="1028" t="str">
        <f>IF(AND(ISNUMBER(AX38), ISNUMBER(AS38)), AX38/AS38-1, "-")</f>
        <v>-</v>
      </c>
      <c r="AY39" s="1028" t="str">
        <f>IF(AND(ISNUMBER(AY38), ISNUMBER(AT38)), AY38/AT38-1, "-")</f>
        <v>-</v>
      </c>
      <c r="AZ39" s="1025"/>
    </row>
    <row r="40" spans="2:52" s="1004" customFormat="1" ht="12" customHeight="1">
      <c r="B40" s="1015" t="s">
        <v>168</v>
      </c>
      <c r="C40" s="1005"/>
      <c r="D40" s="1005">
        <f>D38/C38-1</f>
        <v>0.24182358771060453</v>
      </c>
      <c r="E40" s="1005">
        <f>E38/D38-1</f>
        <v>0.12727102013989944</v>
      </c>
      <c r="F40" s="1006">
        <f>F38/E38-1</f>
        <v>0.14471930701316005</v>
      </c>
      <c r="G40" s="1024"/>
      <c r="H40" s="1007">
        <f>H38/F38-1</f>
        <v>-5.4316586022483349E-2</v>
      </c>
      <c r="I40" s="1006">
        <f>I38/H38-1</f>
        <v>9.6445333538508926E-2</v>
      </c>
      <c r="J40" s="1006">
        <f>J38/I38-1</f>
        <v>7.7435879442826483E-2</v>
      </c>
      <c r="K40" s="1006">
        <f>K38/J38-1</f>
        <v>0.13178976162563494</v>
      </c>
      <c r="L40" s="1024"/>
      <c r="M40" s="1007">
        <f>M38/K38-1</f>
        <v>8.4620917853546196E-2</v>
      </c>
      <c r="N40" s="1006">
        <f>N38/M38-1</f>
        <v>0.11088709677419351</v>
      </c>
      <c r="O40" s="1006">
        <f>O38/N38-1</f>
        <v>2.8345591747062748E-2</v>
      </c>
      <c r="P40" s="1006">
        <f>P38/O38-1</f>
        <v>0.13452383716879912</v>
      </c>
      <c r="Q40" s="1024"/>
      <c r="R40" s="1007">
        <f>R38/P38-1</f>
        <v>0.12266661208449325</v>
      </c>
      <c r="S40" s="1006">
        <f>S38/R38-1</f>
        <v>0.21633940454702905</v>
      </c>
      <c r="T40" s="1006">
        <f>T38/S38-1</f>
        <v>0.14281645806790078</v>
      </c>
      <c r="U40" s="1006">
        <f>U38/T38-1</f>
        <v>0.21718715160736068</v>
      </c>
      <c r="V40" s="1024"/>
      <c r="W40" s="1007">
        <f>W38/U38-1</f>
        <v>8.4621021098683302E-2</v>
      </c>
      <c r="X40" s="1006">
        <f>X38/W38-1</f>
        <v>0.13220406338482937</v>
      </c>
      <c r="Y40" s="1028">
        <f>IF(AND(ISNUMBER(Y38), ISNUMBER(X38)), Y38/X38-1, "-")</f>
        <v>0.12464681209525974</v>
      </c>
      <c r="Z40" s="1028">
        <f>IF(AND(ISNUMBER(Z38), ISNUMBER(Y38)), Z38/Y38-1, "-")</f>
        <v>8.0332690942286344E-2</v>
      </c>
      <c r="AA40" s="1024"/>
      <c r="AB40" s="1028">
        <f>IF(AND(ISNUMBER(AB38), ISNUMBER(Z38)), AB38/Z38-1, "-")</f>
        <v>4.171511522933935E-2</v>
      </c>
      <c r="AC40" s="1028">
        <f>IF(AND(ISNUMBER(AC38), ISNUMBER(AB38)), AC38/AB38-1, "-")</f>
        <v>6.4635778118262044E-2</v>
      </c>
      <c r="AD40" s="1028">
        <f>IF(AND(ISNUMBER(AD38), ISNUMBER(AC38)), AD38/AC38-1, "-")</f>
        <v>2.3580052356702907E-2</v>
      </c>
      <c r="AE40" s="1028">
        <f>IF(AND(ISNUMBER(AE38), ISNUMBER(AD38)), AE38/AD38-1, "-")</f>
        <v>4.9725479218490465E-2</v>
      </c>
      <c r="AF40" s="1024"/>
      <c r="AG40" s="1028">
        <f>IF(AND(ISNUMBER(AG38), ISNUMBER(AE38)), AG38/AE38-1, "-")</f>
        <v>2.0188001139400891E-2</v>
      </c>
      <c r="AH40" s="1028">
        <f>IF(AND(ISNUMBER(AH38), ISNUMBER(AG38)), AH38/AG38-1, "-")</f>
        <v>6.2191053288183973E-2</v>
      </c>
      <c r="AI40" s="1028">
        <f>IF(AND(ISNUMBER(AI38), ISNUMBER(AH38)), AI38/AH38-1, "-")</f>
        <v>1.851714515469971E-2</v>
      </c>
      <c r="AJ40" s="1028">
        <f>IF(AND(ISNUMBER(AJ38), ISNUMBER(AI38)), AJ38/AI38-1, "-")</f>
        <v>7.5760424527095083E-2</v>
      </c>
      <c r="AK40" s="1024"/>
      <c r="AL40" s="1028">
        <f>IF(AND(ISNUMBER(AL38), ISNUMBER(AJ38)), AL38/AJ38-1, "-")</f>
        <v>5.2012149695146448E-3</v>
      </c>
      <c r="AM40" s="1028">
        <f>IF(AND(ISNUMBER(AM38), ISNUMBER(AL38)), AM38/AL38-1, "-")</f>
        <v>4.6527639188706837E-2</v>
      </c>
      <c r="AN40" s="1028">
        <f>IF(AND(ISNUMBER(AN38), ISNUMBER(AM38)), AN38/AM38-1, "-")</f>
        <v>2.8688970843266715E-2</v>
      </c>
      <c r="AO40" s="1028">
        <f>IF(AND(ISNUMBER(AO38), ISNUMBER(AN38)), AO38/AN38-1, "-")</f>
        <v>3.3018867924528239E-2</v>
      </c>
      <c r="AP40" s="1024"/>
      <c r="AQ40" s="1028">
        <f>IF(AND(ISNUMBER(AQ38), ISNUMBER(AO38)), AQ38/AO38-1, "-")</f>
        <v>-9.1324200913242004E-3</v>
      </c>
      <c r="AR40" s="1028">
        <f>IF(AND(ISNUMBER(AR38), ISNUMBER(AQ38)), AR38/AQ38-1, "-")</f>
        <v>7.3732718894009119E-2</v>
      </c>
      <c r="AS40" s="1028">
        <f>IF(AND(ISNUMBER(AS38), ISNUMBER(AR38)), AS38/AR38-1, "-")</f>
        <v>3.8626609442059978E-2</v>
      </c>
      <c r="AT40" s="1028" t="str">
        <f>IF(AND(ISNUMBER(AT38), ISNUMBER(AS38)), AT38/AS38-1, "-")</f>
        <v>-</v>
      </c>
      <c r="AU40" s="1024"/>
      <c r="AV40" s="1028" t="str">
        <f>IF(AND(ISNUMBER(AV38), ISNUMBER(AT38)), AV38/AT38-1, "-")</f>
        <v>-</v>
      </c>
      <c r="AW40" s="1028" t="str">
        <f>IF(AND(ISNUMBER(AW38), ISNUMBER(AV38)), AW38/AV38-1, "-")</f>
        <v>-</v>
      </c>
      <c r="AX40" s="1028" t="str">
        <f>IF(AND(ISNUMBER(AX38), ISNUMBER(AW38)), AX38/AW38-1, "-")</f>
        <v>-</v>
      </c>
      <c r="AY40" s="1028" t="str">
        <f>IF(AND(ISNUMBER(AY38), ISNUMBER(AX38)), AY38/AX38-1, "-")</f>
        <v>-</v>
      </c>
      <c r="AZ40" s="1024"/>
    </row>
    <row r="41" spans="2:52" s="309" customFormat="1" ht="12" customHeight="1">
      <c r="B41" s="1018" t="s">
        <v>560</v>
      </c>
      <c r="C41" s="309">
        <f t="shared" ref="C41:AG41" si="10">C38/C42</f>
        <v>0.15113041639500255</v>
      </c>
      <c r="D41" s="309">
        <f t="shared" si="10"/>
        <v>0.16967094939582453</v>
      </c>
      <c r="E41" s="309">
        <f t="shared" si="10"/>
        <v>0.18387459893252878</v>
      </c>
      <c r="F41" s="309">
        <f t="shared" si="10"/>
        <v>0.18463264236871449</v>
      </c>
      <c r="G41" s="310">
        <f t="shared" si="10"/>
        <v>0.17348564331229846</v>
      </c>
      <c r="H41" s="309">
        <f t="shared" si="10"/>
        <v>0.16683353871431505</v>
      </c>
      <c r="I41" s="309">
        <f t="shared" si="10"/>
        <v>0.17061971696080075</v>
      </c>
      <c r="J41" s="309">
        <f t="shared" si="10"/>
        <v>0.17214451887770832</v>
      </c>
      <c r="K41" s="309">
        <f t="shared" si="10"/>
        <v>0.17400817094907176</v>
      </c>
      <c r="L41" s="310">
        <f t="shared" si="10"/>
        <v>0.17113167629381612</v>
      </c>
      <c r="M41" s="309">
        <f t="shared" si="10"/>
        <v>0.176180817154448</v>
      </c>
      <c r="N41" s="309">
        <f t="shared" si="10"/>
        <v>0.17773288287523556</v>
      </c>
      <c r="O41" s="309">
        <f t="shared" si="10"/>
        <v>0.1725958108552236</v>
      </c>
      <c r="P41" s="309">
        <f t="shared" si="10"/>
        <v>0.17772604085196167</v>
      </c>
      <c r="Q41" s="310">
        <f t="shared" si="10"/>
        <v>0.17607403095164023</v>
      </c>
      <c r="R41" s="309">
        <f t="shared" si="10"/>
        <v>0.18466619755771554</v>
      </c>
      <c r="S41" s="309">
        <f t="shared" si="10"/>
        <v>0.19495396088355363</v>
      </c>
      <c r="T41" s="309">
        <f t="shared" si="10"/>
        <v>0.19910791464602545</v>
      </c>
      <c r="U41" s="309">
        <f t="shared" si="10"/>
        <v>0.21536883438772053</v>
      </c>
      <c r="V41" s="310">
        <f t="shared" si="10"/>
        <v>0.19999972471640629</v>
      </c>
      <c r="W41" s="309">
        <f t="shared" si="10"/>
        <v>0.2145805175258699</v>
      </c>
      <c r="X41" s="309">
        <f t="shared" si="10"/>
        <v>0.22264986988222973</v>
      </c>
      <c r="Y41" s="309">
        <f t="shared" si="10"/>
        <v>0.23496919131086802</v>
      </c>
      <c r="Z41" s="309">
        <f t="shared" si="10"/>
        <v>0.23838898951152493</v>
      </c>
      <c r="AA41" s="310">
        <f t="shared" si="10"/>
        <v>0.22838080440847697</v>
      </c>
      <c r="AB41" s="309">
        <f t="shared" si="10"/>
        <v>0.24501606952362187</v>
      </c>
      <c r="AC41" s="309">
        <f t="shared" si="10"/>
        <v>0.2468112326900081</v>
      </c>
      <c r="AD41" s="309">
        <f t="shared" si="10"/>
        <v>0.24351976798050393</v>
      </c>
      <c r="AE41" s="309">
        <f t="shared" si="10"/>
        <v>0.2501591931786481</v>
      </c>
      <c r="AF41" s="310">
        <f t="shared" si="10"/>
        <v>0.2464244618756993</v>
      </c>
      <c r="AG41" s="309">
        <f t="shared" si="10"/>
        <v>0.25451021185748757</v>
      </c>
      <c r="AH41" s="309">
        <v>0.26</v>
      </c>
      <c r="AI41" s="309">
        <v>0.26</v>
      </c>
      <c r="AJ41" s="309">
        <v>0.27500000000000002</v>
      </c>
      <c r="AK41" s="310">
        <f>AK38/AK42</f>
        <v>0.26255438501717304</v>
      </c>
      <c r="AL41" s="309">
        <v>0.27750000000000002</v>
      </c>
      <c r="AM41" s="309">
        <v>0.28000000000000003</v>
      </c>
      <c r="AN41" s="309">
        <v>0.28000000000000003</v>
      </c>
      <c r="AO41" s="309">
        <v>0.28000000000000003</v>
      </c>
      <c r="AP41" s="310"/>
      <c r="AQ41" s="309">
        <v>0.27750000000000002</v>
      </c>
      <c r="AR41" s="1243">
        <f>AR38/AR42</f>
        <v>0.29101864018105605</v>
      </c>
      <c r="AS41" s="1243">
        <f>AS38/AS42</f>
        <v>0.2957169915073013</v>
      </c>
      <c r="AT41" s="1243"/>
      <c r="AU41" s="310"/>
      <c r="AV41" s="1243"/>
      <c r="AW41" s="1243"/>
      <c r="AX41" s="1243"/>
      <c r="AY41" s="1243"/>
      <c r="AZ41" s="310"/>
    </row>
    <row r="42" spans="2:52" s="306" customFormat="1" ht="18" customHeight="1">
      <c r="B42" s="1012" t="s">
        <v>181</v>
      </c>
      <c r="C42" s="997">
        <f>C38+C34</f>
        <v>113498</v>
      </c>
      <c r="D42" s="997">
        <f>D38+D34</f>
        <v>125543</v>
      </c>
      <c r="E42" s="997">
        <f>E38+E34</f>
        <v>130589</v>
      </c>
      <c r="F42" s="997">
        <f>F34+F38</f>
        <v>148874</v>
      </c>
      <c r="G42" s="1026">
        <f>G38+G34</f>
        <v>518504</v>
      </c>
      <c r="H42" s="997">
        <f>H34+H38</f>
        <v>155808</v>
      </c>
      <c r="I42" s="997">
        <f>I34+I38</f>
        <v>167044</v>
      </c>
      <c r="J42" s="997">
        <f>J34+J38</f>
        <v>178385</v>
      </c>
      <c r="K42" s="997">
        <f>K34+K38</f>
        <v>199732</v>
      </c>
      <c r="L42" s="1026">
        <f>L38+L34</f>
        <v>700969</v>
      </c>
      <c r="M42" s="997">
        <f>M34+M38</f>
        <v>213962</v>
      </c>
      <c r="N42" s="997">
        <f>N34+N38</f>
        <v>235612</v>
      </c>
      <c r="O42" s="997">
        <f>O34+O38</f>
        <v>249502</v>
      </c>
      <c r="P42" s="997">
        <f>P34+P38</f>
        <v>274895</v>
      </c>
      <c r="Q42" s="1026">
        <f>Q38+Q34</f>
        <v>973971</v>
      </c>
      <c r="R42" s="997">
        <f>R34+R38</f>
        <v>297017</v>
      </c>
      <c r="S42" s="997">
        <f>S34+S38</f>
        <v>342209</v>
      </c>
      <c r="T42" s="997">
        <f>T34+T38</f>
        <v>382923</v>
      </c>
      <c r="U42" s="997">
        <f>U34+U38</f>
        <v>430898</v>
      </c>
      <c r="V42" s="1026">
        <f>V38+V34</f>
        <v>1453047</v>
      </c>
      <c r="W42" s="997">
        <f>W34+W38</f>
        <v>469078</v>
      </c>
      <c r="X42" s="997">
        <f>X34+X38</f>
        <v>511844</v>
      </c>
      <c r="Y42" s="997">
        <f>IS!AZ13</f>
        <v>545463</v>
      </c>
      <c r="Z42" s="997">
        <f>IS!BA13</f>
        <v>580828</v>
      </c>
      <c r="AA42" s="1026">
        <f>AA38+AA34</f>
        <v>2107213</v>
      </c>
      <c r="AB42" s="997">
        <f>IS!BC13</f>
        <v>588692</v>
      </c>
      <c r="AC42" s="997">
        <f>IS!BD13</f>
        <v>622184</v>
      </c>
      <c r="AD42" s="997">
        <f>IS!BE13</f>
        <v>645463</v>
      </c>
      <c r="AE42" s="997">
        <f>IS!BF13</f>
        <v>659576</v>
      </c>
      <c r="AF42" s="1026">
        <f>AF38+AF34</f>
        <v>2515915</v>
      </c>
      <c r="AG42" s="997">
        <f>IS!BH13</f>
        <v>661388</v>
      </c>
      <c r="AH42" s="997">
        <f>IS!BI13</f>
        <v>687687</v>
      </c>
      <c r="AI42" s="997">
        <f>IS!BJ13</f>
        <v>700421</v>
      </c>
      <c r="AJ42" s="997">
        <f>IS!BK13</f>
        <v>712386</v>
      </c>
      <c r="AK42" s="1026">
        <f>AK38+AK34</f>
        <v>2761882</v>
      </c>
      <c r="AL42" s="997">
        <f>IS!BM13</f>
        <v>709640</v>
      </c>
      <c r="AM42" s="997">
        <f>IS!BN13</f>
        <v>736027</v>
      </c>
      <c r="AN42" s="997">
        <f>IS!BO13</f>
        <v>754820</v>
      </c>
      <c r="AO42" s="997">
        <f>IS!BP13</f>
        <v>776252</v>
      </c>
      <c r="AP42" s="1026"/>
      <c r="AQ42" s="997">
        <f>IS!BR13</f>
        <v>763654</v>
      </c>
      <c r="AR42" s="997">
        <f>IS!BS13</f>
        <v>800636</v>
      </c>
      <c r="AS42" s="997">
        <f>IS!BT13</f>
        <v>818350</v>
      </c>
      <c r="AT42" s="1244"/>
      <c r="AU42" s="1026"/>
      <c r="AV42" s="1244"/>
      <c r="AW42" s="1244"/>
      <c r="AX42" s="1244"/>
      <c r="AY42" s="1244"/>
      <c r="AZ42" s="1026"/>
    </row>
    <row r="43" spans="2:52" ht="13.5" thickBot="1">
      <c r="B43" s="1019"/>
      <c r="C43" s="992"/>
      <c r="D43" s="992"/>
      <c r="E43" s="992"/>
      <c r="F43" s="992"/>
      <c r="G43" s="283"/>
      <c r="H43" s="992"/>
      <c r="I43" s="992"/>
      <c r="J43" s="992"/>
      <c r="K43" s="992"/>
      <c r="L43" s="283"/>
      <c r="M43" s="992"/>
      <c r="N43" s="992"/>
      <c r="O43" s="992"/>
      <c r="P43" s="992"/>
      <c r="Q43" s="283"/>
      <c r="R43" s="1003"/>
      <c r="S43" s="993"/>
      <c r="T43" s="993"/>
      <c r="U43" s="993"/>
      <c r="V43" s="994"/>
      <c r="W43" s="1003"/>
      <c r="X43" s="993"/>
      <c r="Y43" s="993"/>
      <c r="Z43" s="993"/>
      <c r="AA43" s="994"/>
      <c r="AB43" s="1003"/>
      <c r="AC43" s="993"/>
      <c r="AD43" s="993"/>
      <c r="AE43" s="993"/>
      <c r="AF43" s="994"/>
      <c r="AG43" s="1003"/>
      <c r="AH43" s="993"/>
      <c r="AI43" s="993"/>
      <c r="AJ43" s="993"/>
      <c r="AK43" s="994"/>
      <c r="AL43" s="1003"/>
      <c r="AM43" s="993"/>
      <c r="AN43" s="993"/>
      <c r="AO43" s="993"/>
      <c r="AP43" s="994"/>
      <c r="AQ43" s="1245"/>
      <c r="AR43" s="1246"/>
      <c r="AS43" s="1246"/>
      <c r="AT43" s="1246"/>
      <c r="AU43" s="994"/>
      <c r="AV43" s="1245"/>
      <c r="AW43" s="1246"/>
      <c r="AX43" s="1246"/>
      <c r="AY43" s="1246"/>
      <c r="AZ43" s="994"/>
    </row>
    <row r="44" spans="2:52">
      <c r="C44" s="995"/>
      <c r="D44" s="995"/>
      <c r="E44" s="995"/>
      <c r="F44" s="995"/>
      <c r="G44" s="995"/>
      <c r="H44" s="995"/>
      <c r="I44" s="995"/>
      <c r="J44" s="995"/>
      <c r="K44" s="995"/>
      <c r="L44" s="995"/>
      <c r="M44" s="995"/>
      <c r="N44" s="995"/>
      <c r="O44" s="995"/>
      <c r="P44" s="995"/>
      <c r="Q44" s="995"/>
      <c r="R44" s="995"/>
      <c r="S44" s="995"/>
      <c r="T44" s="995"/>
      <c r="U44" s="995"/>
      <c r="V44" s="995"/>
      <c r="W44" s="995"/>
      <c r="X44" s="995"/>
      <c r="Y44" s="995"/>
      <c r="AC44" s="995"/>
      <c r="AD44" s="995"/>
      <c r="AH44" s="995"/>
      <c r="AI44" s="995"/>
      <c r="AM44" s="995"/>
      <c r="AN44" s="995"/>
      <c r="AR44" s="995"/>
      <c r="AS44" s="995"/>
      <c r="AW44" s="995"/>
      <c r="AX44" s="995"/>
    </row>
    <row r="45" spans="2:52">
      <c r="Y45" s="1208"/>
    </row>
    <row r="46" spans="2:52">
      <c r="AM46" s="1208">
        <f>AM42-AH42</f>
        <v>48340</v>
      </c>
    </row>
    <row r="47" spans="2:52" ht="14.25" hidden="1" customHeight="1" outlineLevel="1">
      <c r="B47" s="996" t="s">
        <v>319</v>
      </c>
      <c r="C47" s="278"/>
      <c r="D47" s="278"/>
      <c r="E47" s="278"/>
      <c r="F47" s="278"/>
      <c r="G47" s="278"/>
      <c r="H47" s="278">
        <v>13</v>
      </c>
      <c r="I47" s="278">
        <v>13</v>
      </c>
      <c r="J47" s="278">
        <v>14</v>
      </c>
      <c r="K47" s="278">
        <v>14</v>
      </c>
      <c r="L47" s="278"/>
      <c r="M47" s="278">
        <v>14</v>
      </c>
      <c r="N47" s="278">
        <v>14</v>
      </c>
      <c r="O47" s="278">
        <v>14</v>
      </c>
      <c r="P47" s="278">
        <v>15</v>
      </c>
      <c r="Q47" s="278"/>
      <c r="R47" s="278">
        <v>14</v>
      </c>
      <c r="S47" s="278">
        <v>14</v>
      </c>
      <c r="T47" s="278">
        <v>17</v>
      </c>
      <c r="U47" s="278"/>
      <c r="V47" s="278"/>
      <c r="W47" s="278"/>
      <c r="X47" s="278">
        <v>18</v>
      </c>
      <c r="Y47" s="278"/>
      <c r="Z47" s="278"/>
      <c r="AA47" s="278"/>
      <c r="AB47" s="278"/>
      <c r="AC47" s="278"/>
      <c r="AD47" s="278"/>
      <c r="AE47" s="278"/>
      <c r="AF47" s="278"/>
      <c r="AG47" s="278"/>
      <c r="AH47" s="278"/>
      <c r="AI47" s="278"/>
      <c r="AJ47" s="278"/>
      <c r="AK47" s="278"/>
      <c r="AL47" s="278"/>
      <c r="AM47" s="278"/>
      <c r="AN47" s="278"/>
      <c r="AO47" s="278"/>
      <c r="AP47" s="278"/>
      <c r="AQ47" s="278"/>
      <c r="AR47" s="278"/>
      <c r="AS47" s="278"/>
      <c r="AT47" s="278"/>
      <c r="AU47" s="278"/>
      <c r="AV47" s="278"/>
      <c r="AW47" s="278"/>
      <c r="AX47" s="278"/>
      <c r="AY47" s="278"/>
      <c r="AZ47" s="278"/>
    </row>
    <row r="48" spans="2:52" ht="14.25" hidden="1" customHeight="1" outlineLevel="1">
      <c r="B48" s="986" t="s">
        <v>168</v>
      </c>
      <c r="C48" s="278"/>
      <c r="D48" s="278"/>
      <c r="E48" s="278"/>
      <c r="F48" s="278"/>
      <c r="G48" s="278"/>
      <c r="H48" s="278"/>
      <c r="I48" s="278"/>
      <c r="J48" s="278"/>
      <c r="K48" s="278"/>
      <c r="L48" s="278"/>
      <c r="M48" s="278"/>
      <c r="N48" s="278"/>
      <c r="O48" s="278"/>
      <c r="P48" s="278"/>
      <c r="Q48" s="278"/>
      <c r="R48" s="278"/>
      <c r="S48" s="278"/>
      <c r="T48" s="278"/>
      <c r="U48" s="278"/>
      <c r="V48" s="278"/>
      <c r="W48" s="278"/>
      <c r="X48" s="278"/>
      <c r="Y48" s="278"/>
      <c r="Z48" s="278"/>
      <c r="AA48" s="278"/>
      <c r="AB48" s="278"/>
      <c r="AC48" s="278"/>
      <c r="AD48" s="278"/>
      <c r="AE48" s="278"/>
      <c r="AF48" s="278"/>
      <c r="AG48" s="278"/>
      <c r="AH48" s="278"/>
      <c r="AI48" s="278"/>
      <c r="AJ48" s="278"/>
      <c r="AK48" s="278"/>
      <c r="AL48" s="278"/>
      <c r="AM48" s="278"/>
      <c r="AN48" s="278"/>
      <c r="AO48" s="278"/>
      <c r="AP48" s="278"/>
      <c r="AQ48" s="278"/>
      <c r="AR48" s="278"/>
      <c r="AS48" s="278"/>
      <c r="AT48" s="278"/>
      <c r="AU48" s="278"/>
      <c r="AV48" s="278"/>
      <c r="AW48" s="278"/>
      <c r="AX48" s="278"/>
      <c r="AY48" s="278"/>
      <c r="AZ48" s="278"/>
    </row>
    <row r="49" spans="2:52" ht="14.25" hidden="1" customHeight="1" outlineLevel="1">
      <c r="B49" s="986" t="s">
        <v>249</v>
      </c>
      <c r="C49" s="278" t="e">
        <f>#REF!-#REF!</f>
        <v>#REF!</v>
      </c>
      <c r="D49" s="278">
        <f>D47-C47</f>
        <v>0</v>
      </c>
      <c r="E49" s="278">
        <f>E47-D47</f>
        <v>0</v>
      </c>
      <c r="F49" s="278">
        <f>F47-E47</f>
        <v>0</v>
      </c>
      <c r="G49" s="278"/>
      <c r="H49" s="278">
        <f>H47-F47</f>
        <v>13</v>
      </c>
      <c r="I49" s="278">
        <f>I47-H47</f>
        <v>0</v>
      </c>
      <c r="J49" s="278">
        <f>J47-I47</f>
        <v>1</v>
      </c>
      <c r="K49" s="278">
        <f>K47-J47</f>
        <v>0</v>
      </c>
      <c r="L49" s="278"/>
      <c r="M49" s="278">
        <f>M47-K47</f>
        <v>0</v>
      </c>
      <c r="N49" s="278">
        <f>N47-M47</f>
        <v>0</v>
      </c>
      <c r="O49" s="278">
        <f>O47-N47</f>
        <v>0</v>
      </c>
      <c r="P49" s="278">
        <f>P47-O47</f>
        <v>1</v>
      </c>
      <c r="Q49" s="278"/>
      <c r="R49" s="278">
        <f>R47-P47</f>
        <v>-1</v>
      </c>
      <c r="S49" s="278">
        <f>S47-R47</f>
        <v>0</v>
      </c>
      <c r="T49" s="278">
        <f>T47-S47</f>
        <v>3</v>
      </c>
      <c r="U49" s="278">
        <f>U47-T47</f>
        <v>-17</v>
      </c>
      <c r="V49" s="278"/>
      <c r="W49" s="278">
        <f>W47-U47</f>
        <v>0</v>
      </c>
      <c r="X49" s="278">
        <f>X47-W47</f>
        <v>18</v>
      </c>
      <c r="Y49" s="278">
        <f>Y47-X47</f>
        <v>-18</v>
      </c>
      <c r="Z49" s="278">
        <f>Z47-Y47</f>
        <v>0</v>
      </c>
      <c r="AA49" s="278"/>
      <c r="AB49" s="278"/>
      <c r="AC49" s="278"/>
      <c r="AD49" s="278"/>
      <c r="AE49" s="278"/>
      <c r="AF49" s="278"/>
      <c r="AG49" s="278"/>
      <c r="AH49" s="278"/>
      <c r="AI49" s="278"/>
      <c r="AJ49" s="278"/>
      <c r="AK49" s="278"/>
      <c r="AL49" s="278"/>
      <c r="AM49" s="278"/>
      <c r="AN49" s="278"/>
      <c r="AO49" s="278"/>
      <c r="AP49" s="278"/>
      <c r="AQ49" s="278"/>
      <c r="AR49" s="278"/>
      <c r="AS49" s="278"/>
      <c r="AT49" s="278"/>
      <c r="AU49" s="278"/>
      <c r="AV49" s="278"/>
      <c r="AW49" s="278"/>
      <c r="AX49" s="278"/>
      <c r="AY49" s="278"/>
      <c r="AZ49" s="278"/>
    </row>
    <row r="50" spans="2:52" ht="14.25" hidden="1" customHeight="1" outlineLevel="1">
      <c r="B50" s="986" t="s">
        <v>322</v>
      </c>
      <c r="C50" s="987"/>
      <c r="D50" s="987"/>
      <c r="E50" s="987"/>
      <c r="F50" s="987"/>
      <c r="G50" s="987" t="e">
        <f>G47/#REF!-1</f>
        <v>#REF!</v>
      </c>
      <c r="H50" s="278">
        <f>H47-C47</f>
        <v>13</v>
      </c>
      <c r="I50" s="278">
        <f>I47-D47</f>
        <v>13</v>
      </c>
      <c r="J50" s="278">
        <f>J47-E47</f>
        <v>14</v>
      </c>
      <c r="K50" s="278">
        <f>K47-F47</f>
        <v>14</v>
      </c>
      <c r="L50" s="278"/>
      <c r="M50" s="278">
        <f>M47-H47</f>
        <v>1</v>
      </c>
      <c r="N50" s="278">
        <f>N47-I47</f>
        <v>1</v>
      </c>
      <c r="O50" s="278">
        <f>O47-J47</f>
        <v>0</v>
      </c>
      <c r="P50" s="278">
        <f>P47-K47</f>
        <v>1</v>
      </c>
      <c r="Q50" s="278"/>
      <c r="R50" s="278">
        <f>R47-M47</f>
        <v>0</v>
      </c>
      <c r="S50" s="278">
        <f>S47-N47</f>
        <v>0</v>
      </c>
      <c r="T50" s="278">
        <f>T47-O47</f>
        <v>3</v>
      </c>
      <c r="U50" s="278">
        <f>U47-P47</f>
        <v>-15</v>
      </c>
      <c r="V50" s="278"/>
      <c r="W50" s="278">
        <f>W47-R47</f>
        <v>-14</v>
      </c>
      <c r="X50" s="278">
        <f>X47-S47</f>
        <v>4</v>
      </c>
      <c r="Y50" s="278">
        <f>Y47-T47</f>
        <v>-17</v>
      </c>
      <c r="Z50" s="278">
        <f>Z47-U47</f>
        <v>0</v>
      </c>
      <c r="AA50" s="278"/>
      <c r="AB50" s="278"/>
      <c r="AC50" s="278"/>
      <c r="AD50" s="278"/>
      <c r="AE50" s="278"/>
      <c r="AF50" s="278"/>
      <c r="AG50" s="278"/>
      <c r="AH50" s="278"/>
      <c r="AI50" s="278"/>
      <c r="AJ50" s="278"/>
      <c r="AK50" s="278"/>
      <c r="AL50" s="278"/>
      <c r="AM50" s="278"/>
      <c r="AN50" s="278"/>
      <c r="AO50" s="278"/>
      <c r="AP50" s="278"/>
      <c r="AQ50" s="278"/>
      <c r="AR50" s="278"/>
      <c r="AS50" s="278"/>
      <c r="AT50" s="278"/>
      <c r="AU50" s="278"/>
      <c r="AV50" s="278"/>
      <c r="AW50" s="278"/>
      <c r="AX50" s="278"/>
      <c r="AY50" s="278"/>
      <c r="AZ50" s="278"/>
    </row>
    <row r="51" spans="2:52" ht="14.25" hidden="1" customHeight="1" outlineLevel="1">
      <c r="B51" s="986"/>
      <c r="C51" s="987"/>
      <c r="D51" s="987"/>
      <c r="E51" s="987"/>
      <c r="F51" s="987"/>
      <c r="G51" s="987"/>
      <c r="H51" s="987"/>
      <c r="I51" s="987"/>
      <c r="J51" s="987"/>
      <c r="K51" s="987"/>
      <c r="L51" s="278"/>
      <c r="M51" s="987"/>
      <c r="N51" s="987"/>
      <c r="O51" s="987"/>
      <c r="P51" s="987"/>
      <c r="Q51" s="278"/>
      <c r="R51" s="987"/>
      <c r="S51" s="987"/>
      <c r="T51" s="987"/>
      <c r="U51" s="987"/>
      <c r="V51" s="278"/>
      <c r="W51" s="987"/>
      <c r="X51" s="987"/>
      <c r="Y51" s="987"/>
      <c r="Z51" s="987"/>
      <c r="AA51" s="278"/>
      <c r="AB51" s="987"/>
      <c r="AC51" s="987"/>
      <c r="AD51" s="987"/>
      <c r="AE51" s="987"/>
      <c r="AF51" s="278"/>
      <c r="AG51" s="987"/>
      <c r="AH51" s="987"/>
      <c r="AI51" s="987"/>
      <c r="AJ51" s="987"/>
      <c r="AK51" s="278"/>
      <c r="AL51" s="987"/>
      <c r="AM51" s="987"/>
      <c r="AN51" s="987"/>
      <c r="AO51" s="987"/>
      <c r="AP51" s="278"/>
      <c r="AQ51" s="987"/>
      <c r="AR51" s="987"/>
      <c r="AS51" s="987"/>
      <c r="AT51" s="987"/>
      <c r="AU51" s="278"/>
      <c r="AV51" s="987"/>
      <c r="AW51" s="987"/>
      <c r="AX51" s="987"/>
      <c r="AY51" s="987"/>
      <c r="AZ51" s="278"/>
    </row>
    <row r="52" spans="2:52" ht="14.25" hidden="1" customHeight="1" outlineLevel="1">
      <c r="B52" s="996" t="s">
        <v>320</v>
      </c>
      <c r="C52" s="987"/>
      <c r="D52" s="987"/>
      <c r="E52" s="987"/>
      <c r="F52" s="987"/>
      <c r="G52" s="987"/>
      <c r="H52" s="990">
        <v>0.12</v>
      </c>
      <c r="I52" s="990">
        <v>0.13</v>
      </c>
      <c r="J52" s="990">
        <v>0.14000000000000001</v>
      </c>
      <c r="K52" s="990">
        <v>0.15</v>
      </c>
      <c r="L52" s="990"/>
      <c r="M52" s="990">
        <v>0.16</v>
      </c>
      <c r="N52" s="990">
        <v>0.16</v>
      </c>
      <c r="O52" s="990">
        <v>0.17</v>
      </c>
      <c r="P52" s="990">
        <v>0.18</v>
      </c>
      <c r="Q52" s="278"/>
      <c r="R52" s="990">
        <v>0.18</v>
      </c>
      <c r="S52" s="990">
        <v>0.17</v>
      </c>
      <c r="T52" s="987">
        <v>0.31</v>
      </c>
      <c r="U52" s="987"/>
      <c r="V52" s="278"/>
      <c r="W52" s="990"/>
      <c r="X52" s="990">
        <v>0.35</v>
      </c>
      <c r="Y52" s="987"/>
      <c r="Z52" s="987"/>
      <c r="AA52" s="278"/>
      <c r="AB52" s="990"/>
      <c r="AC52" s="990"/>
      <c r="AD52" s="987"/>
      <c r="AE52" s="987"/>
      <c r="AF52" s="278"/>
      <c r="AG52" s="990"/>
      <c r="AH52" s="990"/>
      <c r="AI52" s="987"/>
      <c r="AJ52" s="987"/>
      <c r="AK52" s="278"/>
      <c r="AL52" s="990"/>
      <c r="AM52" s="990"/>
      <c r="AN52" s="987"/>
      <c r="AO52" s="987"/>
      <c r="AP52" s="278"/>
      <c r="AQ52" s="990"/>
      <c r="AR52" s="990"/>
      <c r="AS52" s="987"/>
      <c r="AT52" s="987"/>
      <c r="AU52" s="278"/>
      <c r="AV52" s="990"/>
      <c r="AW52" s="990"/>
      <c r="AX52" s="987"/>
      <c r="AY52" s="987"/>
      <c r="AZ52" s="278"/>
    </row>
    <row r="53" spans="2:52" ht="14.25" hidden="1" customHeight="1" outlineLevel="1">
      <c r="B53" s="986" t="s">
        <v>167</v>
      </c>
      <c r="C53" s="987"/>
      <c r="D53" s="987"/>
      <c r="E53" s="987"/>
      <c r="F53" s="987"/>
      <c r="G53" s="987"/>
      <c r="H53" s="989" t="e">
        <f>H52/C52-1</f>
        <v>#DIV/0!</v>
      </c>
      <c r="I53" s="989" t="e">
        <f>I52/D52-1</f>
        <v>#DIV/0!</v>
      </c>
      <c r="J53" s="989" t="e">
        <f>J52/E52-1</f>
        <v>#DIV/0!</v>
      </c>
      <c r="K53" s="989" t="e">
        <f>K52/F52-1</f>
        <v>#DIV/0!</v>
      </c>
      <c r="L53" s="354"/>
      <c r="M53" s="989">
        <f>M52/H52-1</f>
        <v>0.33333333333333348</v>
      </c>
      <c r="N53" s="989">
        <f>N52/I52-1</f>
        <v>0.23076923076923084</v>
      </c>
      <c r="O53" s="989">
        <f>O52/J52-1</f>
        <v>0.21428571428571419</v>
      </c>
      <c r="P53" s="989">
        <f>P52/K52-1</f>
        <v>0.19999999999999996</v>
      </c>
      <c r="Q53" s="354"/>
      <c r="R53" s="989">
        <f>R52/M52-1</f>
        <v>0.125</v>
      </c>
      <c r="S53" s="989">
        <f>S52/N52-1</f>
        <v>6.25E-2</v>
      </c>
      <c r="T53" s="989">
        <f>T52/O52-1</f>
        <v>0.82352941176470584</v>
      </c>
      <c r="U53" s="989">
        <f>U52/P52-1</f>
        <v>-1</v>
      </c>
      <c r="V53" s="278"/>
      <c r="W53" s="989">
        <f>W52/R52-1</f>
        <v>-1</v>
      </c>
      <c r="X53" s="989">
        <f>X52/S52-1</f>
        <v>1.0588235294117645</v>
      </c>
      <c r="Y53" s="989">
        <f>Y52/T52-1</f>
        <v>-1</v>
      </c>
      <c r="Z53" s="989" t="e">
        <f>Z52/U52-1</f>
        <v>#DIV/0!</v>
      </c>
      <c r="AA53" s="278"/>
      <c r="AB53" s="989"/>
      <c r="AC53" s="989"/>
      <c r="AD53" s="989"/>
      <c r="AE53" s="989"/>
      <c r="AF53" s="278"/>
      <c r="AG53" s="989"/>
      <c r="AH53" s="989"/>
      <c r="AI53" s="989"/>
      <c r="AJ53" s="989"/>
      <c r="AK53" s="278"/>
      <c r="AL53" s="989"/>
      <c r="AM53" s="989"/>
      <c r="AN53" s="989"/>
      <c r="AO53" s="989"/>
      <c r="AP53" s="278"/>
      <c r="AQ53" s="989"/>
      <c r="AR53" s="989"/>
      <c r="AS53" s="989"/>
      <c r="AT53" s="989"/>
      <c r="AU53" s="278"/>
      <c r="AV53" s="989"/>
      <c r="AW53" s="989"/>
      <c r="AX53" s="989"/>
      <c r="AY53" s="989"/>
      <c r="AZ53" s="278"/>
    </row>
    <row r="54" spans="2:52" ht="14.25" hidden="1" customHeight="1" outlineLevel="1">
      <c r="B54" s="986"/>
      <c r="C54" s="987"/>
      <c r="D54" s="987"/>
      <c r="E54" s="987"/>
      <c r="F54" s="987"/>
      <c r="G54" s="987"/>
      <c r="H54" s="987"/>
      <c r="I54" s="987"/>
      <c r="J54" s="987"/>
      <c r="K54" s="987"/>
      <c r="L54" s="278"/>
      <c r="M54" s="987"/>
      <c r="N54" s="987"/>
      <c r="O54" s="987"/>
      <c r="P54" s="987"/>
      <c r="Q54" s="278"/>
      <c r="R54" s="990"/>
      <c r="S54" s="990"/>
      <c r="T54" s="987"/>
      <c r="U54" s="987"/>
      <c r="V54" s="278"/>
      <c r="W54" s="990"/>
      <c r="X54" s="990"/>
      <c r="Y54" s="987"/>
      <c r="Z54" s="987"/>
      <c r="AA54" s="278"/>
      <c r="AB54" s="990"/>
      <c r="AC54" s="990"/>
      <c r="AD54" s="987"/>
      <c r="AE54" s="987"/>
      <c r="AF54" s="278"/>
      <c r="AG54" s="990"/>
      <c r="AH54" s="990"/>
      <c r="AI54" s="987"/>
      <c r="AJ54" s="987"/>
      <c r="AK54" s="278"/>
      <c r="AL54" s="990"/>
      <c r="AM54" s="990"/>
      <c r="AN54" s="987"/>
      <c r="AO54" s="987"/>
      <c r="AP54" s="278"/>
      <c r="AQ54" s="990"/>
      <c r="AR54" s="990"/>
      <c r="AS54" s="987"/>
      <c r="AT54" s="987"/>
      <c r="AU54" s="278"/>
      <c r="AV54" s="990"/>
      <c r="AW54" s="990"/>
      <c r="AX54" s="987"/>
      <c r="AY54" s="987"/>
      <c r="AZ54" s="278"/>
    </row>
    <row r="55" spans="2:52" ht="14.25" hidden="1" customHeight="1" outlineLevel="1">
      <c r="B55" s="996" t="s">
        <v>321</v>
      </c>
      <c r="C55" s="987"/>
      <c r="D55" s="987"/>
      <c r="E55" s="987"/>
      <c r="F55" s="987"/>
      <c r="G55" s="987"/>
      <c r="H55" s="990">
        <v>0.88</v>
      </c>
      <c r="I55" s="990">
        <v>0.87</v>
      </c>
      <c r="J55" s="990">
        <v>0.86</v>
      </c>
      <c r="K55" s="990">
        <v>0.85</v>
      </c>
      <c r="L55" s="990"/>
      <c r="M55" s="990">
        <v>0.84</v>
      </c>
      <c r="N55" s="990">
        <v>0.84</v>
      </c>
      <c r="O55" s="990">
        <v>0.83</v>
      </c>
      <c r="P55" s="990">
        <v>0.82</v>
      </c>
      <c r="Q55" s="278"/>
      <c r="R55" s="990">
        <v>0.82</v>
      </c>
      <c r="S55" s="990">
        <v>0.83</v>
      </c>
      <c r="T55" s="987">
        <v>0.69</v>
      </c>
      <c r="U55" s="987"/>
      <c r="V55" s="278"/>
      <c r="W55" s="990"/>
      <c r="X55" s="990">
        <v>0.65</v>
      </c>
      <c r="Y55" s="987"/>
      <c r="Z55" s="987"/>
      <c r="AA55" s="278"/>
      <c r="AB55" s="990"/>
      <c r="AC55" s="990"/>
      <c r="AD55" s="987"/>
      <c r="AE55" s="987"/>
      <c r="AF55" s="278"/>
      <c r="AG55" s="990"/>
      <c r="AH55" s="990"/>
      <c r="AI55" s="987"/>
      <c r="AJ55" s="987"/>
      <c r="AK55" s="278"/>
      <c r="AL55" s="990"/>
      <c r="AM55" s="990"/>
      <c r="AN55" s="987"/>
      <c r="AO55" s="987"/>
      <c r="AP55" s="278"/>
      <c r="AQ55" s="990"/>
      <c r="AR55" s="990"/>
      <c r="AS55" s="987"/>
      <c r="AT55" s="987"/>
      <c r="AU55" s="278"/>
      <c r="AV55" s="990"/>
      <c r="AW55" s="990"/>
      <c r="AX55" s="987"/>
      <c r="AY55" s="987"/>
      <c r="AZ55" s="278"/>
    </row>
    <row r="56" spans="2:52" ht="14.25" hidden="1" customHeight="1" outlineLevel="1">
      <c r="B56" s="986" t="s">
        <v>167</v>
      </c>
      <c r="C56" s="278"/>
      <c r="D56" s="278"/>
      <c r="E56" s="278"/>
      <c r="F56" s="278"/>
      <c r="G56" s="278"/>
      <c r="H56" s="989" t="e">
        <f>H55/C55-1</f>
        <v>#DIV/0!</v>
      </c>
      <c r="I56" s="989" t="e">
        <f>I55/D55-1</f>
        <v>#DIV/0!</v>
      </c>
      <c r="J56" s="989" t="e">
        <f>J55/E55-1</f>
        <v>#DIV/0!</v>
      </c>
      <c r="K56" s="989" t="e">
        <f>K55/F55-1</f>
        <v>#DIV/0!</v>
      </c>
      <c r="L56" s="354"/>
      <c r="M56" s="989">
        <f>M55/H55-1</f>
        <v>-4.5454545454545525E-2</v>
      </c>
      <c r="N56" s="989">
        <f>N55/I55-1</f>
        <v>-3.4482758620689724E-2</v>
      </c>
      <c r="O56" s="989">
        <f>O55/J55-1</f>
        <v>-3.488372093023262E-2</v>
      </c>
      <c r="P56" s="989">
        <f>P55/K55-1</f>
        <v>-3.5294117647058809E-2</v>
      </c>
      <c r="Q56" s="354"/>
      <c r="R56" s="989">
        <f>R55/M55-1</f>
        <v>-2.3809523809523836E-2</v>
      </c>
      <c r="S56" s="989">
        <f>S55/N55-1</f>
        <v>-1.1904761904761862E-2</v>
      </c>
      <c r="T56" s="989">
        <f>T55/O55-1</f>
        <v>-0.16867469879518071</v>
      </c>
      <c r="U56" s="989">
        <f>U55/P55-1</f>
        <v>-1</v>
      </c>
      <c r="V56" s="278"/>
      <c r="W56" s="989">
        <f>W55/R55-1</f>
        <v>-1</v>
      </c>
      <c r="X56" s="989">
        <f>X55/S55-1</f>
        <v>-0.21686746987951799</v>
      </c>
      <c r="Y56" s="989">
        <f>Y55/T55-1</f>
        <v>-1</v>
      </c>
      <c r="Z56" s="989" t="e">
        <f>Z55/U55-1</f>
        <v>#DIV/0!</v>
      </c>
      <c r="AA56" s="278"/>
      <c r="AB56" s="989"/>
      <c r="AC56" s="989"/>
      <c r="AD56" s="989"/>
      <c r="AE56" s="989"/>
      <c r="AF56" s="278"/>
      <c r="AG56" s="989"/>
      <c r="AH56" s="989"/>
      <c r="AI56" s="989"/>
      <c r="AJ56" s="989"/>
      <c r="AK56" s="278"/>
      <c r="AL56" s="989"/>
      <c r="AM56" s="989"/>
      <c r="AN56" s="989"/>
      <c r="AO56" s="989"/>
      <c r="AP56" s="278"/>
      <c r="AQ56" s="989"/>
      <c r="AR56" s="989"/>
      <c r="AS56" s="989"/>
      <c r="AT56" s="989"/>
      <c r="AU56" s="278"/>
      <c r="AV56" s="989"/>
      <c r="AW56" s="989"/>
      <c r="AX56" s="989"/>
      <c r="AY56" s="989"/>
      <c r="AZ56" s="278"/>
    </row>
    <row r="57" spans="2:52" ht="14.25" customHeight="1" collapsed="1">
      <c r="B57" s="996"/>
      <c r="C57" s="278"/>
      <c r="D57" s="278"/>
      <c r="E57" s="278"/>
      <c r="F57" s="278"/>
      <c r="G57" s="278"/>
      <c r="H57" s="278"/>
      <c r="I57" s="278"/>
      <c r="J57" s="278"/>
      <c r="K57" s="278"/>
      <c r="L57" s="278"/>
      <c r="M57" s="278"/>
      <c r="N57" s="278"/>
      <c r="O57" s="278"/>
      <c r="P57" s="278"/>
      <c r="Q57" s="278"/>
      <c r="R57" s="278"/>
      <c r="S57" s="278"/>
      <c r="T57" s="278"/>
      <c r="U57" s="278"/>
      <c r="V57" s="278"/>
      <c r="W57" s="278"/>
      <c r="X57" s="278"/>
      <c r="Y57" s="278"/>
      <c r="Z57" s="278"/>
      <c r="AA57" s="278"/>
      <c r="AB57" s="278"/>
      <c r="AC57" s="278"/>
      <c r="AD57" s="278"/>
      <c r="AE57" s="278"/>
      <c r="AF57" s="278"/>
      <c r="AG57" s="278"/>
      <c r="AH57" s="278"/>
      <c r="AI57" s="278"/>
      <c r="AJ57" s="278"/>
      <c r="AK57" s="278"/>
      <c r="AL57" s="278"/>
      <c r="AM57" s="278">
        <f>AM38-AH38</f>
        <v>27288.940000000031</v>
      </c>
      <c r="AN57" s="278"/>
      <c r="AO57" s="278"/>
      <c r="AP57" s="278"/>
      <c r="AQ57" s="278"/>
      <c r="AR57" s="278"/>
      <c r="AS57" s="278"/>
      <c r="AT57" s="278"/>
      <c r="AU57" s="278"/>
      <c r="AV57" s="278"/>
      <c r="AW57" s="278"/>
      <c r="AX57" s="278"/>
      <c r="AY57" s="278"/>
      <c r="AZ57" s="278"/>
    </row>
    <row r="58" spans="2:52">
      <c r="AM58" s="1220">
        <f>AM57/AM46</f>
        <v>0.56452089366983926</v>
      </c>
    </row>
    <row r="60" spans="2:52">
      <c r="F60" s="788" t="str">
        <f>F4</f>
        <v>4Q18</v>
      </c>
      <c r="G60" s="788" t="str">
        <f>H4</f>
        <v>1Q19</v>
      </c>
      <c r="H60" s="788" t="str">
        <f>I4</f>
        <v>2Q19</v>
      </c>
      <c r="I60" s="788" t="str">
        <f>J4</f>
        <v>3Q19</v>
      </c>
      <c r="J60" s="788" t="str">
        <f>K4</f>
        <v>4Q19</v>
      </c>
      <c r="K60" s="788" t="str">
        <f>M4</f>
        <v>1Q20</v>
      </c>
      <c r="L60" s="788" t="str">
        <f>N4</f>
        <v>2Q20</v>
      </c>
      <c r="M60" s="788" t="str">
        <f>O4</f>
        <v>3Q20</v>
      </c>
      <c r="N60" s="788" t="str">
        <f>P4</f>
        <v>4Q20</v>
      </c>
      <c r="O60" s="788" t="str">
        <f>R4</f>
        <v>1Q21</v>
      </c>
      <c r="P60" s="788" t="str">
        <f>S4</f>
        <v>2Q21</v>
      </c>
      <c r="Q60" s="788" t="str">
        <f>T4</f>
        <v>3Q21</v>
      </c>
      <c r="R60" s="788" t="str">
        <f>U4</f>
        <v>4Q21</v>
      </c>
      <c r="S60" s="788" t="str">
        <f>W4</f>
        <v>1Q22</v>
      </c>
      <c r="T60" s="788" t="str">
        <f>X4</f>
        <v>2Q22</v>
      </c>
      <c r="U60" s="788" t="str">
        <f>Y4</f>
        <v>3Q22</v>
      </c>
      <c r="V60" s="788" t="str">
        <f>Z4</f>
        <v>4Q22</v>
      </c>
      <c r="W60" s="788" t="str">
        <f>AB4</f>
        <v>1Q23</v>
      </c>
      <c r="X60" s="788" t="str">
        <f>AC4</f>
        <v>2Q23</v>
      </c>
      <c r="Y60" s="788" t="str">
        <f>AD4</f>
        <v>3Q23</v>
      </c>
      <c r="Z60" s="788" t="str">
        <f>AE4</f>
        <v>4Q23</v>
      </c>
      <c r="AA60" s="788" t="str">
        <f>AG4</f>
        <v>1Q24</v>
      </c>
      <c r="AB60" s="788" t="str">
        <f>AH4</f>
        <v>2Q24</v>
      </c>
      <c r="AC60" s="788" t="str">
        <f>AI4</f>
        <v>3Q24</v>
      </c>
      <c r="AD60" s="788" t="str">
        <f>AJ4</f>
        <v>4Q24</v>
      </c>
      <c r="AE60" s="788" t="str">
        <f>AL4</f>
        <v>1Q25</v>
      </c>
      <c r="AF60" s="788"/>
      <c r="AK60" s="788"/>
    </row>
    <row r="61" spans="2:52">
      <c r="E61" s="277" t="s">
        <v>604</v>
      </c>
      <c r="F61" s="1207">
        <f>F24</f>
        <v>1.1499999999999999</v>
      </c>
      <c r="G61" s="1207">
        <f>H24</f>
        <v>1.1399999999999999</v>
      </c>
      <c r="H61" s="1207">
        <f>I24</f>
        <v>1.1499999999999999</v>
      </c>
      <c r="I61" s="1207">
        <f>J24</f>
        <v>1.1399999999999999</v>
      </c>
      <c r="J61" s="1207">
        <f>K24</f>
        <v>1.1200000000000001</v>
      </c>
      <c r="K61" s="1207">
        <f>M24</f>
        <v>1.1200000000000001</v>
      </c>
      <c r="L61" s="1207">
        <f>N24</f>
        <v>1.1299999999999999</v>
      </c>
      <c r="M61" s="1207">
        <f>O24</f>
        <v>1.17</v>
      </c>
      <c r="N61" s="1207">
        <f>P24</f>
        <v>1.17</v>
      </c>
      <c r="O61" s="1207">
        <f>R24</f>
        <v>1.19</v>
      </c>
      <c r="P61" s="1207">
        <f>S24</f>
        <v>1.2</v>
      </c>
      <c r="Q61" s="1207">
        <f>T24</f>
        <v>1.22</v>
      </c>
      <c r="R61" s="1207">
        <f>U24</f>
        <v>1.23</v>
      </c>
      <c r="S61" s="1207">
        <f>W24</f>
        <v>1.25</v>
      </c>
      <c r="T61" s="1207">
        <f>X24</f>
        <v>1.24</v>
      </c>
      <c r="U61" s="1207">
        <f>Y24</f>
        <v>1.21</v>
      </c>
      <c r="V61" s="1207">
        <f>Z24</f>
        <v>1.19</v>
      </c>
      <c r="W61" s="1207">
        <f>AB24</f>
        <v>1.1399999999999999</v>
      </c>
      <c r="X61" s="1207">
        <f>AC24</f>
        <v>1.1000000000000001</v>
      </c>
      <c r="Y61" s="1207">
        <f>AD24</f>
        <v>1.08</v>
      </c>
      <c r="Z61" s="1207">
        <f>AE24</f>
        <v>1.07</v>
      </c>
      <c r="AA61" s="1207">
        <f>AG24</f>
        <v>1.05</v>
      </c>
      <c r="AB61" s="1207">
        <f>AH24</f>
        <v>1.02</v>
      </c>
      <c r="AC61" s="1207">
        <f>AI24</f>
        <v>1</v>
      </c>
      <c r="AD61" s="1207">
        <f>AJ24</f>
        <v>0.98</v>
      </c>
      <c r="AE61" s="1207">
        <f>AL24</f>
        <v>0.99</v>
      </c>
      <c r="AF61" s="1207"/>
      <c r="AK61" s="1207"/>
    </row>
    <row r="66" spans="27:37">
      <c r="AA66" s="277" t="s">
        <v>612</v>
      </c>
      <c r="AB66" s="1220">
        <f>AB35</f>
        <v>0.20636605206515335</v>
      </c>
      <c r="AC66" s="1220">
        <f>AC35</f>
        <v>0.17779140549208061</v>
      </c>
      <c r="AD66" s="1220">
        <f>AD35</f>
        <v>0.17010467390054052</v>
      </c>
      <c r="AE66" s="1220">
        <f>AE35</f>
        <v>0.11802922925638337</v>
      </c>
      <c r="AF66" s="1220">
        <f>AG35</f>
        <v>0.10935914483646192</v>
      </c>
      <c r="AG66" s="1220">
        <f>AH35</f>
        <v>8.5925073940190666E-2</v>
      </c>
      <c r="AH66" s="1220">
        <f>AI35</f>
        <v>6.1504751372163602E-2</v>
      </c>
      <c r="AI66" s="1220">
        <f>AJ35</f>
        <v>4.4286026240605514E-2</v>
      </c>
      <c r="AJ66" s="1220">
        <f>AL35</f>
        <v>3.9867317840903249E-2</v>
      </c>
      <c r="AK66" s="1220">
        <f>AM35</f>
        <v>4.1366753157145997E-2</v>
      </c>
    </row>
    <row r="67" spans="27:37">
      <c r="AA67" s="277" t="s">
        <v>613</v>
      </c>
      <c r="AB67" s="1220">
        <f>AB39</f>
        <v>0.43300382494659972</v>
      </c>
      <c r="AC67" s="1220">
        <f>AC39</f>
        <v>0.34748424913567688</v>
      </c>
      <c r="AD67" s="1220">
        <f>AD39</f>
        <v>0.22639212901917039</v>
      </c>
      <c r="AE67" s="1220">
        <f>AE39</f>
        <v>0.19164686594974834</v>
      </c>
      <c r="AF67" s="1220">
        <f>AG39</f>
        <v>0.16702140197866044</v>
      </c>
      <c r="AG67" s="1220">
        <f>AH39</f>
        <v>0.17</v>
      </c>
      <c r="AH67" s="1220">
        <f>AI39</f>
        <v>0.15858241667355877</v>
      </c>
      <c r="AI67" s="1220">
        <f>AJ39</f>
        <v>0.18731719586179318</v>
      </c>
      <c r="AJ67" s="1220">
        <f>AL39</f>
        <v>0.16987524505435747</v>
      </c>
      <c r="AK67" s="1220">
        <f>AM39</f>
        <v>0.1526238849047048</v>
      </c>
    </row>
    <row r="68" spans="27:37">
      <c r="AA68" s="277" t="s">
        <v>614</v>
      </c>
      <c r="AB68" s="1220">
        <f>IS!BC14</f>
        <v>0.25499810266096468</v>
      </c>
      <c r="AC68" s="1220">
        <f>IS!BD14</f>
        <v>0.21557349504927292</v>
      </c>
      <c r="AD68" s="1220">
        <f>IS!BE14</f>
        <v>0.18333049171071192</v>
      </c>
      <c r="AE68" s="1220">
        <f>IS!BF14</f>
        <v>0.13557886327794111</v>
      </c>
      <c r="AF68" s="1220">
        <f>IS!BH14</f>
        <v>0.12348732444130373</v>
      </c>
      <c r="AG68" s="1220">
        <f>IS!BI14</f>
        <v>0.10527914571895125</v>
      </c>
      <c r="AH68" s="1220">
        <f>IS!BJ14</f>
        <v>8.5145081902448405E-2</v>
      </c>
      <c r="AI68" s="1220">
        <f>IS!BK14</f>
        <v>8.0066588232440283E-2</v>
      </c>
      <c r="AJ68" s="1220">
        <f>IS!BM14</f>
        <v>7.2955662939152122E-2</v>
      </c>
      <c r="AK68" s="1220">
        <f>IS!BN14</f>
        <v>7.029360741151125E-2</v>
      </c>
    </row>
  </sheetData>
  <pageMargins left="0.7" right="0.7" top="0.75" bottom="0.75" header="0.3" footer="0.3"/>
  <pageSetup orientation="portrait" r:id="rId1"/>
  <ignoredErrors>
    <ignoredError sqref="AC20 AC14:AC18 AC21:AC25 AK34:AK39 AF34:AF39" formula="1"/>
  </ignoredError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96D0-434D-46D5-8055-6187C5D10D4C}">
  <dimension ref="A1:IV48"/>
  <sheetViews>
    <sheetView topLeftCell="N1" zoomScaleNormal="100" workbookViewId="0">
      <selection activeCell="V17" sqref="V17"/>
    </sheetView>
  </sheetViews>
  <sheetFormatPr defaultColWidth="14.0625" defaultRowHeight="15" outlineLevelCol="1"/>
  <cols>
    <col min="1" max="1" width="49.8125" style="870" customWidth="1"/>
    <col min="2" max="2" width="16.8125" style="870" bestFit="1" customWidth="1"/>
    <col min="3" max="3" width="12.5625" style="879" bestFit="1" customWidth="1"/>
    <col min="4" max="4" width="13.5625" style="860" customWidth="1" outlineLevel="1"/>
    <col min="5" max="5" width="9.8125" style="860" customWidth="1" outlineLevel="1"/>
    <col min="6" max="7" width="11.0625" style="860" customWidth="1" outlineLevel="1"/>
    <col min="8" max="8" width="11.0625" style="860" customWidth="1"/>
    <col min="9" max="12" width="11.0625" style="860" customWidth="1" outlineLevel="1"/>
    <col min="13" max="13" width="11.0625" style="860" customWidth="1"/>
    <col min="14" max="17" width="11.0625" style="860" customWidth="1" outlineLevel="1"/>
    <col min="18" max="18" width="11.0625" style="860" customWidth="1"/>
    <col min="19" max="22" width="11.0625" style="860" customWidth="1" outlineLevel="1"/>
    <col min="23" max="23" width="11.0625" style="860" customWidth="1"/>
    <col min="24" max="27" width="11.0625" style="860" customWidth="1" outlineLevel="1"/>
    <col min="28" max="28" width="11.0625" style="860" customWidth="1"/>
    <col min="29" max="29" width="17.0625" style="860" bestFit="1" customWidth="1"/>
    <col min="30" max="30" width="1.5625" style="860" bestFit="1" customWidth="1"/>
    <col min="31" max="31" width="15.0625" style="860" bestFit="1" customWidth="1"/>
    <col min="32" max="202" width="14.0625" style="860"/>
    <col min="203" max="203" width="50.0625" style="860" customWidth="1"/>
    <col min="204" max="204" width="54.5625" style="860" customWidth="1"/>
    <col min="205" max="205" width="12.0625" style="860" customWidth="1"/>
    <col min="206" max="206" width="11.0625" style="860" customWidth="1"/>
    <col min="207" max="210" width="0" style="860" hidden="1" customWidth="1"/>
    <col min="211" max="211" width="11.0625" style="860" bestFit="1" customWidth="1"/>
    <col min="212" max="215" width="0" style="860" hidden="1" customWidth="1"/>
    <col min="216" max="216" width="11.5" style="860" bestFit="1" customWidth="1"/>
    <col min="217" max="220" width="0" style="860" hidden="1" customWidth="1"/>
    <col min="221" max="221" width="11.5" style="860" bestFit="1" customWidth="1"/>
    <col min="222" max="225" width="10.0625" style="860" bestFit="1" customWidth="1"/>
    <col min="226" max="226" width="12.5625" style="860" bestFit="1" customWidth="1"/>
    <col min="227" max="256" width="14.0625" style="860"/>
    <col min="257" max="257" width="49.8125" style="860" customWidth="1"/>
    <col min="258" max="258" width="16.8125" style="860" bestFit="1" customWidth="1"/>
    <col min="259" max="259" width="12.5625" style="860" bestFit="1" customWidth="1"/>
    <col min="260" max="279" width="11.0625" style="860" customWidth="1"/>
    <col min="280" max="283" width="14.0625" style="860"/>
    <col min="284" max="284" width="1.5" style="860" bestFit="1" customWidth="1"/>
    <col min="285" max="285" width="17.0625" style="860" bestFit="1" customWidth="1"/>
    <col min="286" max="286" width="1.5625" style="860" bestFit="1" customWidth="1"/>
    <col min="287" max="287" width="15.0625" style="860" bestFit="1" customWidth="1"/>
    <col min="288" max="458" width="14.0625" style="860"/>
    <col min="459" max="459" width="50.0625" style="860" customWidth="1"/>
    <col min="460" max="460" width="54.5625" style="860" customWidth="1"/>
    <col min="461" max="461" width="12.0625" style="860" customWidth="1"/>
    <col min="462" max="462" width="11.0625" style="860" customWidth="1"/>
    <col min="463" max="466" width="0" style="860" hidden="1" customWidth="1"/>
    <col min="467" max="467" width="11.0625" style="860" bestFit="1" customWidth="1"/>
    <col min="468" max="471" width="0" style="860" hidden="1" customWidth="1"/>
    <col min="472" max="472" width="11.5" style="860" bestFit="1" customWidth="1"/>
    <col min="473" max="476" width="0" style="860" hidden="1" customWidth="1"/>
    <col min="477" max="477" width="11.5" style="860" bestFit="1" customWidth="1"/>
    <col min="478" max="481" width="10.0625" style="860" bestFit="1" customWidth="1"/>
    <col min="482" max="482" width="12.5625" style="860" bestFit="1" customWidth="1"/>
    <col min="483" max="512" width="14.0625" style="860"/>
    <col min="513" max="513" width="49.8125" style="860" customWidth="1"/>
    <col min="514" max="514" width="16.8125" style="860" bestFit="1" customWidth="1"/>
    <col min="515" max="515" width="12.5625" style="860" bestFit="1" customWidth="1"/>
    <col min="516" max="535" width="11.0625" style="860" customWidth="1"/>
    <col min="536" max="539" width="14.0625" style="860"/>
    <col min="540" max="540" width="1.5" style="860" bestFit="1" customWidth="1"/>
    <col min="541" max="541" width="17.0625" style="860" bestFit="1" customWidth="1"/>
    <col min="542" max="542" width="1.5625" style="860" bestFit="1" customWidth="1"/>
    <col min="543" max="543" width="15.0625" style="860" bestFit="1" customWidth="1"/>
    <col min="544" max="714" width="14.0625" style="860"/>
    <col min="715" max="715" width="50.0625" style="860" customWidth="1"/>
    <col min="716" max="716" width="54.5625" style="860" customWidth="1"/>
    <col min="717" max="717" width="12.0625" style="860" customWidth="1"/>
    <col min="718" max="718" width="11.0625" style="860" customWidth="1"/>
    <col min="719" max="722" width="0" style="860" hidden="1" customWidth="1"/>
    <col min="723" max="723" width="11.0625" style="860" bestFit="1" customWidth="1"/>
    <col min="724" max="727" width="0" style="860" hidden="1" customWidth="1"/>
    <col min="728" max="728" width="11.5" style="860" bestFit="1" customWidth="1"/>
    <col min="729" max="732" width="0" style="860" hidden="1" customWidth="1"/>
    <col min="733" max="733" width="11.5" style="860" bestFit="1" customWidth="1"/>
    <col min="734" max="737" width="10.0625" style="860" bestFit="1" customWidth="1"/>
    <col min="738" max="738" width="12.5625" style="860" bestFit="1" customWidth="1"/>
    <col min="739" max="768" width="14.0625" style="860"/>
    <col min="769" max="769" width="49.8125" style="860" customWidth="1"/>
    <col min="770" max="770" width="16.8125" style="860" bestFit="1" customWidth="1"/>
    <col min="771" max="771" width="12.5625" style="860" bestFit="1" customWidth="1"/>
    <col min="772" max="791" width="11.0625" style="860" customWidth="1"/>
    <col min="792" max="795" width="14.0625" style="860"/>
    <col min="796" max="796" width="1.5" style="860" bestFit="1" customWidth="1"/>
    <col min="797" max="797" width="17.0625" style="860" bestFit="1" customWidth="1"/>
    <col min="798" max="798" width="1.5625" style="860" bestFit="1" customWidth="1"/>
    <col min="799" max="799" width="15.0625" style="860" bestFit="1" customWidth="1"/>
    <col min="800" max="970" width="14.0625" style="860"/>
    <col min="971" max="971" width="50.0625" style="860" customWidth="1"/>
    <col min="972" max="972" width="54.5625" style="860" customWidth="1"/>
    <col min="973" max="973" width="12.0625" style="860" customWidth="1"/>
    <col min="974" max="974" width="11.0625" style="860" customWidth="1"/>
    <col min="975" max="978" width="0" style="860" hidden="1" customWidth="1"/>
    <col min="979" max="979" width="11.0625" style="860" bestFit="1" customWidth="1"/>
    <col min="980" max="983" width="0" style="860" hidden="1" customWidth="1"/>
    <col min="984" max="984" width="11.5" style="860" bestFit="1" customWidth="1"/>
    <col min="985" max="988" width="0" style="860" hidden="1" customWidth="1"/>
    <col min="989" max="989" width="11.5" style="860" bestFit="1" customWidth="1"/>
    <col min="990" max="993" width="10.0625" style="860" bestFit="1" customWidth="1"/>
    <col min="994" max="994" width="12.5625" style="860" bestFit="1" customWidth="1"/>
    <col min="995" max="1024" width="14.0625" style="860"/>
    <col min="1025" max="1025" width="49.8125" style="860" customWidth="1"/>
    <col min="1026" max="1026" width="16.8125" style="860" bestFit="1" customWidth="1"/>
    <col min="1027" max="1027" width="12.5625" style="860" bestFit="1" customWidth="1"/>
    <col min="1028" max="1047" width="11.0625" style="860" customWidth="1"/>
    <col min="1048" max="1051" width="14.0625" style="860"/>
    <col min="1052" max="1052" width="1.5" style="860" bestFit="1" customWidth="1"/>
    <col min="1053" max="1053" width="17.0625" style="860" bestFit="1" customWidth="1"/>
    <col min="1054" max="1054" width="1.5625" style="860" bestFit="1" customWidth="1"/>
    <col min="1055" max="1055" width="15.0625" style="860" bestFit="1" customWidth="1"/>
    <col min="1056" max="1226" width="14.0625" style="860"/>
    <col min="1227" max="1227" width="50.0625" style="860" customWidth="1"/>
    <col min="1228" max="1228" width="54.5625" style="860" customWidth="1"/>
    <col min="1229" max="1229" width="12.0625" style="860" customWidth="1"/>
    <col min="1230" max="1230" width="11.0625" style="860" customWidth="1"/>
    <col min="1231" max="1234" width="0" style="860" hidden="1" customWidth="1"/>
    <col min="1235" max="1235" width="11.0625" style="860" bestFit="1" customWidth="1"/>
    <col min="1236" max="1239" width="0" style="860" hidden="1" customWidth="1"/>
    <col min="1240" max="1240" width="11.5" style="860" bestFit="1" customWidth="1"/>
    <col min="1241" max="1244" width="0" style="860" hidden="1" customWidth="1"/>
    <col min="1245" max="1245" width="11.5" style="860" bestFit="1" customWidth="1"/>
    <col min="1246" max="1249" width="10.0625" style="860" bestFit="1" customWidth="1"/>
    <col min="1250" max="1250" width="12.5625" style="860" bestFit="1" customWidth="1"/>
    <col min="1251" max="1280" width="14.0625" style="860"/>
    <col min="1281" max="1281" width="49.8125" style="860" customWidth="1"/>
    <col min="1282" max="1282" width="16.8125" style="860" bestFit="1" customWidth="1"/>
    <col min="1283" max="1283" width="12.5625" style="860" bestFit="1" customWidth="1"/>
    <col min="1284" max="1303" width="11.0625" style="860" customWidth="1"/>
    <col min="1304" max="1307" width="14.0625" style="860"/>
    <col min="1308" max="1308" width="1.5" style="860" bestFit="1" customWidth="1"/>
    <col min="1309" max="1309" width="17.0625" style="860" bestFit="1" customWidth="1"/>
    <col min="1310" max="1310" width="1.5625" style="860" bestFit="1" customWidth="1"/>
    <col min="1311" max="1311" width="15.0625" style="860" bestFit="1" customWidth="1"/>
    <col min="1312" max="1482" width="14.0625" style="860"/>
    <col min="1483" max="1483" width="50.0625" style="860" customWidth="1"/>
    <col min="1484" max="1484" width="54.5625" style="860" customWidth="1"/>
    <col min="1485" max="1485" width="12.0625" style="860" customWidth="1"/>
    <col min="1486" max="1486" width="11.0625" style="860" customWidth="1"/>
    <col min="1487" max="1490" width="0" style="860" hidden="1" customWidth="1"/>
    <col min="1491" max="1491" width="11.0625" style="860" bestFit="1" customWidth="1"/>
    <col min="1492" max="1495" width="0" style="860" hidden="1" customWidth="1"/>
    <col min="1496" max="1496" width="11.5" style="860" bestFit="1" customWidth="1"/>
    <col min="1497" max="1500" width="0" style="860" hidden="1" customWidth="1"/>
    <col min="1501" max="1501" width="11.5" style="860" bestFit="1" customWidth="1"/>
    <col min="1502" max="1505" width="10.0625" style="860" bestFit="1" customWidth="1"/>
    <col min="1506" max="1506" width="12.5625" style="860" bestFit="1" customWidth="1"/>
    <col min="1507" max="1536" width="14.0625" style="860"/>
    <col min="1537" max="1537" width="49.8125" style="860" customWidth="1"/>
    <col min="1538" max="1538" width="16.8125" style="860" bestFit="1" customWidth="1"/>
    <col min="1539" max="1539" width="12.5625" style="860" bestFit="1" customWidth="1"/>
    <col min="1540" max="1559" width="11.0625" style="860" customWidth="1"/>
    <col min="1560" max="1563" width="14.0625" style="860"/>
    <col min="1564" max="1564" width="1.5" style="860" bestFit="1" customWidth="1"/>
    <col min="1565" max="1565" width="17.0625" style="860" bestFit="1" customWidth="1"/>
    <col min="1566" max="1566" width="1.5625" style="860" bestFit="1" customWidth="1"/>
    <col min="1567" max="1567" width="15.0625" style="860" bestFit="1" customWidth="1"/>
    <col min="1568" max="1738" width="14.0625" style="860"/>
    <col min="1739" max="1739" width="50.0625" style="860" customWidth="1"/>
    <col min="1740" max="1740" width="54.5625" style="860" customWidth="1"/>
    <col min="1741" max="1741" width="12.0625" style="860" customWidth="1"/>
    <col min="1742" max="1742" width="11.0625" style="860" customWidth="1"/>
    <col min="1743" max="1746" width="0" style="860" hidden="1" customWidth="1"/>
    <col min="1747" max="1747" width="11.0625" style="860" bestFit="1" customWidth="1"/>
    <col min="1748" max="1751" width="0" style="860" hidden="1" customWidth="1"/>
    <col min="1752" max="1752" width="11.5" style="860" bestFit="1" customWidth="1"/>
    <col min="1753" max="1756" width="0" style="860" hidden="1" customWidth="1"/>
    <col min="1757" max="1757" width="11.5" style="860" bestFit="1" customWidth="1"/>
    <col min="1758" max="1761" width="10.0625" style="860" bestFit="1" customWidth="1"/>
    <col min="1762" max="1762" width="12.5625" style="860" bestFit="1" customWidth="1"/>
    <col min="1763" max="1792" width="14.0625" style="860"/>
    <col min="1793" max="1793" width="49.8125" style="860" customWidth="1"/>
    <col min="1794" max="1794" width="16.8125" style="860" bestFit="1" customWidth="1"/>
    <col min="1795" max="1795" width="12.5625" style="860" bestFit="1" customWidth="1"/>
    <col min="1796" max="1815" width="11.0625" style="860" customWidth="1"/>
    <col min="1816" max="1819" width="14.0625" style="860"/>
    <col min="1820" max="1820" width="1.5" style="860" bestFit="1" customWidth="1"/>
    <col min="1821" max="1821" width="17.0625" style="860" bestFit="1" customWidth="1"/>
    <col min="1822" max="1822" width="1.5625" style="860" bestFit="1" customWidth="1"/>
    <col min="1823" max="1823" width="15.0625" style="860" bestFit="1" customWidth="1"/>
    <col min="1824" max="1994" width="14.0625" style="860"/>
    <col min="1995" max="1995" width="50.0625" style="860" customWidth="1"/>
    <col min="1996" max="1996" width="54.5625" style="860" customWidth="1"/>
    <col min="1997" max="1997" width="12.0625" style="860" customWidth="1"/>
    <col min="1998" max="1998" width="11.0625" style="860" customWidth="1"/>
    <col min="1999" max="2002" width="0" style="860" hidden="1" customWidth="1"/>
    <col min="2003" max="2003" width="11.0625" style="860" bestFit="1" customWidth="1"/>
    <col min="2004" max="2007" width="0" style="860" hidden="1" customWidth="1"/>
    <col min="2008" max="2008" width="11.5" style="860" bestFit="1" customWidth="1"/>
    <col min="2009" max="2012" width="0" style="860" hidden="1" customWidth="1"/>
    <col min="2013" max="2013" width="11.5" style="860" bestFit="1" customWidth="1"/>
    <col min="2014" max="2017" width="10.0625" style="860" bestFit="1" customWidth="1"/>
    <col min="2018" max="2018" width="12.5625" style="860" bestFit="1" customWidth="1"/>
    <col min="2019" max="2048" width="14.0625" style="860"/>
    <col min="2049" max="2049" width="49.8125" style="860" customWidth="1"/>
    <col min="2050" max="2050" width="16.8125" style="860" bestFit="1" customWidth="1"/>
    <col min="2051" max="2051" width="12.5625" style="860" bestFit="1" customWidth="1"/>
    <col min="2052" max="2071" width="11.0625" style="860" customWidth="1"/>
    <col min="2072" max="2075" width="14.0625" style="860"/>
    <col min="2076" max="2076" width="1.5" style="860" bestFit="1" customWidth="1"/>
    <col min="2077" max="2077" width="17.0625" style="860" bestFit="1" customWidth="1"/>
    <col min="2078" max="2078" width="1.5625" style="860" bestFit="1" customWidth="1"/>
    <col min="2079" max="2079" width="15.0625" style="860" bestFit="1" customWidth="1"/>
    <col min="2080" max="2250" width="14.0625" style="860"/>
    <col min="2251" max="2251" width="50.0625" style="860" customWidth="1"/>
    <col min="2252" max="2252" width="54.5625" style="860" customWidth="1"/>
    <col min="2253" max="2253" width="12.0625" style="860" customWidth="1"/>
    <col min="2254" max="2254" width="11.0625" style="860" customWidth="1"/>
    <col min="2255" max="2258" width="0" style="860" hidden="1" customWidth="1"/>
    <col min="2259" max="2259" width="11.0625" style="860" bestFit="1" customWidth="1"/>
    <col min="2260" max="2263" width="0" style="860" hidden="1" customWidth="1"/>
    <col min="2264" max="2264" width="11.5" style="860" bestFit="1" customWidth="1"/>
    <col min="2265" max="2268" width="0" style="860" hidden="1" customWidth="1"/>
    <col min="2269" max="2269" width="11.5" style="860" bestFit="1" customWidth="1"/>
    <col min="2270" max="2273" width="10.0625" style="860" bestFit="1" customWidth="1"/>
    <col min="2274" max="2274" width="12.5625" style="860" bestFit="1" customWidth="1"/>
    <col min="2275" max="2304" width="14.0625" style="860"/>
    <col min="2305" max="2305" width="49.8125" style="860" customWidth="1"/>
    <col min="2306" max="2306" width="16.8125" style="860" bestFit="1" customWidth="1"/>
    <col min="2307" max="2307" width="12.5625" style="860" bestFit="1" customWidth="1"/>
    <col min="2308" max="2327" width="11.0625" style="860" customWidth="1"/>
    <col min="2328" max="2331" width="14.0625" style="860"/>
    <col min="2332" max="2332" width="1.5" style="860" bestFit="1" customWidth="1"/>
    <col min="2333" max="2333" width="17.0625" style="860" bestFit="1" customWidth="1"/>
    <col min="2334" max="2334" width="1.5625" style="860" bestFit="1" customWidth="1"/>
    <col min="2335" max="2335" width="15.0625" style="860" bestFit="1" customWidth="1"/>
    <col min="2336" max="2506" width="14.0625" style="860"/>
    <col min="2507" max="2507" width="50.0625" style="860" customWidth="1"/>
    <col min="2508" max="2508" width="54.5625" style="860" customWidth="1"/>
    <col min="2509" max="2509" width="12.0625" style="860" customWidth="1"/>
    <col min="2510" max="2510" width="11.0625" style="860" customWidth="1"/>
    <col min="2511" max="2514" width="0" style="860" hidden="1" customWidth="1"/>
    <col min="2515" max="2515" width="11.0625" style="860" bestFit="1" customWidth="1"/>
    <col min="2516" max="2519" width="0" style="860" hidden="1" customWidth="1"/>
    <col min="2520" max="2520" width="11.5" style="860" bestFit="1" customWidth="1"/>
    <col min="2521" max="2524" width="0" style="860" hidden="1" customWidth="1"/>
    <col min="2525" max="2525" width="11.5" style="860" bestFit="1" customWidth="1"/>
    <col min="2526" max="2529" width="10.0625" style="860" bestFit="1" customWidth="1"/>
    <col min="2530" max="2530" width="12.5625" style="860" bestFit="1" customWidth="1"/>
    <col min="2531" max="2560" width="14.0625" style="860"/>
    <col min="2561" max="2561" width="49.8125" style="860" customWidth="1"/>
    <col min="2562" max="2562" width="16.8125" style="860" bestFit="1" customWidth="1"/>
    <col min="2563" max="2563" width="12.5625" style="860" bestFit="1" customWidth="1"/>
    <col min="2564" max="2583" width="11.0625" style="860" customWidth="1"/>
    <col min="2584" max="2587" width="14.0625" style="860"/>
    <col min="2588" max="2588" width="1.5" style="860" bestFit="1" customWidth="1"/>
    <col min="2589" max="2589" width="17.0625" style="860" bestFit="1" customWidth="1"/>
    <col min="2590" max="2590" width="1.5625" style="860" bestFit="1" customWidth="1"/>
    <col min="2591" max="2591" width="15.0625" style="860" bestFit="1" customWidth="1"/>
    <col min="2592" max="2762" width="14.0625" style="860"/>
    <col min="2763" max="2763" width="50.0625" style="860" customWidth="1"/>
    <col min="2764" max="2764" width="54.5625" style="860" customWidth="1"/>
    <col min="2765" max="2765" width="12.0625" style="860" customWidth="1"/>
    <col min="2766" max="2766" width="11.0625" style="860" customWidth="1"/>
    <col min="2767" max="2770" width="0" style="860" hidden="1" customWidth="1"/>
    <col min="2771" max="2771" width="11.0625" style="860" bestFit="1" customWidth="1"/>
    <col min="2772" max="2775" width="0" style="860" hidden="1" customWidth="1"/>
    <col min="2776" max="2776" width="11.5" style="860" bestFit="1" customWidth="1"/>
    <col min="2777" max="2780" width="0" style="860" hidden="1" customWidth="1"/>
    <col min="2781" max="2781" width="11.5" style="860" bestFit="1" customWidth="1"/>
    <col min="2782" max="2785" width="10.0625" style="860" bestFit="1" customWidth="1"/>
    <col min="2786" max="2786" width="12.5625" style="860" bestFit="1" customWidth="1"/>
    <col min="2787" max="2816" width="14.0625" style="860"/>
    <col min="2817" max="2817" width="49.8125" style="860" customWidth="1"/>
    <col min="2818" max="2818" width="16.8125" style="860" bestFit="1" customWidth="1"/>
    <col min="2819" max="2819" width="12.5625" style="860" bestFit="1" customWidth="1"/>
    <col min="2820" max="2839" width="11.0625" style="860" customWidth="1"/>
    <col min="2840" max="2843" width="14.0625" style="860"/>
    <col min="2844" max="2844" width="1.5" style="860" bestFit="1" customWidth="1"/>
    <col min="2845" max="2845" width="17.0625" style="860" bestFit="1" customWidth="1"/>
    <col min="2846" max="2846" width="1.5625" style="860" bestFit="1" customWidth="1"/>
    <col min="2847" max="2847" width="15.0625" style="860" bestFit="1" customWidth="1"/>
    <col min="2848" max="3018" width="14.0625" style="860"/>
    <col min="3019" max="3019" width="50.0625" style="860" customWidth="1"/>
    <col min="3020" max="3020" width="54.5625" style="860" customWidth="1"/>
    <col min="3021" max="3021" width="12.0625" style="860" customWidth="1"/>
    <col min="3022" max="3022" width="11.0625" style="860" customWidth="1"/>
    <col min="3023" max="3026" width="0" style="860" hidden="1" customWidth="1"/>
    <col min="3027" max="3027" width="11.0625" style="860" bestFit="1" customWidth="1"/>
    <col min="3028" max="3031" width="0" style="860" hidden="1" customWidth="1"/>
    <col min="3032" max="3032" width="11.5" style="860" bestFit="1" customWidth="1"/>
    <col min="3033" max="3036" width="0" style="860" hidden="1" customWidth="1"/>
    <col min="3037" max="3037" width="11.5" style="860" bestFit="1" customWidth="1"/>
    <col min="3038" max="3041" width="10.0625" style="860" bestFit="1" customWidth="1"/>
    <col min="3042" max="3042" width="12.5625" style="860" bestFit="1" customWidth="1"/>
    <col min="3043" max="3072" width="14.0625" style="860"/>
    <col min="3073" max="3073" width="49.8125" style="860" customWidth="1"/>
    <col min="3074" max="3074" width="16.8125" style="860" bestFit="1" customWidth="1"/>
    <col min="3075" max="3075" width="12.5625" style="860" bestFit="1" customWidth="1"/>
    <col min="3076" max="3095" width="11.0625" style="860" customWidth="1"/>
    <col min="3096" max="3099" width="14.0625" style="860"/>
    <col min="3100" max="3100" width="1.5" style="860" bestFit="1" customWidth="1"/>
    <col min="3101" max="3101" width="17.0625" style="860" bestFit="1" customWidth="1"/>
    <col min="3102" max="3102" width="1.5625" style="860" bestFit="1" customWidth="1"/>
    <col min="3103" max="3103" width="15.0625" style="860" bestFit="1" customWidth="1"/>
    <col min="3104" max="3274" width="14.0625" style="860"/>
    <col min="3275" max="3275" width="50.0625" style="860" customWidth="1"/>
    <col min="3276" max="3276" width="54.5625" style="860" customWidth="1"/>
    <col min="3277" max="3277" width="12.0625" style="860" customWidth="1"/>
    <col min="3278" max="3278" width="11.0625" style="860" customWidth="1"/>
    <col min="3279" max="3282" width="0" style="860" hidden="1" customWidth="1"/>
    <col min="3283" max="3283" width="11.0625" style="860" bestFit="1" customWidth="1"/>
    <col min="3284" max="3287" width="0" style="860" hidden="1" customWidth="1"/>
    <col min="3288" max="3288" width="11.5" style="860" bestFit="1" customWidth="1"/>
    <col min="3289" max="3292" width="0" style="860" hidden="1" customWidth="1"/>
    <col min="3293" max="3293" width="11.5" style="860" bestFit="1" customWidth="1"/>
    <col min="3294" max="3297" width="10.0625" style="860" bestFit="1" customWidth="1"/>
    <col min="3298" max="3298" width="12.5625" style="860" bestFit="1" customWidth="1"/>
    <col min="3299" max="3328" width="14.0625" style="860"/>
    <col min="3329" max="3329" width="49.8125" style="860" customWidth="1"/>
    <col min="3330" max="3330" width="16.8125" style="860" bestFit="1" customWidth="1"/>
    <col min="3331" max="3331" width="12.5625" style="860" bestFit="1" customWidth="1"/>
    <col min="3332" max="3351" width="11.0625" style="860" customWidth="1"/>
    <col min="3352" max="3355" width="14.0625" style="860"/>
    <col min="3356" max="3356" width="1.5" style="860" bestFit="1" customWidth="1"/>
    <col min="3357" max="3357" width="17.0625" style="860" bestFit="1" customWidth="1"/>
    <col min="3358" max="3358" width="1.5625" style="860" bestFit="1" customWidth="1"/>
    <col min="3359" max="3359" width="15.0625" style="860" bestFit="1" customWidth="1"/>
    <col min="3360" max="3530" width="14.0625" style="860"/>
    <col min="3531" max="3531" width="50.0625" style="860" customWidth="1"/>
    <col min="3532" max="3532" width="54.5625" style="860" customWidth="1"/>
    <col min="3533" max="3533" width="12.0625" style="860" customWidth="1"/>
    <col min="3534" max="3534" width="11.0625" style="860" customWidth="1"/>
    <col min="3535" max="3538" width="0" style="860" hidden="1" customWidth="1"/>
    <col min="3539" max="3539" width="11.0625" style="860" bestFit="1" customWidth="1"/>
    <col min="3540" max="3543" width="0" style="860" hidden="1" customWidth="1"/>
    <col min="3544" max="3544" width="11.5" style="860" bestFit="1" customWidth="1"/>
    <col min="3545" max="3548" width="0" style="860" hidden="1" customWidth="1"/>
    <col min="3549" max="3549" width="11.5" style="860" bestFit="1" customWidth="1"/>
    <col min="3550" max="3553" width="10.0625" style="860" bestFit="1" customWidth="1"/>
    <col min="3554" max="3554" width="12.5625" style="860" bestFit="1" customWidth="1"/>
    <col min="3555" max="3584" width="14.0625" style="860"/>
    <col min="3585" max="3585" width="49.8125" style="860" customWidth="1"/>
    <col min="3586" max="3586" width="16.8125" style="860" bestFit="1" customWidth="1"/>
    <col min="3587" max="3587" width="12.5625" style="860" bestFit="1" customWidth="1"/>
    <col min="3588" max="3607" width="11.0625" style="860" customWidth="1"/>
    <col min="3608" max="3611" width="14.0625" style="860"/>
    <col min="3612" max="3612" width="1.5" style="860" bestFit="1" customWidth="1"/>
    <col min="3613" max="3613" width="17.0625" style="860" bestFit="1" customWidth="1"/>
    <col min="3614" max="3614" width="1.5625" style="860" bestFit="1" customWidth="1"/>
    <col min="3615" max="3615" width="15.0625" style="860" bestFit="1" customWidth="1"/>
    <col min="3616" max="3786" width="14.0625" style="860"/>
    <col min="3787" max="3787" width="50.0625" style="860" customWidth="1"/>
    <col min="3788" max="3788" width="54.5625" style="860" customWidth="1"/>
    <col min="3789" max="3789" width="12.0625" style="860" customWidth="1"/>
    <col min="3790" max="3790" width="11.0625" style="860" customWidth="1"/>
    <col min="3791" max="3794" width="0" style="860" hidden="1" customWidth="1"/>
    <col min="3795" max="3795" width="11.0625" style="860" bestFit="1" customWidth="1"/>
    <col min="3796" max="3799" width="0" style="860" hidden="1" customWidth="1"/>
    <col min="3800" max="3800" width="11.5" style="860" bestFit="1" customWidth="1"/>
    <col min="3801" max="3804" width="0" style="860" hidden="1" customWidth="1"/>
    <col min="3805" max="3805" width="11.5" style="860" bestFit="1" customWidth="1"/>
    <col min="3806" max="3809" width="10.0625" style="860" bestFit="1" customWidth="1"/>
    <col min="3810" max="3810" width="12.5625" style="860" bestFit="1" customWidth="1"/>
    <col min="3811" max="3840" width="14.0625" style="860"/>
    <col min="3841" max="3841" width="49.8125" style="860" customWidth="1"/>
    <col min="3842" max="3842" width="16.8125" style="860" bestFit="1" customWidth="1"/>
    <col min="3843" max="3843" width="12.5625" style="860" bestFit="1" customWidth="1"/>
    <col min="3844" max="3863" width="11.0625" style="860" customWidth="1"/>
    <col min="3864" max="3867" width="14.0625" style="860"/>
    <col min="3868" max="3868" width="1.5" style="860" bestFit="1" customWidth="1"/>
    <col min="3869" max="3869" width="17.0625" style="860" bestFit="1" customWidth="1"/>
    <col min="3870" max="3870" width="1.5625" style="860" bestFit="1" customWidth="1"/>
    <col min="3871" max="3871" width="15.0625" style="860" bestFit="1" customWidth="1"/>
    <col min="3872" max="4042" width="14.0625" style="860"/>
    <col min="4043" max="4043" width="50.0625" style="860" customWidth="1"/>
    <col min="4044" max="4044" width="54.5625" style="860" customWidth="1"/>
    <col min="4045" max="4045" width="12.0625" style="860" customWidth="1"/>
    <col min="4046" max="4046" width="11.0625" style="860" customWidth="1"/>
    <col min="4047" max="4050" width="0" style="860" hidden="1" customWidth="1"/>
    <col min="4051" max="4051" width="11.0625" style="860" bestFit="1" customWidth="1"/>
    <col min="4052" max="4055" width="0" style="860" hidden="1" customWidth="1"/>
    <col min="4056" max="4056" width="11.5" style="860" bestFit="1" customWidth="1"/>
    <col min="4057" max="4060" width="0" style="860" hidden="1" customWidth="1"/>
    <col min="4061" max="4061" width="11.5" style="860" bestFit="1" customWidth="1"/>
    <col min="4062" max="4065" width="10.0625" style="860" bestFit="1" customWidth="1"/>
    <col min="4066" max="4066" width="12.5625" style="860" bestFit="1" customWidth="1"/>
    <col min="4067" max="4096" width="14.0625" style="860"/>
    <col min="4097" max="4097" width="49.8125" style="860" customWidth="1"/>
    <col min="4098" max="4098" width="16.8125" style="860" bestFit="1" customWidth="1"/>
    <col min="4099" max="4099" width="12.5625" style="860" bestFit="1" customWidth="1"/>
    <col min="4100" max="4119" width="11.0625" style="860" customWidth="1"/>
    <col min="4120" max="4123" width="14.0625" style="860"/>
    <col min="4124" max="4124" width="1.5" style="860" bestFit="1" customWidth="1"/>
    <col min="4125" max="4125" width="17.0625" style="860" bestFit="1" customWidth="1"/>
    <col min="4126" max="4126" width="1.5625" style="860" bestFit="1" customWidth="1"/>
    <col min="4127" max="4127" width="15.0625" style="860" bestFit="1" customWidth="1"/>
    <col min="4128" max="4298" width="14.0625" style="860"/>
    <col min="4299" max="4299" width="50.0625" style="860" customWidth="1"/>
    <col min="4300" max="4300" width="54.5625" style="860" customWidth="1"/>
    <col min="4301" max="4301" width="12.0625" style="860" customWidth="1"/>
    <col min="4302" max="4302" width="11.0625" style="860" customWidth="1"/>
    <col min="4303" max="4306" width="0" style="860" hidden="1" customWidth="1"/>
    <col min="4307" max="4307" width="11.0625" style="860" bestFit="1" customWidth="1"/>
    <col min="4308" max="4311" width="0" style="860" hidden="1" customWidth="1"/>
    <col min="4312" max="4312" width="11.5" style="860" bestFit="1" customWidth="1"/>
    <col min="4313" max="4316" width="0" style="860" hidden="1" customWidth="1"/>
    <col min="4317" max="4317" width="11.5" style="860" bestFit="1" customWidth="1"/>
    <col min="4318" max="4321" width="10.0625" style="860" bestFit="1" customWidth="1"/>
    <col min="4322" max="4322" width="12.5625" style="860" bestFit="1" customWidth="1"/>
    <col min="4323" max="4352" width="14.0625" style="860"/>
    <col min="4353" max="4353" width="49.8125" style="860" customWidth="1"/>
    <col min="4354" max="4354" width="16.8125" style="860" bestFit="1" customWidth="1"/>
    <col min="4355" max="4355" width="12.5625" style="860" bestFit="1" customWidth="1"/>
    <col min="4356" max="4375" width="11.0625" style="860" customWidth="1"/>
    <col min="4376" max="4379" width="14.0625" style="860"/>
    <col min="4380" max="4380" width="1.5" style="860" bestFit="1" customWidth="1"/>
    <col min="4381" max="4381" width="17.0625" style="860" bestFit="1" customWidth="1"/>
    <col min="4382" max="4382" width="1.5625" style="860" bestFit="1" customWidth="1"/>
    <col min="4383" max="4383" width="15.0625" style="860" bestFit="1" customWidth="1"/>
    <col min="4384" max="4554" width="14.0625" style="860"/>
    <col min="4555" max="4555" width="50.0625" style="860" customWidth="1"/>
    <col min="4556" max="4556" width="54.5625" style="860" customWidth="1"/>
    <col min="4557" max="4557" width="12.0625" style="860" customWidth="1"/>
    <col min="4558" max="4558" width="11.0625" style="860" customWidth="1"/>
    <col min="4559" max="4562" width="0" style="860" hidden="1" customWidth="1"/>
    <col min="4563" max="4563" width="11.0625" style="860" bestFit="1" customWidth="1"/>
    <col min="4564" max="4567" width="0" style="860" hidden="1" customWidth="1"/>
    <col min="4568" max="4568" width="11.5" style="860" bestFit="1" customWidth="1"/>
    <col min="4569" max="4572" width="0" style="860" hidden="1" customWidth="1"/>
    <col min="4573" max="4573" width="11.5" style="860" bestFit="1" customWidth="1"/>
    <col min="4574" max="4577" width="10.0625" style="860" bestFit="1" customWidth="1"/>
    <col min="4578" max="4578" width="12.5625" style="860" bestFit="1" customWidth="1"/>
    <col min="4579" max="4608" width="14.0625" style="860"/>
    <col min="4609" max="4609" width="49.8125" style="860" customWidth="1"/>
    <col min="4610" max="4610" width="16.8125" style="860" bestFit="1" customWidth="1"/>
    <col min="4611" max="4611" width="12.5625" style="860" bestFit="1" customWidth="1"/>
    <col min="4612" max="4631" width="11.0625" style="860" customWidth="1"/>
    <col min="4632" max="4635" width="14.0625" style="860"/>
    <col min="4636" max="4636" width="1.5" style="860" bestFit="1" customWidth="1"/>
    <col min="4637" max="4637" width="17.0625" style="860" bestFit="1" customWidth="1"/>
    <col min="4638" max="4638" width="1.5625" style="860" bestFit="1" customWidth="1"/>
    <col min="4639" max="4639" width="15.0625" style="860" bestFit="1" customWidth="1"/>
    <col min="4640" max="4810" width="14.0625" style="860"/>
    <col min="4811" max="4811" width="50.0625" style="860" customWidth="1"/>
    <col min="4812" max="4812" width="54.5625" style="860" customWidth="1"/>
    <col min="4813" max="4813" width="12.0625" style="860" customWidth="1"/>
    <col min="4814" max="4814" width="11.0625" style="860" customWidth="1"/>
    <col min="4815" max="4818" width="0" style="860" hidden="1" customWidth="1"/>
    <col min="4819" max="4819" width="11.0625" style="860" bestFit="1" customWidth="1"/>
    <col min="4820" max="4823" width="0" style="860" hidden="1" customWidth="1"/>
    <col min="4824" max="4824" width="11.5" style="860" bestFit="1" customWidth="1"/>
    <col min="4825" max="4828" width="0" style="860" hidden="1" customWidth="1"/>
    <col min="4829" max="4829" width="11.5" style="860" bestFit="1" customWidth="1"/>
    <col min="4830" max="4833" width="10.0625" style="860" bestFit="1" customWidth="1"/>
    <col min="4834" max="4834" width="12.5625" style="860" bestFit="1" customWidth="1"/>
    <col min="4835" max="4864" width="14.0625" style="860"/>
    <col min="4865" max="4865" width="49.8125" style="860" customWidth="1"/>
    <col min="4866" max="4866" width="16.8125" style="860" bestFit="1" customWidth="1"/>
    <col min="4867" max="4867" width="12.5625" style="860" bestFit="1" customWidth="1"/>
    <col min="4868" max="4887" width="11.0625" style="860" customWidth="1"/>
    <col min="4888" max="4891" width="14.0625" style="860"/>
    <col min="4892" max="4892" width="1.5" style="860" bestFit="1" customWidth="1"/>
    <col min="4893" max="4893" width="17.0625" style="860" bestFit="1" customWidth="1"/>
    <col min="4894" max="4894" width="1.5625" style="860" bestFit="1" customWidth="1"/>
    <col min="4895" max="4895" width="15.0625" style="860" bestFit="1" customWidth="1"/>
    <col min="4896" max="5066" width="14.0625" style="860"/>
    <col min="5067" max="5067" width="50.0625" style="860" customWidth="1"/>
    <col min="5068" max="5068" width="54.5625" style="860" customWidth="1"/>
    <col min="5069" max="5069" width="12.0625" style="860" customWidth="1"/>
    <col min="5070" max="5070" width="11.0625" style="860" customWidth="1"/>
    <col min="5071" max="5074" width="0" style="860" hidden="1" customWidth="1"/>
    <col min="5075" max="5075" width="11.0625" style="860" bestFit="1" customWidth="1"/>
    <col min="5076" max="5079" width="0" style="860" hidden="1" customWidth="1"/>
    <col min="5080" max="5080" width="11.5" style="860" bestFit="1" customWidth="1"/>
    <col min="5081" max="5084" width="0" style="860" hidden="1" customWidth="1"/>
    <col min="5085" max="5085" width="11.5" style="860" bestFit="1" customWidth="1"/>
    <col min="5086" max="5089" width="10.0625" style="860" bestFit="1" customWidth="1"/>
    <col min="5090" max="5090" width="12.5625" style="860" bestFit="1" customWidth="1"/>
    <col min="5091" max="5120" width="14.0625" style="860"/>
    <col min="5121" max="5121" width="49.8125" style="860" customWidth="1"/>
    <col min="5122" max="5122" width="16.8125" style="860" bestFit="1" customWidth="1"/>
    <col min="5123" max="5123" width="12.5625" style="860" bestFit="1" customWidth="1"/>
    <col min="5124" max="5143" width="11.0625" style="860" customWidth="1"/>
    <col min="5144" max="5147" width="14.0625" style="860"/>
    <col min="5148" max="5148" width="1.5" style="860" bestFit="1" customWidth="1"/>
    <col min="5149" max="5149" width="17.0625" style="860" bestFit="1" customWidth="1"/>
    <col min="5150" max="5150" width="1.5625" style="860" bestFit="1" customWidth="1"/>
    <col min="5151" max="5151" width="15.0625" style="860" bestFit="1" customWidth="1"/>
    <col min="5152" max="5322" width="14.0625" style="860"/>
    <col min="5323" max="5323" width="50.0625" style="860" customWidth="1"/>
    <col min="5324" max="5324" width="54.5625" style="860" customWidth="1"/>
    <col min="5325" max="5325" width="12.0625" style="860" customWidth="1"/>
    <col min="5326" max="5326" width="11.0625" style="860" customWidth="1"/>
    <col min="5327" max="5330" width="0" style="860" hidden="1" customWidth="1"/>
    <col min="5331" max="5331" width="11.0625" style="860" bestFit="1" customWidth="1"/>
    <col min="5332" max="5335" width="0" style="860" hidden="1" customWidth="1"/>
    <col min="5336" max="5336" width="11.5" style="860" bestFit="1" customWidth="1"/>
    <col min="5337" max="5340" width="0" style="860" hidden="1" customWidth="1"/>
    <col min="5341" max="5341" width="11.5" style="860" bestFit="1" customWidth="1"/>
    <col min="5342" max="5345" width="10.0625" style="860" bestFit="1" customWidth="1"/>
    <col min="5346" max="5346" width="12.5625" style="860" bestFit="1" customWidth="1"/>
    <col min="5347" max="5376" width="14.0625" style="860"/>
    <col min="5377" max="5377" width="49.8125" style="860" customWidth="1"/>
    <col min="5378" max="5378" width="16.8125" style="860" bestFit="1" customWidth="1"/>
    <col min="5379" max="5379" width="12.5625" style="860" bestFit="1" customWidth="1"/>
    <col min="5380" max="5399" width="11.0625" style="860" customWidth="1"/>
    <col min="5400" max="5403" width="14.0625" style="860"/>
    <col min="5404" max="5404" width="1.5" style="860" bestFit="1" customWidth="1"/>
    <col min="5405" max="5405" width="17.0625" style="860" bestFit="1" customWidth="1"/>
    <col min="5406" max="5406" width="1.5625" style="860" bestFit="1" customWidth="1"/>
    <col min="5407" max="5407" width="15.0625" style="860" bestFit="1" customWidth="1"/>
    <col min="5408" max="5578" width="14.0625" style="860"/>
    <col min="5579" max="5579" width="50.0625" style="860" customWidth="1"/>
    <col min="5580" max="5580" width="54.5625" style="860" customWidth="1"/>
    <col min="5581" max="5581" width="12.0625" style="860" customWidth="1"/>
    <col min="5582" max="5582" width="11.0625" style="860" customWidth="1"/>
    <col min="5583" max="5586" width="0" style="860" hidden="1" customWidth="1"/>
    <col min="5587" max="5587" width="11.0625" style="860" bestFit="1" customWidth="1"/>
    <col min="5588" max="5591" width="0" style="860" hidden="1" customWidth="1"/>
    <col min="5592" max="5592" width="11.5" style="860" bestFit="1" customWidth="1"/>
    <col min="5593" max="5596" width="0" style="860" hidden="1" customWidth="1"/>
    <col min="5597" max="5597" width="11.5" style="860" bestFit="1" customWidth="1"/>
    <col min="5598" max="5601" width="10.0625" style="860" bestFit="1" customWidth="1"/>
    <col min="5602" max="5602" width="12.5625" style="860" bestFit="1" customWidth="1"/>
    <col min="5603" max="5632" width="14.0625" style="860"/>
    <col min="5633" max="5633" width="49.8125" style="860" customWidth="1"/>
    <col min="5634" max="5634" width="16.8125" style="860" bestFit="1" customWidth="1"/>
    <col min="5635" max="5635" width="12.5625" style="860" bestFit="1" customWidth="1"/>
    <col min="5636" max="5655" width="11.0625" style="860" customWidth="1"/>
    <col min="5656" max="5659" width="14.0625" style="860"/>
    <col min="5660" max="5660" width="1.5" style="860" bestFit="1" customWidth="1"/>
    <col min="5661" max="5661" width="17.0625" style="860" bestFit="1" customWidth="1"/>
    <col min="5662" max="5662" width="1.5625" style="860" bestFit="1" customWidth="1"/>
    <col min="5663" max="5663" width="15.0625" style="860" bestFit="1" customWidth="1"/>
    <col min="5664" max="5834" width="14.0625" style="860"/>
    <col min="5835" max="5835" width="50.0625" style="860" customWidth="1"/>
    <col min="5836" max="5836" width="54.5625" style="860" customWidth="1"/>
    <col min="5837" max="5837" width="12.0625" style="860" customWidth="1"/>
    <col min="5838" max="5838" width="11.0625" style="860" customWidth="1"/>
    <col min="5839" max="5842" width="0" style="860" hidden="1" customWidth="1"/>
    <col min="5843" max="5843" width="11.0625" style="860" bestFit="1" customWidth="1"/>
    <col min="5844" max="5847" width="0" style="860" hidden="1" customWidth="1"/>
    <col min="5848" max="5848" width="11.5" style="860" bestFit="1" customWidth="1"/>
    <col min="5849" max="5852" width="0" style="860" hidden="1" customWidth="1"/>
    <col min="5853" max="5853" width="11.5" style="860" bestFit="1" customWidth="1"/>
    <col min="5854" max="5857" width="10.0625" style="860" bestFit="1" customWidth="1"/>
    <col min="5858" max="5858" width="12.5625" style="860" bestFit="1" customWidth="1"/>
    <col min="5859" max="5888" width="14.0625" style="860"/>
    <col min="5889" max="5889" width="49.8125" style="860" customWidth="1"/>
    <col min="5890" max="5890" width="16.8125" style="860" bestFit="1" customWidth="1"/>
    <col min="5891" max="5891" width="12.5625" style="860" bestFit="1" customWidth="1"/>
    <col min="5892" max="5911" width="11.0625" style="860" customWidth="1"/>
    <col min="5912" max="5915" width="14.0625" style="860"/>
    <col min="5916" max="5916" width="1.5" style="860" bestFit="1" customWidth="1"/>
    <col min="5917" max="5917" width="17.0625" style="860" bestFit="1" customWidth="1"/>
    <col min="5918" max="5918" width="1.5625" style="860" bestFit="1" customWidth="1"/>
    <col min="5919" max="5919" width="15.0625" style="860" bestFit="1" customWidth="1"/>
    <col min="5920" max="6090" width="14.0625" style="860"/>
    <col min="6091" max="6091" width="50.0625" style="860" customWidth="1"/>
    <col min="6092" max="6092" width="54.5625" style="860" customWidth="1"/>
    <col min="6093" max="6093" width="12.0625" style="860" customWidth="1"/>
    <col min="6094" max="6094" width="11.0625" style="860" customWidth="1"/>
    <col min="6095" max="6098" width="0" style="860" hidden="1" customWidth="1"/>
    <col min="6099" max="6099" width="11.0625" style="860" bestFit="1" customWidth="1"/>
    <col min="6100" max="6103" width="0" style="860" hidden="1" customWidth="1"/>
    <col min="6104" max="6104" width="11.5" style="860" bestFit="1" customWidth="1"/>
    <col min="6105" max="6108" width="0" style="860" hidden="1" customWidth="1"/>
    <col min="6109" max="6109" width="11.5" style="860" bestFit="1" customWidth="1"/>
    <col min="6110" max="6113" width="10.0625" style="860" bestFit="1" customWidth="1"/>
    <col min="6114" max="6114" width="12.5625" style="860" bestFit="1" customWidth="1"/>
    <col min="6115" max="6144" width="14.0625" style="860"/>
    <col min="6145" max="6145" width="49.8125" style="860" customWidth="1"/>
    <col min="6146" max="6146" width="16.8125" style="860" bestFit="1" customWidth="1"/>
    <col min="6147" max="6147" width="12.5625" style="860" bestFit="1" customWidth="1"/>
    <col min="6148" max="6167" width="11.0625" style="860" customWidth="1"/>
    <col min="6168" max="6171" width="14.0625" style="860"/>
    <col min="6172" max="6172" width="1.5" style="860" bestFit="1" customWidth="1"/>
    <col min="6173" max="6173" width="17.0625" style="860" bestFit="1" customWidth="1"/>
    <col min="6174" max="6174" width="1.5625" style="860" bestFit="1" customWidth="1"/>
    <col min="6175" max="6175" width="15.0625" style="860" bestFit="1" customWidth="1"/>
    <col min="6176" max="6346" width="14.0625" style="860"/>
    <col min="6347" max="6347" width="50.0625" style="860" customWidth="1"/>
    <col min="6348" max="6348" width="54.5625" style="860" customWidth="1"/>
    <col min="6349" max="6349" width="12.0625" style="860" customWidth="1"/>
    <col min="6350" max="6350" width="11.0625" style="860" customWidth="1"/>
    <col min="6351" max="6354" width="0" style="860" hidden="1" customWidth="1"/>
    <col min="6355" max="6355" width="11.0625" style="860" bestFit="1" customWidth="1"/>
    <col min="6356" max="6359" width="0" style="860" hidden="1" customWidth="1"/>
    <col min="6360" max="6360" width="11.5" style="860" bestFit="1" customWidth="1"/>
    <col min="6361" max="6364" width="0" style="860" hidden="1" customWidth="1"/>
    <col min="6365" max="6365" width="11.5" style="860" bestFit="1" customWidth="1"/>
    <col min="6366" max="6369" width="10.0625" style="860" bestFit="1" customWidth="1"/>
    <col min="6370" max="6370" width="12.5625" style="860" bestFit="1" customWidth="1"/>
    <col min="6371" max="6400" width="14.0625" style="860"/>
    <col min="6401" max="6401" width="49.8125" style="860" customWidth="1"/>
    <col min="6402" max="6402" width="16.8125" style="860" bestFit="1" customWidth="1"/>
    <col min="6403" max="6403" width="12.5625" style="860" bestFit="1" customWidth="1"/>
    <col min="6404" max="6423" width="11.0625" style="860" customWidth="1"/>
    <col min="6424" max="6427" width="14.0625" style="860"/>
    <col min="6428" max="6428" width="1.5" style="860" bestFit="1" customWidth="1"/>
    <col min="6429" max="6429" width="17.0625" style="860" bestFit="1" customWidth="1"/>
    <col min="6430" max="6430" width="1.5625" style="860" bestFit="1" customWidth="1"/>
    <col min="6431" max="6431" width="15.0625" style="860" bestFit="1" customWidth="1"/>
    <col min="6432" max="6602" width="14.0625" style="860"/>
    <col min="6603" max="6603" width="50.0625" style="860" customWidth="1"/>
    <col min="6604" max="6604" width="54.5625" style="860" customWidth="1"/>
    <col min="6605" max="6605" width="12.0625" style="860" customWidth="1"/>
    <col min="6606" max="6606" width="11.0625" style="860" customWidth="1"/>
    <col min="6607" max="6610" width="0" style="860" hidden="1" customWidth="1"/>
    <col min="6611" max="6611" width="11.0625" style="860" bestFit="1" customWidth="1"/>
    <col min="6612" max="6615" width="0" style="860" hidden="1" customWidth="1"/>
    <col min="6616" max="6616" width="11.5" style="860" bestFit="1" customWidth="1"/>
    <col min="6617" max="6620" width="0" style="860" hidden="1" customWidth="1"/>
    <col min="6621" max="6621" width="11.5" style="860" bestFit="1" customWidth="1"/>
    <col min="6622" max="6625" width="10.0625" style="860" bestFit="1" customWidth="1"/>
    <col min="6626" max="6626" width="12.5625" style="860" bestFit="1" customWidth="1"/>
    <col min="6627" max="6656" width="14.0625" style="860"/>
    <col min="6657" max="6657" width="49.8125" style="860" customWidth="1"/>
    <col min="6658" max="6658" width="16.8125" style="860" bestFit="1" customWidth="1"/>
    <col min="6659" max="6659" width="12.5625" style="860" bestFit="1" customWidth="1"/>
    <col min="6660" max="6679" width="11.0625" style="860" customWidth="1"/>
    <col min="6680" max="6683" width="14.0625" style="860"/>
    <col min="6684" max="6684" width="1.5" style="860" bestFit="1" customWidth="1"/>
    <col min="6685" max="6685" width="17.0625" style="860" bestFit="1" customWidth="1"/>
    <col min="6686" max="6686" width="1.5625" style="860" bestFit="1" customWidth="1"/>
    <col min="6687" max="6687" width="15.0625" style="860" bestFit="1" customWidth="1"/>
    <col min="6688" max="6858" width="14.0625" style="860"/>
    <col min="6859" max="6859" width="50.0625" style="860" customWidth="1"/>
    <col min="6860" max="6860" width="54.5625" style="860" customWidth="1"/>
    <col min="6861" max="6861" width="12.0625" style="860" customWidth="1"/>
    <col min="6862" max="6862" width="11.0625" style="860" customWidth="1"/>
    <col min="6863" max="6866" width="0" style="860" hidden="1" customWidth="1"/>
    <col min="6867" max="6867" width="11.0625" style="860" bestFit="1" customWidth="1"/>
    <col min="6868" max="6871" width="0" style="860" hidden="1" customWidth="1"/>
    <col min="6872" max="6872" width="11.5" style="860" bestFit="1" customWidth="1"/>
    <col min="6873" max="6876" width="0" style="860" hidden="1" customWidth="1"/>
    <col min="6877" max="6877" width="11.5" style="860" bestFit="1" customWidth="1"/>
    <col min="6878" max="6881" width="10.0625" style="860" bestFit="1" customWidth="1"/>
    <col min="6882" max="6882" width="12.5625" style="860" bestFit="1" customWidth="1"/>
    <col min="6883" max="6912" width="14.0625" style="860"/>
    <col min="6913" max="6913" width="49.8125" style="860" customWidth="1"/>
    <col min="6914" max="6914" width="16.8125" style="860" bestFit="1" customWidth="1"/>
    <col min="6915" max="6915" width="12.5625" style="860" bestFit="1" customWidth="1"/>
    <col min="6916" max="6935" width="11.0625" style="860" customWidth="1"/>
    <col min="6936" max="6939" width="14.0625" style="860"/>
    <col min="6940" max="6940" width="1.5" style="860" bestFit="1" customWidth="1"/>
    <col min="6941" max="6941" width="17.0625" style="860" bestFit="1" customWidth="1"/>
    <col min="6942" max="6942" width="1.5625" style="860" bestFit="1" customWidth="1"/>
    <col min="6943" max="6943" width="15.0625" style="860" bestFit="1" customWidth="1"/>
    <col min="6944" max="7114" width="14.0625" style="860"/>
    <col min="7115" max="7115" width="50.0625" style="860" customWidth="1"/>
    <col min="7116" max="7116" width="54.5625" style="860" customWidth="1"/>
    <col min="7117" max="7117" width="12.0625" style="860" customWidth="1"/>
    <col min="7118" max="7118" width="11.0625" style="860" customWidth="1"/>
    <col min="7119" max="7122" width="0" style="860" hidden="1" customWidth="1"/>
    <col min="7123" max="7123" width="11.0625" style="860" bestFit="1" customWidth="1"/>
    <col min="7124" max="7127" width="0" style="860" hidden="1" customWidth="1"/>
    <col min="7128" max="7128" width="11.5" style="860" bestFit="1" customWidth="1"/>
    <col min="7129" max="7132" width="0" style="860" hidden="1" customWidth="1"/>
    <col min="7133" max="7133" width="11.5" style="860" bestFit="1" customWidth="1"/>
    <col min="7134" max="7137" width="10.0625" style="860" bestFit="1" customWidth="1"/>
    <col min="7138" max="7138" width="12.5625" style="860" bestFit="1" customWidth="1"/>
    <col min="7139" max="7168" width="14.0625" style="860"/>
    <col min="7169" max="7169" width="49.8125" style="860" customWidth="1"/>
    <col min="7170" max="7170" width="16.8125" style="860" bestFit="1" customWidth="1"/>
    <col min="7171" max="7171" width="12.5625" style="860" bestFit="1" customWidth="1"/>
    <col min="7172" max="7191" width="11.0625" style="860" customWidth="1"/>
    <col min="7192" max="7195" width="14.0625" style="860"/>
    <col min="7196" max="7196" width="1.5" style="860" bestFit="1" customWidth="1"/>
    <col min="7197" max="7197" width="17.0625" style="860" bestFit="1" customWidth="1"/>
    <col min="7198" max="7198" width="1.5625" style="860" bestFit="1" customWidth="1"/>
    <col min="7199" max="7199" width="15.0625" style="860" bestFit="1" customWidth="1"/>
    <col min="7200" max="7370" width="14.0625" style="860"/>
    <col min="7371" max="7371" width="50.0625" style="860" customWidth="1"/>
    <col min="7372" max="7372" width="54.5625" style="860" customWidth="1"/>
    <col min="7373" max="7373" width="12.0625" style="860" customWidth="1"/>
    <col min="7374" max="7374" width="11.0625" style="860" customWidth="1"/>
    <col min="7375" max="7378" width="0" style="860" hidden="1" customWidth="1"/>
    <col min="7379" max="7379" width="11.0625" style="860" bestFit="1" customWidth="1"/>
    <col min="7380" max="7383" width="0" style="860" hidden="1" customWidth="1"/>
    <col min="7384" max="7384" width="11.5" style="860" bestFit="1" customWidth="1"/>
    <col min="7385" max="7388" width="0" style="860" hidden="1" customWidth="1"/>
    <col min="7389" max="7389" width="11.5" style="860" bestFit="1" customWidth="1"/>
    <col min="7390" max="7393" width="10.0625" style="860" bestFit="1" customWidth="1"/>
    <col min="7394" max="7394" width="12.5625" style="860" bestFit="1" customWidth="1"/>
    <col min="7395" max="7424" width="14.0625" style="860"/>
    <col min="7425" max="7425" width="49.8125" style="860" customWidth="1"/>
    <col min="7426" max="7426" width="16.8125" style="860" bestFit="1" customWidth="1"/>
    <col min="7427" max="7427" width="12.5625" style="860" bestFit="1" customWidth="1"/>
    <col min="7428" max="7447" width="11.0625" style="860" customWidth="1"/>
    <col min="7448" max="7451" width="14.0625" style="860"/>
    <col min="7452" max="7452" width="1.5" style="860" bestFit="1" customWidth="1"/>
    <col min="7453" max="7453" width="17.0625" style="860" bestFit="1" customWidth="1"/>
    <col min="7454" max="7454" width="1.5625" style="860" bestFit="1" customWidth="1"/>
    <col min="7455" max="7455" width="15.0625" style="860" bestFit="1" customWidth="1"/>
    <col min="7456" max="7626" width="14.0625" style="860"/>
    <col min="7627" max="7627" width="50.0625" style="860" customWidth="1"/>
    <col min="7628" max="7628" width="54.5625" style="860" customWidth="1"/>
    <col min="7629" max="7629" width="12.0625" style="860" customWidth="1"/>
    <col min="7630" max="7630" width="11.0625" style="860" customWidth="1"/>
    <col min="7631" max="7634" width="0" style="860" hidden="1" customWidth="1"/>
    <col min="7635" max="7635" width="11.0625" style="860" bestFit="1" customWidth="1"/>
    <col min="7636" max="7639" width="0" style="860" hidden="1" customWidth="1"/>
    <col min="7640" max="7640" width="11.5" style="860" bestFit="1" customWidth="1"/>
    <col min="7641" max="7644" width="0" style="860" hidden="1" customWidth="1"/>
    <col min="7645" max="7645" width="11.5" style="860" bestFit="1" customWidth="1"/>
    <col min="7646" max="7649" width="10.0625" style="860" bestFit="1" customWidth="1"/>
    <col min="7650" max="7650" width="12.5625" style="860" bestFit="1" customWidth="1"/>
    <col min="7651" max="7680" width="14.0625" style="860"/>
    <col min="7681" max="7681" width="49.8125" style="860" customWidth="1"/>
    <col min="7682" max="7682" width="16.8125" style="860" bestFit="1" customWidth="1"/>
    <col min="7683" max="7683" width="12.5625" style="860" bestFit="1" customWidth="1"/>
    <col min="7684" max="7703" width="11.0625" style="860" customWidth="1"/>
    <col min="7704" max="7707" width="14.0625" style="860"/>
    <col min="7708" max="7708" width="1.5" style="860" bestFit="1" customWidth="1"/>
    <col min="7709" max="7709" width="17.0625" style="860" bestFit="1" customWidth="1"/>
    <col min="7710" max="7710" width="1.5625" style="860" bestFit="1" customWidth="1"/>
    <col min="7711" max="7711" width="15.0625" style="860" bestFit="1" customWidth="1"/>
    <col min="7712" max="7882" width="14.0625" style="860"/>
    <col min="7883" max="7883" width="50.0625" style="860" customWidth="1"/>
    <col min="7884" max="7884" width="54.5625" style="860" customWidth="1"/>
    <col min="7885" max="7885" width="12.0625" style="860" customWidth="1"/>
    <col min="7886" max="7886" width="11.0625" style="860" customWidth="1"/>
    <col min="7887" max="7890" width="0" style="860" hidden="1" customWidth="1"/>
    <col min="7891" max="7891" width="11.0625" style="860" bestFit="1" customWidth="1"/>
    <col min="7892" max="7895" width="0" style="860" hidden="1" customWidth="1"/>
    <col min="7896" max="7896" width="11.5" style="860" bestFit="1" customWidth="1"/>
    <col min="7897" max="7900" width="0" style="860" hidden="1" customWidth="1"/>
    <col min="7901" max="7901" width="11.5" style="860" bestFit="1" customWidth="1"/>
    <col min="7902" max="7905" width="10.0625" style="860" bestFit="1" customWidth="1"/>
    <col min="7906" max="7906" width="12.5625" style="860" bestFit="1" customWidth="1"/>
    <col min="7907" max="7936" width="14.0625" style="860"/>
    <col min="7937" max="7937" width="49.8125" style="860" customWidth="1"/>
    <col min="7938" max="7938" width="16.8125" style="860" bestFit="1" customWidth="1"/>
    <col min="7939" max="7939" width="12.5625" style="860" bestFit="1" customWidth="1"/>
    <col min="7940" max="7959" width="11.0625" style="860" customWidth="1"/>
    <col min="7960" max="7963" width="14.0625" style="860"/>
    <col min="7964" max="7964" width="1.5" style="860" bestFit="1" customWidth="1"/>
    <col min="7965" max="7965" width="17.0625" style="860" bestFit="1" customWidth="1"/>
    <col min="7966" max="7966" width="1.5625" style="860" bestFit="1" customWidth="1"/>
    <col min="7967" max="7967" width="15.0625" style="860" bestFit="1" customWidth="1"/>
    <col min="7968" max="8138" width="14.0625" style="860"/>
    <col min="8139" max="8139" width="50.0625" style="860" customWidth="1"/>
    <col min="8140" max="8140" width="54.5625" style="860" customWidth="1"/>
    <col min="8141" max="8141" width="12.0625" style="860" customWidth="1"/>
    <col min="8142" max="8142" width="11.0625" style="860" customWidth="1"/>
    <col min="8143" max="8146" width="0" style="860" hidden="1" customWidth="1"/>
    <col min="8147" max="8147" width="11.0625" style="860" bestFit="1" customWidth="1"/>
    <col min="8148" max="8151" width="0" style="860" hidden="1" customWidth="1"/>
    <col min="8152" max="8152" width="11.5" style="860" bestFit="1" customWidth="1"/>
    <col min="8153" max="8156" width="0" style="860" hidden="1" customWidth="1"/>
    <col min="8157" max="8157" width="11.5" style="860" bestFit="1" customWidth="1"/>
    <col min="8158" max="8161" width="10.0625" style="860" bestFit="1" customWidth="1"/>
    <col min="8162" max="8162" width="12.5625" style="860" bestFit="1" customWidth="1"/>
    <col min="8163" max="8192" width="14.0625" style="860"/>
    <col min="8193" max="8193" width="49.8125" style="860" customWidth="1"/>
    <col min="8194" max="8194" width="16.8125" style="860" bestFit="1" customWidth="1"/>
    <col min="8195" max="8195" width="12.5625" style="860" bestFit="1" customWidth="1"/>
    <col min="8196" max="8215" width="11.0625" style="860" customWidth="1"/>
    <col min="8216" max="8219" width="14.0625" style="860"/>
    <col min="8220" max="8220" width="1.5" style="860" bestFit="1" customWidth="1"/>
    <col min="8221" max="8221" width="17.0625" style="860" bestFit="1" customWidth="1"/>
    <col min="8222" max="8222" width="1.5625" style="860" bestFit="1" customWidth="1"/>
    <col min="8223" max="8223" width="15.0625" style="860" bestFit="1" customWidth="1"/>
    <col min="8224" max="8394" width="14.0625" style="860"/>
    <col min="8395" max="8395" width="50.0625" style="860" customWidth="1"/>
    <col min="8396" max="8396" width="54.5625" style="860" customWidth="1"/>
    <col min="8397" max="8397" width="12.0625" style="860" customWidth="1"/>
    <col min="8398" max="8398" width="11.0625" style="860" customWidth="1"/>
    <col min="8399" max="8402" width="0" style="860" hidden="1" customWidth="1"/>
    <col min="8403" max="8403" width="11.0625" style="860" bestFit="1" customWidth="1"/>
    <col min="8404" max="8407" width="0" style="860" hidden="1" customWidth="1"/>
    <col min="8408" max="8408" width="11.5" style="860" bestFit="1" customWidth="1"/>
    <col min="8409" max="8412" width="0" style="860" hidden="1" customWidth="1"/>
    <col min="8413" max="8413" width="11.5" style="860" bestFit="1" customWidth="1"/>
    <col min="8414" max="8417" width="10.0625" style="860" bestFit="1" customWidth="1"/>
    <col min="8418" max="8418" width="12.5625" style="860" bestFit="1" customWidth="1"/>
    <col min="8419" max="8448" width="14.0625" style="860"/>
    <col min="8449" max="8449" width="49.8125" style="860" customWidth="1"/>
    <col min="8450" max="8450" width="16.8125" style="860" bestFit="1" customWidth="1"/>
    <col min="8451" max="8451" width="12.5625" style="860" bestFit="1" customWidth="1"/>
    <col min="8452" max="8471" width="11.0625" style="860" customWidth="1"/>
    <col min="8472" max="8475" width="14.0625" style="860"/>
    <col min="8476" max="8476" width="1.5" style="860" bestFit="1" customWidth="1"/>
    <col min="8477" max="8477" width="17.0625" style="860" bestFit="1" customWidth="1"/>
    <col min="8478" max="8478" width="1.5625" style="860" bestFit="1" customWidth="1"/>
    <col min="8479" max="8479" width="15.0625" style="860" bestFit="1" customWidth="1"/>
    <col min="8480" max="8650" width="14.0625" style="860"/>
    <col min="8651" max="8651" width="50.0625" style="860" customWidth="1"/>
    <col min="8652" max="8652" width="54.5625" style="860" customWidth="1"/>
    <col min="8653" max="8653" width="12.0625" style="860" customWidth="1"/>
    <col min="8654" max="8654" width="11.0625" style="860" customWidth="1"/>
    <col min="8655" max="8658" width="0" style="860" hidden="1" customWidth="1"/>
    <col min="8659" max="8659" width="11.0625" style="860" bestFit="1" customWidth="1"/>
    <col min="8660" max="8663" width="0" style="860" hidden="1" customWidth="1"/>
    <col min="8664" max="8664" width="11.5" style="860" bestFit="1" customWidth="1"/>
    <col min="8665" max="8668" width="0" style="860" hidden="1" customWidth="1"/>
    <col min="8669" max="8669" width="11.5" style="860" bestFit="1" customWidth="1"/>
    <col min="8670" max="8673" width="10.0625" style="860" bestFit="1" customWidth="1"/>
    <col min="8674" max="8674" width="12.5625" style="860" bestFit="1" customWidth="1"/>
    <col min="8675" max="8704" width="14.0625" style="860"/>
    <col min="8705" max="8705" width="49.8125" style="860" customWidth="1"/>
    <col min="8706" max="8706" width="16.8125" style="860" bestFit="1" customWidth="1"/>
    <col min="8707" max="8707" width="12.5625" style="860" bestFit="1" customWidth="1"/>
    <col min="8708" max="8727" width="11.0625" style="860" customWidth="1"/>
    <col min="8728" max="8731" width="14.0625" style="860"/>
    <col min="8732" max="8732" width="1.5" style="860" bestFit="1" customWidth="1"/>
    <col min="8733" max="8733" width="17.0625" style="860" bestFit="1" customWidth="1"/>
    <col min="8734" max="8734" width="1.5625" style="860" bestFit="1" customWidth="1"/>
    <col min="8735" max="8735" width="15.0625" style="860" bestFit="1" customWidth="1"/>
    <col min="8736" max="8906" width="14.0625" style="860"/>
    <col min="8907" max="8907" width="50.0625" style="860" customWidth="1"/>
    <col min="8908" max="8908" width="54.5625" style="860" customWidth="1"/>
    <col min="8909" max="8909" width="12.0625" style="860" customWidth="1"/>
    <col min="8910" max="8910" width="11.0625" style="860" customWidth="1"/>
    <col min="8911" max="8914" width="0" style="860" hidden="1" customWidth="1"/>
    <col min="8915" max="8915" width="11.0625" style="860" bestFit="1" customWidth="1"/>
    <col min="8916" max="8919" width="0" style="860" hidden="1" customWidth="1"/>
    <col min="8920" max="8920" width="11.5" style="860" bestFit="1" customWidth="1"/>
    <col min="8921" max="8924" width="0" style="860" hidden="1" customWidth="1"/>
    <col min="8925" max="8925" width="11.5" style="860" bestFit="1" customWidth="1"/>
    <col min="8926" max="8929" width="10.0625" style="860" bestFit="1" customWidth="1"/>
    <col min="8930" max="8930" width="12.5625" style="860" bestFit="1" customWidth="1"/>
    <col min="8931" max="8960" width="14.0625" style="860"/>
    <col min="8961" max="8961" width="49.8125" style="860" customWidth="1"/>
    <col min="8962" max="8962" width="16.8125" style="860" bestFit="1" customWidth="1"/>
    <col min="8963" max="8963" width="12.5625" style="860" bestFit="1" customWidth="1"/>
    <col min="8964" max="8983" width="11.0625" style="860" customWidth="1"/>
    <col min="8984" max="8987" width="14.0625" style="860"/>
    <col min="8988" max="8988" width="1.5" style="860" bestFit="1" customWidth="1"/>
    <col min="8989" max="8989" width="17.0625" style="860" bestFit="1" customWidth="1"/>
    <col min="8990" max="8990" width="1.5625" style="860" bestFit="1" customWidth="1"/>
    <col min="8991" max="8991" width="15.0625" style="860" bestFit="1" customWidth="1"/>
    <col min="8992" max="9162" width="14.0625" style="860"/>
    <col min="9163" max="9163" width="50.0625" style="860" customWidth="1"/>
    <col min="9164" max="9164" width="54.5625" style="860" customWidth="1"/>
    <col min="9165" max="9165" width="12.0625" style="860" customWidth="1"/>
    <col min="9166" max="9166" width="11.0625" style="860" customWidth="1"/>
    <col min="9167" max="9170" width="0" style="860" hidden="1" customWidth="1"/>
    <col min="9171" max="9171" width="11.0625" style="860" bestFit="1" customWidth="1"/>
    <col min="9172" max="9175" width="0" style="860" hidden="1" customWidth="1"/>
    <col min="9176" max="9176" width="11.5" style="860" bestFit="1" customWidth="1"/>
    <col min="9177" max="9180" width="0" style="860" hidden="1" customWidth="1"/>
    <col min="9181" max="9181" width="11.5" style="860" bestFit="1" customWidth="1"/>
    <col min="9182" max="9185" width="10.0625" style="860" bestFit="1" customWidth="1"/>
    <col min="9186" max="9186" width="12.5625" style="860" bestFit="1" customWidth="1"/>
    <col min="9187" max="9216" width="14.0625" style="860"/>
    <col min="9217" max="9217" width="49.8125" style="860" customWidth="1"/>
    <col min="9218" max="9218" width="16.8125" style="860" bestFit="1" customWidth="1"/>
    <col min="9219" max="9219" width="12.5625" style="860" bestFit="1" customWidth="1"/>
    <col min="9220" max="9239" width="11.0625" style="860" customWidth="1"/>
    <col min="9240" max="9243" width="14.0625" style="860"/>
    <col min="9244" max="9244" width="1.5" style="860" bestFit="1" customWidth="1"/>
    <col min="9245" max="9245" width="17.0625" style="860" bestFit="1" customWidth="1"/>
    <col min="9246" max="9246" width="1.5625" style="860" bestFit="1" customWidth="1"/>
    <col min="9247" max="9247" width="15.0625" style="860" bestFit="1" customWidth="1"/>
    <col min="9248" max="9418" width="14.0625" style="860"/>
    <col min="9419" max="9419" width="50.0625" style="860" customWidth="1"/>
    <col min="9420" max="9420" width="54.5625" style="860" customWidth="1"/>
    <col min="9421" max="9421" width="12.0625" style="860" customWidth="1"/>
    <col min="9422" max="9422" width="11.0625" style="860" customWidth="1"/>
    <col min="9423" max="9426" width="0" style="860" hidden="1" customWidth="1"/>
    <col min="9427" max="9427" width="11.0625" style="860" bestFit="1" customWidth="1"/>
    <col min="9428" max="9431" width="0" style="860" hidden="1" customWidth="1"/>
    <col min="9432" max="9432" width="11.5" style="860" bestFit="1" customWidth="1"/>
    <col min="9433" max="9436" width="0" style="860" hidden="1" customWidth="1"/>
    <col min="9437" max="9437" width="11.5" style="860" bestFit="1" customWidth="1"/>
    <col min="9438" max="9441" width="10.0625" style="860" bestFit="1" customWidth="1"/>
    <col min="9442" max="9442" width="12.5625" style="860" bestFit="1" customWidth="1"/>
    <col min="9443" max="9472" width="14.0625" style="860"/>
    <col min="9473" max="9473" width="49.8125" style="860" customWidth="1"/>
    <col min="9474" max="9474" width="16.8125" style="860" bestFit="1" customWidth="1"/>
    <col min="9475" max="9475" width="12.5625" style="860" bestFit="1" customWidth="1"/>
    <col min="9476" max="9495" width="11.0625" style="860" customWidth="1"/>
    <col min="9496" max="9499" width="14.0625" style="860"/>
    <col min="9500" max="9500" width="1.5" style="860" bestFit="1" customWidth="1"/>
    <col min="9501" max="9501" width="17.0625" style="860" bestFit="1" customWidth="1"/>
    <col min="9502" max="9502" width="1.5625" style="860" bestFit="1" customWidth="1"/>
    <col min="9503" max="9503" width="15.0625" style="860" bestFit="1" customWidth="1"/>
    <col min="9504" max="9674" width="14.0625" style="860"/>
    <col min="9675" max="9675" width="50.0625" style="860" customWidth="1"/>
    <col min="9676" max="9676" width="54.5625" style="860" customWidth="1"/>
    <col min="9677" max="9677" width="12.0625" style="860" customWidth="1"/>
    <col min="9678" max="9678" width="11.0625" style="860" customWidth="1"/>
    <col min="9679" max="9682" width="0" style="860" hidden="1" customWidth="1"/>
    <col min="9683" max="9683" width="11.0625" style="860" bestFit="1" customWidth="1"/>
    <col min="9684" max="9687" width="0" style="860" hidden="1" customWidth="1"/>
    <col min="9688" max="9688" width="11.5" style="860" bestFit="1" customWidth="1"/>
    <col min="9689" max="9692" width="0" style="860" hidden="1" customWidth="1"/>
    <col min="9693" max="9693" width="11.5" style="860" bestFit="1" customWidth="1"/>
    <col min="9694" max="9697" width="10.0625" style="860" bestFit="1" customWidth="1"/>
    <col min="9698" max="9698" width="12.5625" style="860" bestFit="1" customWidth="1"/>
    <col min="9699" max="9728" width="14.0625" style="860"/>
    <col min="9729" max="9729" width="49.8125" style="860" customWidth="1"/>
    <col min="9730" max="9730" width="16.8125" style="860" bestFit="1" customWidth="1"/>
    <col min="9731" max="9731" width="12.5625" style="860" bestFit="1" customWidth="1"/>
    <col min="9732" max="9751" width="11.0625" style="860" customWidth="1"/>
    <col min="9752" max="9755" width="14.0625" style="860"/>
    <col min="9756" max="9756" width="1.5" style="860" bestFit="1" customWidth="1"/>
    <col min="9757" max="9757" width="17.0625" style="860" bestFit="1" customWidth="1"/>
    <col min="9758" max="9758" width="1.5625" style="860" bestFit="1" customWidth="1"/>
    <col min="9759" max="9759" width="15.0625" style="860" bestFit="1" customWidth="1"/>
    <col min="9760" max="9930" width="14.0625" style="860"/>
    <col min="9931" max="9931" width="50.0625" style="860" customWidth="1"/>
    <col min="9932" max="9932" width="54.5625" style="860" customWidth="1"/>
    <col min="9933" max="9933" width="12.0625" style="860" customWidth="1"/>
    <col min="9934" max="9934" width="11.0625" style="860" customWidth="1"/>
    <col min="9935" max="9938" width="0" style="860" hidden="1" customWidth="1"/>
    <col min="9939" max="9939" width="11.0625" style="860" bestFit="1" customWidth="1"/>
    <col min="9940" max="9943" width="0" style="860" hidden="1" customWidth="1"/>
    <col min="9944" max="9944" width="11.5" style="860" bestFit="1" customWidth="1"/>
    <col min="9945" max="9948" width="0" style="860" hidden="1" customWidth="1"/>
    <col min="9949" max="9949" width="11.5" style="860" bestFit="1" customWidth="1"/>
    <col min="9950" max="9953" width="10.0625" style="860" bestFit="1" customWidth="1"/>
    <col min="9954" max="9954" width="12.5625" style="860" bestFit="1" customWidth="1"/>
    <col min="9955" max="9984" width="14.0625" style="860"/>
    <col min="9985" max="9985" width="49.8125" style="860" customWidth="1"/>
    <col min="9986" max="9986" width="16.8125" style="860" bestFit="1" customWidth="1"/>
    <col min="9987" max="9987" width="12.5625" style="860" bestFit="1" customWidth="1"/>
    <col min="9988" max="10007" width="11.0625" style="860" customWidth="1"/>
    <col min="10008" max="10011" width="14.0625" style="860"/>
    <col min="10012" max="10012" width="1.5" style="860" bestFit="1" customWidth="1"/>
    <col min="10013" max="10013" width="17.0625" style="860" bestFit="1" customWidth="1"/>
    <col min="10014" max="10014" width="1.5625" style="860" bestFit="1" customWidth="1"/>
    <col min="10015" max="10015" width="15.0625" style="860" bestFit="1" customWidth="1"/>
    <col min="10016" max="10186" width="14.0625" style="860"/>
    <col min="10187" max="10187" width="50.0625" style="860" customWidth="1"/>
    <col min="10188" max="10188" width="54.5625" style="860" customWidth="1"/>
    <col min="10189" max="10189" width="12.0625" style="860" customWidth="1"/>
    <col min="10190" max="10190" width="11.0625" style="860" customWidth="1"/>
    <col min="10191" max="10194" width="0" style="860" hidden="1" customWidth="1"/>
    <col min="10195" max="10195" width="11.0625" style="860" bestFit="1" customWidth="1"/>
    <col min="10196" max="10199" width="0" style="860" hidden="1" customWidth="1"/>
    <col min="10200" max="10200" width="11.5" style="860" bestFit="1" customWidth="1"/>
    <col min="10201" max="10204" width="0" style="860" hidden="1" customWidth="1"/>
    <col min="10205" max="10205" width="11.5" style="860" bestFit="1" customWidth="1"/>
    <col min="10206" max="10209" width="10.0625" style="860" bestFit="1" customWidth="1"/>
    <col min="10210" max="10210" width="12.5625" style="860" bestFit="1" customWidth="1"/>
    <col min="10211" max="10240" width="14.0625" style="860"/>
    <col min="10241" max="10241" width="49.8125" style="860" customWidth="1"/>
    <col min="10242" max="10242" width="16.8125" style="860" bestFit="1" customWidth="1"/>
    <col min="10243" max="10243" width="12.5625" style="860" bestFit="1" customWidth="1"/>
    <col min="10244" max="10263" width="11.0625" style="860" customWidth="1"/>
    <col min="10264" max="10267" width="14.0625" style="860"/>
    <col min="10268" max="10268" width="1.5" style="860" bestFit="1" customWidth="1"/>
    <col min="10269" max="10269" width="17.0625" style="860" bestFit="1" customWidth="1"/>
    <col min="10270" max="10270" width="1.5625" style="860" bestFit="1" customWidth="1"/>
    <col min="10271" max="10271" width="15.0625" style="860" bestFit="1" customWidth="1"/>
    <col min="10272" max="10442" width="14.0625" style="860"/>
    <col min="10443" max="10443" width="50.0625" style="860" customWidth="1"/>
    <col min="10444" max="10444" width="54.5625" style="860" customWidth="1"/>
    <col min="10445" max="10445" width="12.0625" style="860" customWidth="1"/>
    <col min="10446" max="10446" width="11.0625" style="860" customWidth="1"/>
    <col min="10447" max="10450" width="0" style="860" hidden="1" customWidth="1"/>
    <col min="10451" max="10451" width="11.0625" style="860" bestFit="1" customWidth="1"/>
    <col min="10452" max="10455" width="0" style="860" hidden="1" customWidth="1"/>
    <col min="10456" max="10456" width="11.5" style="860" bestFit="1" customWidth="1"/>
    <col min="10457" max="10460" width="0" style="860" hidden="1" customWidth="1"/>
    <col min="10461" max="10461" width="11.5" style="860" bestFit="1" customWidth="1"/>
    <col min="10462" max="10465" width="10.0625" style="860" bestFit="1" customWidth="1"/>
    <col min="10466" max="10466" width="12.5625" style="860" bestFit="1" customWidth="1"/>
    <col min="10467" max="10496" width="14.0625" style="860"/>
    <col min="10497" max="10497" width="49.8125" style="860" customWidth="1"/>
    <col min="10498" max="10498" width="16.8125" style="860" bestFit="1" customWidth="1"/>
    <col min="10499" max="10499" width="12.5625" style="860" bestFit="1" customWidth="1"/>
    <col min="10500" max="10519" width="11.0625" style="860" customWidth="1"/>
    <col min="10520" max="10523" width="14.0625" style="860"/>
    <col min="10524" max="10524" width="1.5" style="860" bestFit="1" customWidth="1"/>
    <col min="10525" max="10525" width="17.0625" style="860" bestFit="1" customWidth="1"/>
    <col min="10526" max="10526" width="1.5625" style="860" bestFit="1" customWidth="1"/>
    <col min="10527" max="10527" width="15.0625" style="860" bestFit="1" customWidth="1"/>
    <col min="10528" max="10698" width="14.0625" style="860"/>
    <col min="10699" max="10699" width="50.0625" style="860" customWidth="1"/>
    <col min="10700" max="10700" width="54.5625" style="860" customWidth="1"/>
    <col min="10701" max="10701" width="12.0625" style="860" customWidth="1"/>
    <col min="10702" max="10702" width="11.0625" style="860" customWidth="1"/>
    <col min="10703" max="10706" width="0" style="860" hidden="1" customWidth="1"/>
    <col min="10707" max="10707" width="11.0625" style="860" bestFit="1" customWidth="1"/>
    <col min="10708" max="10711" width="0" style="860" hidden="1" customWidth="1"/>
    <col min="10712" max="10712" width="11.5" style="860" bestFit="1" customWidth="1"/>
    <col min="10713" max="10716" width="0" style="860" hidden="1" customWidth="1"/>
    <col min="10717" max="10717" width="11.5" style="860" bestFit="1" customWidth="1"/>
    <col min="10718" max="10721" width="10.0625" style="860" bestFit="1" customWidth="1"/>
    <col min="10722" max="10722" width="12.5625" style="860" bestFit="1" customWidth="1"/>
    <col min="10723" max="10752" width="14.0625" style="860"/>
    <col min="10753" max="10753" width="49.8125" style="860" customWidth="1"/>
    <col min="10754" max="10754" width="16.8125" style="860" bestFit="1" customWidth="1"/>
    <col min="10755" max="10755" width="12.5625" style="860" bestFit="1" customWidth="1"/>
    <col min="10756" max="10775" width="11.0625" style="860" customWidth="1"/>
    <col min="10776" max="10779" width="14.0625" style="860"/>
    <col min="10780" max="10780" width="1.5" style="860" bestFit="1" customWidth="1"/>
    <col min="10781" max="10781" width="17.0625" style="860" bestFit="1" customWidth="1"/>
    <col min="10782" max="10782" width="1.5625" style="860" bestFit="1" customWidth="1"/>
    <col min="10783" max="10783" width="15.0625" style="860" bestFit="1" customWidth="1"/>
    <col min="10784" max="10954" width="14.0625" style="860"/>
    <col min="10955" max="10955" width="50.0625" style="860" customWidth="1"/>
    <col min="10956" max="10956" width="54.5625" style="860" customWidth="1"/>
    <col min="10957" max="10957" width="12.0625" style="860" customWidth="1"/>
    <col min="10958" max="10958" width="11.0625" style="860" customWidth="1"/>
    <col min="10959" max="10962" width="0" style="860" hidden="1" customWidth="1"/>
    <col min="10963" max="10963" width="11.0625" style="860" bestFit="1" customWidth="1"/>
    <col min="10964" max="10967" width="0" style="860" hidden="1" customWidth="1"/>
    <col min="10968" max="10968" width="11.5" style="860" bestFit="1" customWidth="1"/>
    <col min="10969" max="10972" width="0" style="860" hidden="1" customWidth="1"/>
    <col min="10973" max="10973" width="11.5" style="860" bestFit="1" customWidth="1"/>
    <col min="10974" max="10977" width="10.0625" style="860" bestFit="1" customWidth="1"/>
    <col min="10978" max="10978" width="12.5625" style="860" bestFit="1" customWidth="1"/>
    <col min="10979" max="11008" width="14.0625" style="860"/>
    <col min="11009" max="11009" width="49.8125" style="860" customWidth="1"/>
    <col min="11010" max="11010" width="16.8125" style="860" bestFit="1" customWidth="1"/>
    <col min="11011" max="11011" width="12.5625" style="860" bestFit="1" customWidth="1"/>
    <col min="11012" max="11031" width="11.0625" style="860" customWidth="1"/>
    <col min="11032" max="11035" width="14.0625" style="860"/>
    <col min="11036" max="11036" width="1.5" style="860" bestFit="1" customWidth="1"/>
    <col min="11037" max="11037" width="17.0625" style="860" bestFit="1" customWidth="1"/>
    <col min="11038" max="11038" width="1.5625" style="860" bestFit="1" customWidth="1"/>
    <col min="11039" max="11039" width="15.0625" style="860" bestFit="1" customWidth="1"/>
    <col min="11040" max="11210" width="14.0625" style="860"/>
    <col min="11211" max="11211" width="50.0625" style="860" customWidth="1"/>
    <col min="11212" max="11212" width="54.5625" style="860" customWidth="1"/>
    <col min="11213" max="11213" width="12.0625" style="860" customWidth="1"/>
    <col min="11214" max="11214" width="11.0625" style="860" customWidth="1"/>
    <col min="11215" max="11218" width="0" style="860" hidden="1" customWidth="1"/>
    <col min="11219" max="11219" width="11.0625" style="860" bestFit="1" customWidth="1"/>
    <col min="11220" max="11223" width="0" style="860" hidden="1" customWidth="1"/>
    <col min="11224" max="11224" width="11.5" style="860" bestFit="1" customWidth="1"/>
    <col min="11225" max="11228" width="0" style="860" hidden="1" customWidth="1"/>
    <col min="11229" max="11229" width="11.5" style="860" bestFit="1" customWidth="1"/>
    <col min="11230" max="11233" width="10.0625" style="860" bestFit="1" customWidth="1"/>
    <col min="11234" max="11234" width="12.5625" style="860" bestFit="1" customWidth="1"/>
    <col min="11235" max="11264" width="14.0625" style="860"/>
    <col min="11265" max="11265" width="49.8125" style="860" customWidth="1"/>
    <col min="11266" max="11266" width="16.8125" style="860" bestFit="1" customWidth="1"/>
    <col min="11267" max="11267" width="12.5625" style="860" bestFit="1" customWidth="1"/>
    <col min="11268" max="11287" width="11.0625" style="860" customWidth="1"/>
    <col min="11288" max="11291" width="14.0625" style="860"/>
    <col min="11292" max="11292" width="1.5" style="860" bestFit="1" customWidth="1"/>
    <col min="11293" max="11293" width="17.0625" style="860" bestFit="1" customWidth="1"/>
    <col min="11294" max="11294" width="1.5625" style="860" bestFit="1" customWidth="1"/>
    <col min="11295" max="11295" width="15.0625" style="860" bestFit="1" customWidth="1"/>
    <col min="11296" max="11466" width="14.0625" style="860"/>
    <col min="11467" max="11467" width="50.0625" style="860" customWidth="1"/>
    <col min="11468" max="11468" width="54.5625" style="860" customWidth="1"/>
    <col min="11469" max="11469" width="12.0625" style="860" customWidth="1"/>
    <col min="11470" max="11470" width="11.0625" style="860" customWidth="1"/>
    <col min="11471" max="11474" width="0" style="860" hidden="1" customWidth="1"/>
    <col min="11475" max="11475" width="11.0625" style="860" bestFit="1" customWidth="1"/>
    <col min="11476" max="11479" width="0" style="860" hidden="1" customWidth="1"/>
    <col min="11480" max="11480" width="11.5" style="860" bestFit="1" customWidth="1"/>
    <col min="11481" max="11484" width="0" style="860" hidden="1" customWidth="1"/>
    <col min="11485" max="11485" width="11.5" style="860" bestFit="1" customWidth="1"/>
    <col min="11486" max="11489" width="10.0625" style="860" bestFit="1" customWidth="1"/>
    <col min="11490" max="11490" width="12.5625" style="860" bestFit="1" customWidth="1"/>
    <col min="11491" max="11520" width="14.0625" style="860"/>
    <col min="11521" max="11521" width="49.8125" style="860" customWidth="1"/>
    <col min="11522" max="11522" width="16.8125" style="860" bestFit="1" customWidth="1"/>
    <col min="11523" max="11523" width="12.5625" style="860" bestFit="1" customWidth="1"/>
    <col min="11524" max="11543" width="11.0625" style="860" customWidth="1"/>
    <col min="11544" max="11547" width="14.0625" style="860"/>
    <col min="11548" max="11548" width="1.5" style="860" bestFit="1" customWidth="1"/>
    <col min="11549" max="11549" width="17.0625" style="860" bestFit="1" customWidth="1"/>
    <col min="11550" max="11550" width="1.5625" style="860" bestFit="1" customWidth="1"/>
    <col min="11551" max="11551" width="15.0625" style="860" bestFit="1" customWidth="1"/>
    <col min="11552" max="11722" width="14.0625" style="860"/>
    <col min="11723" max="11723" width="50.0625" style="860" customWidth="1"/>
    <col min="11724" max="11724" width="54.5625" style="860" customWidth="1"/>
    <col min="11725" max="11725" width="12.0625" style="860" customWidth="1"/>
    <col min="11726" max="11726" width="11.0625" style="860" customWidth="1"/>
    <col min="11727" max="11730" width="0" style="860" hidden="1" customWidth="1"/>
    <col min="11731" max="11731" width="11.0625" style="860" bestFit="1" customWidth="1"/>
    <col min="11732" max="11735" width="0" style="860" hidden="1" customWidth="1"/>
    <col min="11736" max="11736" width="11.5" style="860" bestFit="1" customWidth="1"/>
    <col min="11737" max="11740" width="0" style="860" hidden="1" customWidth="1"/>
    <col min="11741" max="11741" width="11.5" style="860" bestFit="1" customWidth="1"/>
    <col min="11742" max="11745" width="10.0625" style="860" bestFit="1" customWidth="1"/>
    <col min="11746" max="11746" width="12.5625" style="860" bestFit="1" customWidth="1"/>
    <col min="11747" max="11776" width="14.0625" style="860"/>
    <col min="11777" max="11777" width="49.8125" style="860" customWidth="1"/>
    <col min="11778" max="11778" width="16.8125" style="860" bestFit="1" customWidth="1"/>
    <col min="11779" max="11779" width="12.5625" style="860" bestFit="1" customWidth="1"/>
    <col min="11780" max="11799" width="11.0625" style="860" customWidth="1"/>
    <col min="11800" max="11803" width="14.0625" style="860"/>
    <col min="11804" max="11804" width="1.5" style="860" bestFit="1" customWidth="1"/>
    <col min="11805" max="11805" width="17.0625" style="860" bestFit="1" customWidth="1"/>
    <col min="11806" max="11806" width="1.5625" style="860" bestFit="1" customWidth="1"/>
    <col min="11807" max="11807" width="15.0625" style="860" bestFit="1" customWidth="1"/>
    <col min="11808" max="11978" width="14.0625" style="860"/>
    <col min="11979" max="11979" width="50.0625" style="860" customWidth="1"/>
    <col min="11980" max="11980" width="54.5625" style="860" customWidth="1"/>
    <col min="11981" max="11981" width="12.0625" style="860" customWidth="1"/>
    <col min="11982" max="11982" width="11.0625" style="860" customWidth="1"/>
    <col min="11983" max="11986" width="0" style="860" hidden="1" customWidth="1"/>
    <col min="11987" max="11987" width="11.0625" style="860" bestFit="1" customWidth="1"/>
    <col min="11988" max="11991" width="0" style="860" hidden="1" customWidth="1"/>
    <col min="11992" max="11992" width="11.5" style="860" bestFit="1" customWidth="1"/>
    <col min="11993" max="11996" width="0" style="860" hidden="1" customWidth="1"/>
    <col min="11997" max="11997" width="11.5" style="860" bestFit="1" customWidth="1"/>
    <col min="11998" max="12001" width="10.0625" style="860" bestFit="1" customWidth="1"/>
    <col min="12002" max="12002" width="12.5625" style="860" bestFit="1" customWidth="1"/>
    <col min="12003" max="12032" width="14.0625" style="860"/>
    <col min="12033" max="12033" width="49.8125" style="860" customWidth="1"/>
    <col min="12034" max="12034" width="16.8125" style="860" bestFit="1" customWidth="1"/>
    <col min="12035" max="12035" width="12.5625" style="860" bestFit="1" customWidth="1"/>
    <col min="12036" max="12055" width="11.0625" style="860" customWidth="1"/>
    <col min="12056" max="12059" width="14.0625" style="860"/>
    <col min="12060" max="12060" width="1.5" style="860" bestFit="1" customWidth="1"/>
    <col min="12061" max="12061" width="17.0625" style="860" bestFit="1" customWidth="1"/>
    <col min="12062" max="12062" width="1.5625" style="860" bestFit="1" customWidth="1"/>
    <col min="12063" max="12063" width="15.0625" style="860" bestFit="1" customWidth="1"/>
    <col min="12064" max="12234" width="14.0625" style="860"/>
    <col min="12235" max="12235" width="50.0625" style="860" customWidth="1"/>
    <col min="12236" max="12236" width="54.5625" style="860" customWidth="1"/>
    <col min="12237" max="12237" width="12.0625" style="860" customWidth="1"/>
    <col min="12238" max="12238" width="11.0625" style="860" customWidth="1"/>
    <col min="12239" max="12242" width="0" style="860" hidden="1" customWidth="1"/>
    <col min="12243" max="12243" width="11.0625" style="860" bestFit="1" customWidth="1"/>
    <col min="12244" max="12247" width="0" style="860" hidden="1" customWidth="1"/>
    <col min="12248" max="12248" width="11.5" style="860" bestFit="1" customWidth="1"/>
    <col min="12249" max="12252" width="0" style="860" hidden="1" customWidth="1"/>
    <col min="12253" max="12253" width="11.5" style="860" bestFit="1" customWidth="1"/>
    <col min="12254" max="12257" width="10.0625" style="860" bestFit="1" customWidth="1"/>
    <col min="12258" max="12258" width="12.5625" style="860" bestFit="1" customWidth="1"/>
    <col min="12259" max="12288" width="14.0625" style="860"/>
    <col min="12289" max="12289" width="49.8125" style="860" customWidth="1"/>
    <col min="12290" max="12290" width="16.8125" style="860" bestFit="1" customWidth="1"/>
    <col min="12291" max="12291" width="12.5625" style="860" bestFit="1" customWidth="1"/>
    <col min="12292" max="12311" width="11.0625" style="860" customWidth="1"/>
    <col min="12312" max="12315" width="14.0625" style="860"/>
    <col min="12316" max="12316" width="1.5" style="860" bestFit="1" customWidth="1"/>
    <col min="12317" max="12317" width="17.0625" style="860" bestFit="1" customWidth="1"/>
    <col min="12318" max="12318" width="1.5625" style="860" bestFit="1" customWidth="1"/>
    <col min="12319" max="12319" width="15.0625" style="860" bestFit="1" customWidth="1"/>
    <col min="12320" max="12490" width="14.0625" style="860"/>
    <col min="12491" max="12491" width="50.0625" style="860" customWidth="1"/>
    <col min="12492" max="12492" width="54.5625" style="860" customWidth="1"/>
    <col min="12493" max="12493" width="12.0625" style="860" customWidth="1"/>
    <col min="12494" max="12494" width="11.0625" style="860" customWidth="1"/>
    <col min="12495" max="12498" width="0" style="860" hidden="1" customWidth="1"/>
    <col min="12499" max="12499" width="11.0625" style="860" bestFit="1" customWidth="1"/>
    <col min="12500" max="12503" width="0" style="860" hidden="1" customWidth="1"/>
    <col min="12504" max="12504" width="11.5" style="860" bestFit="1" customWidth="1"/>
    <col min="12505" max="12508" width="0" style="860" hidden="1" customWidth="1"/>
    <col min="12509" max="12509" width="11.5" style="860" bestFit="1" customWidth="1"/>
    <col min="12510" max="12513" width="10.0625" style="860" bestFit="1" customWidth="1"/>
    <col min="12514" max="12514" width="12.5625" style="860" bestFit="1" customWidth="1"/>
    <col min="12515" max="12544" width="14.0625" style="860"/>
    <col min="12545" max="12545" width="49.8125" style="860" customWidth="1"/>
    <col min="12546" max="12546" width="16.8125" style="860" bestFit="1" customWidth="1"/>
    <col min="12547" max="12547" width="12.5625" style="860" bestFit="1" customWidth="1"/>
    <col min="12548" max="12567" width="11.0625" style="860" customWidth="1"/>
    <col min="12568" max="12571" width="14.0625" style="860"/>
    <col min="12572" max="12572" width="1.5" style="860" bestFit="1" customWidth="1"/>
    <col min="12573" max="12573" width="17.0625" style="860" bestFit="1" customWidth="1"/>
    <col min="12574" max="12574" width="1.5625" style="860" bestFit="1" customWidth="1"/>
    <col min="12575" max="12575" width="15.0625" style="860" bestFit="1" customWidth="1"/>
    <col min="12576" max="12746" width="14.0625" style="860"/>
    <col min="12747" max="12747" width="50.0625" style="860" customWidth="1"/>
    <col min="12748" max="12748" width="54.5625" style="860" customWidth="1"/>
    <col min="12749" max="12749" width="12.0625" style="860" customWidth="1"/>
    <col min="12750" max="12750" width="11.0625" style="860" customWidth="1"/>
    <col min="12751" max="12754" width="0" style="860" hidden="1" customWidth="1"/>
    <col min="12755" max="12755" width="11.0625" style="860" bestFit="1" customWidth="1"/>
    <col min="12756" max="12759" width="0" style="860" hidden="1" customWidth="1"/>
    <col min="12760" max="12760" width="11.5" style="860" bestFit="1" customWidth="1"/>
    <col min="12761" max="12764" width="0" style="860" hidden="1" customWidth="1"/>
    <col min="12765" max="12765" width="11.5" style="860" bestFit="1" customWidth="1"/>
    <col min="12766" max="12769" width="10.0625" style="860" bestFit="1" customWidth="1"/>
    <col min="12770" max="12770" width="12.5625" style="860" bestFit="1" customWidth="1"/>
    <col min="12771" max="12800" width="14.0625" style="860"/>
    <col min="12801" max="12801" width="49.8125" style="860" customWidth="1"/>
    <col min="12802" max="12802" width="16.8125" style="860" bestFit="1" customWidth="1"/>
    <col min="12803" max="12803" width="12.5625" style="860" bestFit="1" customWidth="1"/>
    <col min="12804" max="12823" width="11.0625" style="860" customWidth="1"/>
    <col min="12824" max="12827" width="14.0625" style="860"/>
    <col min="12828" max="12828" width="1.5" style="860" bestFit="1" customWidth="1"/>
    <col min="12829" max="12829" width="17.0625" style="860" bestFit="1" customWidth="1"/>
    <col min="12830" max="12830" width="1.5625" style="860" bestFit="1" customWidth="1"/>
    <col min="12831" max="12831" width="15.0625" style="860" bestFit="1" customWidth="1"/>
    <col min="12832" max="13002" width="14.0625" style="860"/>
    <col min="13003" max="13003" width="50.0625" style="860" customWidth="1"/>
    <col min="13004" max="13004" width="54.5625" style="860" customWidth="1"/>
    <col min="13005" max="13005" width="12.0625" style="860" customWidth="1"/>
    <col min="13006" max="13006" width="11.0625" style="860" customWidth="1"/>
    <col min="13007" max="13010" width="0" style="860" hidden="1" customWidth="1"/>
    <col min="13011" max="13011" width="11.0625" style="860" bestFit="1" customWidth="1"/>
    <col min="13012" max="13015" width="0" style="860" hidden="1" customWidth="1"/>
    <col min="13016" max="13016" width="11.5" style="860" bestFit="1" customWidth="1"/>
    <col min="13017" max="13020" width="0" style="860" hidden="1" customWidth="1"/>
    <col min="13021" max="13021" width="11.5" style="860" bestFit="1" customWidth="1"/>
    <col min="13022" max="13025" width="10.0625" style="860" bestFit="1" customWidth="1"/>
    <col min="13026" max="13026" width="12.5625" style="860" bestFit="1" customWidth="1"/>
    <col min="13027" max="13056" width="14.0625" style="860"/>
    <col min="13057" max="13057" width="49.8125" style="860" customWidth="1"/>
    <col min="13058" max="13058" width="16.8125" style="860" bestFit="1" customWidth="1"/>
    <col min="13059" max="13059" width="12.5625" style="860" bestFit="1" customWidth="1"/>
    <col min="13060" max="13079" width="11.0625" style="860" customWidth="1"/>
    <col min="13080" max="13083" width="14.0625" style="860"/>
    <col min="13084" max="13084" width="1.5" style="860" bestFit="1" customWidth="1"/>
    <col min="13085" max="13085" width="17.0625" style="860" bestFit="1" customWidth="1"/>
    <col min="13086" max="13086" width="1.5625" style="860" bestFit="1" customWidth="1"/>
    <col min="13087" max="13087" width="15.0625" style="860" bestFit="1" customWidth="1"/>
    <col min="13088" max="13258" width="14.0625" style="860"/>
    <col min="13259" max="13259" width="50.0625" style="860" customWidth="1"/>
    <col min="13260" max="13260" width="54.5625" style="860" customWidth="1"/>
    <col min="13261" max="13261" width="12.0625" style="860" customWidth="1"/>
    <col min="13262" max="13262" width="11.0625" style="860" customWidth="1"/>
    <col min="13263" max="13266" width="0" style="860" hidden="1" customWidth="1"/>
    <col min="13267" max="13267" width="11.0625" style="860" bestFit="1" customWidth="1"/>
    <col min="13268" max="13271" width="0" style="860" hidden="1" customWidth="1"/>
    <col min="13272" max="13272" width="11.5" style="860" bestFit="1" customWidth="1"/>
    <col min="13273" max="13276" width="0" style="860" hidden="1" customWidth="1"/>
    <col min="13277" max="13277" width="11.5" style="860" bestFit="1" customWidth="1"/>
    <col min="13278" max="13281" width="10.0625" style="860" bestFit="1" customWidth="1"/>
    <col min="13282" max="13282" width="12.5625" style="860" bestFit="1" customWidth="1"/>
    <col min="13283" max="13312" width="14.0625" style="860"/>
    <col min="13313" max="13313" width="49.8125" style="860" customWidth="1"/>
    <col min="13314" max="13314" width="16.8125" style="860" bestFit="1" customWidth="1"/>
    <col min="13315" max="13315" width="12.5625" style="860" bestFit="1" customWidth="1"/>
    <col min="13316" max="13335" width="11.0625" style="860" customWidth="1"/>
    <col min="13336" max="13339" width="14.0625" style="860"/>
    <col min="13340" max="13340" width="1.5" style="860" bestFit="1" customWidth="1"/>
    <col min="13341" max="13341" width="17.0625" style="860" bestFit="1" customWidth="1"/>
    <col min="13342" max="13342" width="1.5625" style="860" bestFit="1" customWidth="1"/>
    <col min="13343" max="13343" width="15.0625" style="860" bestFit="1" customWidth="1"/>
    <col min="13344" max="13514" width="14.0625" style="860"/>
    <col min="13515" max="13515" width="50.0625" style="860" customWidth="1"/>
    <col min="13516" max="13516" width="54.5625" style="860" customWidth="1"/>
    <col min="13517" max="13517" width="12.0625" style="860" customWidth="1"/>
    <col min="13518" max="13518" width="11.0625" style="860" customWidth="1"/>
    <col min="13519" max="13522" width="0" style="860" hidden="1" customWidth="1"/>
    <col min="13523" max="13523" width="11.0625" style="860" bestFit="1" customWidth="1"/>
    <col min="13524" max="13527" width="0" style="860" hidden="1" customWidth="1"/>
    <col min="13528" max="13528" width="11.5" style="860" bestFit="1" customWidth="1"/>
    <col min="13529" max="13532" width="0" style="860" hidden="1" customWidth="1"/>
    <col min="13533" max="13533" width="11.5" style="860" bestFit="1" customWidth="1"/>
    <col min="13534" max="13537" width="10.0625" style="860" bestFit="1" customWidth="1"/>
    <col min="13538" max="13538" width="12.5625" style="860" bestFit="1" customWidth="1"/>
    <col min="13539" max="13568" width="14.0625" style="860"/>
    <col min="13569" max="13569" width="49.8125" style="860" customWidth="1"/>
    <col min="13570" max="13570" width="16.8125" style="860" bestFit="1" customWidth="1"/>
    <col min="13571" max="13571" width="12.5625" style="860" bestFit="1" customWidth="1"/>
    <col min="13572" max="13591" width="11.0625" style="860" customWidth="1"/>
    <col min="13592" max="13595" width="14.0625" style="860"/>
    <col min="13596" max="13596" width="1.5" style="860" bestFit="1" customWidth="1"/>
    <col min="13597" max="13597" width="17.0625" style="860" bestFit="1" customWidth="1"/>
    <col min="13598" max="13598" width="1.5625" style="860" bestFit="1" customWidth="1"/>
    <col min="13599" max="13599" width="15.0625" style="860" bestFit="1" customWidth="1"/>
    <col min="13600" max="13770" width="14.0625" style="860"/>
    <col min="13771" max="13771" width="50.0625" style="860" customWidth="1"/>
    <col min="13772" max="13772" width="54.5625" style="860" customWidth="1"/>
    <col min="13773" max="13773" width="12.0625" style="860" customWidth="1"/>
    <col min="13774" max="13774" width="11.0625" style="860" customWidth="1"/>
    <col min="13775" max="13778" width="0" style="860" hidden="1" customWidth="1"/>
    <col min="13779" max="13779" width="11.0625" style="860" bestFit="1" customWidth="1"/>
    <col min="13780" max="13783" width="0" style="860" hidden="1" customWidth="1"/>
    <col min="13784" max="13784" width="11.5" style="860" bestFit="1" customWidth="1"/>
    <col min="13785" max="13788" width="0" style="860" hidden="1" customWidth="1"/>
    <col min="13789" max="13789" width="11.5" style="860" bestFit="1" customWidth="1"/>
    <col min="13790" max="13793" width="10.0625" style="860" bestFit="1" customWidth="1"/>
    <col min="13794" max="13794" width="12.5625" style="860" bestFit="1" customWidth="1"/>
    <col min="13795" max="13824" width="14.0625" style="860"/>
    <col min="13825" max="13825" width="49.8125" style="860" customWidth="1"/>
    <col min="13826" max="13826" width="16.8125" style="860" bestFit="1" customWidth="1"/>
    <col min="13827" max="13827" width="12.5625" style="860" bestFit="1" customWidth="1"/>
    <col min="13828" max="13847" width="11.0625" style="860" customWidth="1"/>
    <col min="13848" max="13851" width="14.0625" style="860"/>
    <col min="13852" max="13852" width="1.5" style="860" bestFit="1" customWidth="1"/>
    <col min="13853" max="13853" width="17.0625" style="860" bestFit="1" customWidth="1"/>
    <col min="13854" max="13854" width="1.5625" style="860" bestFit="1" customWidth="1"/>
    <col min="13855" max="13855" width="15.0625" style="860" bestFit="1" customWidth="1"/>
    <col min="13856" max="14026" width="14.0625" style="860"/>
    <col min="14027" max="14027" width="50.0625" style="860" customWidth="1"/>
    <col min="14028" max="14028" width="54.5625" style="860" customWidth="1"/>
    <col min="14029" max="14029" width="12.0625" style="860" customWidth="1"/>
    <col min="14030" max="14030" width="11.0625" style="860" customWidth="1"/>
    <col min="14031" max="14034" width="0" style="860" hidden="1" customWidth="1"/>
    <col min="14035" max="14035" width="11.0625" style="860" bestFit="1" customWidth="1"/>
    <col min="14036" max="14039" width="0" style="860" hidden="1" customWidth="1"/>
    <col min="14040" max="14040" width="11.5" style="860" bestFit="1" customWidth="1"/>
    <col min="14041" max="14044" width="0" style="860" hidden="1" customWidth="1"/>
    <col min="14045" max="14045" width="11.5" style="860" bestFit="1" customWidth="1"/>
    <col min="14046" max="14049" width="10.0625" style="860" bestFit="1" customWidth="1"/>
    <col min="14050" max="14050" width="12.5625" style="860" bestFit="1" customWidth="1"/>
    <col min="14051" max="14080" width="14.0625" style="860"/>
    <col min="14081" max="14081" width="49.8125" style="860" customWidth="1"/>
    <col min="14082" max="14082" width="16.8125" style="860" bestFit="1" customWidth="1"/>
    <col min="14083" max="14083" width="12.5625" style="860" bestFit="1" customWidth="1"/>
    <col min="14084" max="14103" width="11.0625" style="860" customWidth="1"/>
    <col min="14104" max="14107" width="14.0625" style="860"/>
    <col min="14108" max="14108" width="1.5" style="860" bestFit="1" customWidth="1"/>
    <col min="14109" max="14109" width="17.0625" style="860" bestFit="1" customWidth="1"/>
    <col min="14110" max="14110" width="1.5625" style="860" bestFit="1" customWidth="1"/>
    <col min="14111" max="14111" width="15.0625" style="860" bestFit="1" customWidth="1"/>
    <col min="14112" max="14282" width="14.0625" style="860"/>
    <col min="14283" max="14283" width="50.0625" style="860" customWidth="1"/>
    <col min="14284" max="14284" width="54.5625" style="860" customWidth="1"/>
    <col min="14285" max="14285" width="12.0625" style="860" customWidth="1"/>
    <col min="14286" max="14286" width="11.0625" style="860" customWidth="1"/>
    <col min="14287" max="14290" width="0" style="860" hidden="1" customWidth="1"/>
    <col min="14291" max="14291" width="11.0625" style="860" bestFit="1" customWidth="1"/>
    <col min="14292" max="14295" width="0" style="860" hidden="1" customWidth="1"/>
    <col min="14296" max="14296" width="11.5" style="860" bestFit="1" customWidth="1"/>
    <col min="14297" max="14300" width="0" style="860" hidden="1" customWidth="1"/>
    <col min="14301" max="14301" width="11.5" style="860" bestFit="1" customWidth="1"/>
    <col min="14302" max="14305" width="10.0625" style="860" bestFit="1" customWidth="1"/>
    <col min="14306" max="14306" width="12.5625" style="860" bestFit="1" customWidth="1"/>
    <col min="14307" max="14336" width="14.0625" style="860"/>
    <col min="14337" max="14337" width="49.8125" style="860" customWidth="1"/>
    <col min="14338" max="14338" width="16.8125" style="860" bestFit="1" customWidth="1"/>
    <col min="14339" max="14339" width="12.5625" style="860" bestFit="1" customWidth="1"/>
    <col min="14340" max="14359" width="11.0625" style="860" customWidth="1"/>
    <col min="14360" max="14363" width="14.0625" style="860"/>
    <col min="14364" max="14364" width="1.5" style="860" bestFit="1" customWidth="1"/>
    <col min="14365" max="14365" width="17.0625" style="860" bestFit="1" customWidth="1"/>
    <col min="14366" max="14366" width="1.5625" style="860" bestFit="1" customWidth="1"/>
    <col min="14367" max="14367" width="15.0625" style="860" bestFit="1" customWidth="1"/>
    <col min="14368" max="14538" width="14.0625" style="860"/>
    <col min="14539" max="14539" width="50.0625" style="860" customWidth="1"/>
    <col min="14540" max="14540" width="54.5625" style="860" customWidth="1"/>
    <col min="14541" max="14541" width="12.0625" style="860" customWidth="1"/>
    <col min="14542" max="14542" width="11.0625" style="860" customWidth="1"/>
    <col min="14543" max="14546" width="0" style="860" hidden="1" customWidth="1"/>
    <col min="14547" max="14547" width="11.0625" style="860" bestFit="1" customWidth="1"/>
    <col min="14548" max="14551" width="0" style="860" hidden="1" customWidth="1"/>
    <col min="14552" max="14552" width="11.5" style="860" bestFit="1" customWidth="1"/>
    <col min="14553" max="14556" width="0" style="860" hidden="1" customWidth="1"/>
    <col min="14557" max="14557" width="11.5" style="860" bestFit="1" customWidth="1"/>
    <col min="14558" max="14561" width="10.0625" style="860" bestFit="1" customWidth="1"/>
    <col min="14562" max="14562" width="12.5625" style="860" bestFit="1" customWidth="1"/>
    <col min="14563" max="14592" width="14.0625" style="860"/>
    <col min="14593" max="14593" width="49.8125" style="860" customWidth="1"/>
    <col min="14594" max="14594" width="16.8125" style="860" bestFit="1" customWidth="1"/>
    <col min="14595" max="14595" width="12.5625" style="860" bestFit="1" customWidth="1"/>
    <col min="14596" max="14615" width="11.0625" style="860" customWidth="1"/>
    <col min="14616" max="14619" width="14.0625" style="860"/>
    <col min="14620" max="14620" width="1.5" style="860" bestFit="1" customWidth="1"/>
    <col min="14621" max="14621" width="17.0625" style="860" bestFit="1" customWidth="1"/>
    <col min="14622" max="14622" width="1.5625" style="860" bestFit="1" customWidth="1"/>
    <col min="14623" max="14623" width="15.0625" style="860" bestFit="1" customWidth="1"/>
    <col min="14624" max="14794" width="14.0625" style="860"/>
    <col min="14795" max="14795" width="50.0625" style="860" customWidth="1"/>
    <col min="14796" max="14796" width="54.5625" style="860" customWidth="1"/>
    <col min="14797" max="14797" width="12.0625" style="860" customWidth="1"/>
    <col min="14798" max="14798" width="11.0625" style="860" customWidth="1"/>
    <col min="14799" max="14802" width="0" style="860" hidden="1" customWidth="1"/>
    <col min="14803" max="14803" width="11.0625" style="860" bestFit="1" customWidth="1"/>
    <col min="14804" max="14807" width="0" style="860" hidden="1" customWidth="1"/>
    <col min="14808" max="14808" width="11.5" style="860" bestFit="1" customWidth="1"/>
    <col min="14809" max="14812" width="0" style="860" hidden="1" customWidth="1"/>
    <col min="14813" max="14813" width="11.5" style="860" bestFit="1" customWidth="1"/>
    <col min="14814" max="14817" width="10.0625" style="860" bestFit="1" customWidth="1"/>
    <col min="14818" max="14818" width="12.5625" style="860" bestFit="1" customWidth="1"/>
    <col min="14819" max="14848" width="14.0625" style="860"/>
    <col min="14849" max="14849" width="49.8125" style="860" customWidth="1"/>
    <col min="14850" max="14850" width="16.8125" style="860" bestFit="1" customWidth="1"/>
    <col min="14851" max="14851" width="12.5625" style="860" bestFit="1" customWidth="1"/>
    <col min="14852" max="14871" width="11.0625" style="860" customWidth="1"/>
    <col min="14872" max="14875" width="14.0625" style="860"/>
    <col min="14876" max="14876" width="1.5" style="860" bestFit="1" customWidth="1"/>
    <col min="14877" max="14877" width="17.0625" style="860" bestFit="1" customWidth="1"/>
    <col min="14878" max="14878" width="1.5625" style="860" bestFit="1" customWidth="1"/>
    <col min="14879" max="14879" width="15.0625" style="860" bestFit="1" customWidth="1"/>
    <col min="14880" max="15050" width="14.0625" style="860"/>
    <col min="15051" max="15051" width="50.0625" style="860" customWidth="1"/>
    <col min="15052" max="15052" width="54.5625" style="860" customWidth="1"/>
    <col min="15053" max="15053" width="12.0625" style="860" customWidth="1"/>
    <col min="15054" max="15054" width="11.0625" style="860" customWidth="1"/>
    <col min="15055" max="15058" width="0" style="860" hidden="1" customWidth="1"/>
    <col min="15059" max="15059" width="11.0625" style="860" bestFit="1" customWidth="1"/>
    <col min="15060" max="15063" width="0" style="860" hidden="1" customWidth="1"/>
    <col min="15064" max="15064" width="11.5" style="860" bestFit="1" customWidth="1"/>
    <col min="15065" max="15068" width="0" style="860" hidden="1" customWidth="1"/>
    <col min="15069" max="15069" width="11.5" style="860" bestFit="1" customWidth="1"/>
    <col min="15070" max="15073" width="10.0625" style="860" bestFit="1" customWidth="1"/>
    <col min="15074" max="15074" width="12.5625" style="860" bestFit="1" customWidth="1"/>
    <col min="15075" max="15104" width="14.0625" style="860"/>
    <col min="15105" max="15105" width="49.8125" style="860" customWidth="1"/>
    <col min="15106" max="15106" width="16.8125" style="860" bestFit="1" customWidth="1"/>
    <col min="15107" max="15107" width="12.5625" style="860" bestFit="1" customWidth="1"/>
    <col min="15108" max="15127" width="11.0625" style="860" customWidth="1"/>
    <col min="15128" max="15131" width="14.0625" style="860"/>
    <col min="15132" max="15132" width="1.5" style="860" bestFit="1" customWidth="1"/>
    <col min="15133" max="15133" width="17.0625" style="860" bestFit="1" customWidth="1"/>
    <col min="15134" max="15134" width="1.5625" style="860" bestFit="1" customWidth="1"/>
    <col min="15135" max="15135" width="15.0625" style="860" bestFit="1" customWidth="1"/>
    <col min="15136" max="15306" width="14.0625" style="860"/>
    <col min="15307" max="15307" width="50.0625" style="860" customWidth="1"/>
    <col min="15308" max="15308" width="54.5625" style="860" customWidth="1"/>
    <col min="15309" max="15309" width="12.0625" style="860" customWidth="1"/>
    <col min="15310" max="15310" width="11.0625" style="860" customWidth="1"/>
    <col min="15311" max="15314" width="0" style="860" hidden="1" customWidth="1"/>
    <col min="15315" max="15315" width="11.0625" style="860" bestFit="1" customWidth="1"/>
    <col min="15316" max="15319" width="0" style="860" hidden="1" customWidth="1"/>
    <col min="15320" max="15320" width="11.5" style="860" bestFit="1" customWidth="1"/>
    <col min="15321" max="15324" width="0" style="860" hidden="1" customWidth="1"/>
    <col min="15325" max="15325" width="11.5" style="860" bestFit="1" customWidth="1"/>
    <col min="15326" max="15329" width="10.0625" style="860" bestFit="1" customWidth="1"/>
    <col min="15330" max="15330" width="12.5625" style="860" bestFit="1" customWidth="1"/>
    <col min="15331" max="15360" width="14.0625" style="860"/>
    <col min="15361" max="15361" width="49.8125" style="860" customWidth="1"/>
    <col min="15362" max="15362" width="16.8125" style="860" bestFit="1" customWidth="1"/>
    <col min="15363" max="15363" width="12.5625" style="860" bestFit="1" customWidth="1"/>
    <col min="15364" max="15383" width="11.0625" style="860" customWidth="1"/>
    <col min="15384" max="15387" width="14.0625" style="860"/>
    <col min="15388" max="15388" width="1.5" style="860" bestFit="1" customWidth="1"/>
    <col min="15389" max="15389" width="17.0625" style="860" bestFit="1" customWidth="1"/>
    <col min="15390" max="15390" width="1.5625" style="860" bestFit="1" customWidth="1"/>
    <col min="15391" max="15391" width="15.0625" style="860" bestFit="1" customWidth="1"/>
    <col min="15392" max="15562" width="14.0625" style="860"/>
    <col min="15563" max="15563" width="50.0625" style="860" customWidth="1"/>
    <col min="15564" max="15564" width="54.5625" style="860" customWidth="1"/>
    <col min="15565" max="15565" width="12.0625" style="860" customWidth="1"/>
    <col min="15566" max="15566" width="11.0625" style="860" customWidth="1"/>
    <col min="15567" max="15570" width="0" style="860" hidden="1" customWidth="1"/>
    <col min="15571" max="15571" width="11.0625" style="860" bestFit="1" customWidth="1"/>
    <col min="15572" max="15575" width="0" style="860" hidden="1" customWidth="1"/>
    <col min="15576" max="15576" width="11.5" style="860" bestFit="1" customWidth="1"/>
    <col min="15577" max="15580" width="0" style="860" hidden="1" customWidth="1"/>
    <col min="15581" max="15581" width="11.5" style="860" bestFit="1" customWidth="1"/>
    <col min="15582" max="15585" width="10.0625" style="860" bestFit="1" customWidth="1"/>
    <col min="15586" max="15586" width="12.5625" style="860" bestFit="1" customWidth="1"/>
    <col min="15587" max="15616" width="14.0625" style="860"/>
    <col min="15617" max="15617" width="49.8125" style="860" customWidth="1"/>
    <col min="15618" max="15618" width="16.8125" style="860" bestFit="1" customWidth="1"/>
    <col min="15619" max="15619" width="12.5625" style="860" bestFit="1" customWidth="1"/>
    <col min="15620" max="15639" width="11.0625" style="860" customWidth="1"/>
    <col min="15640" max="15643" width="14.0625" style="860"/>
    <col min="15644" max="15644" width="1.5" style="860" bestFit="1" customWidth="1"/>
    <col min="15645" max="15645" width="17.0625" style="860" bestFit="1" customWidth="1"/>
    <col min="15646" max="15646" width="1.5625" style="860" bestFit="1" customWidth="1"/>
    <col min="15647" max="15647" width="15.0625" style="860" bestFit="1" customWidth="1"/>
    <col min="15648" max="15818" width="14.0625" style="860"/>
    <col min="15819" max="15819" width="50.0625" style="860" customWidth="1"/>
    <col min="15820" max="15820" width="54.5625" style="860" customWidth="1"/>
    <col min="15821" max="15821" width="12.0625" style="860" customWidth="1"/>
    <col min="15822" max="15822" width="11.0625" style="860" customWidth="1"/>
    <col min="15823" max="15826" width="0" style="860" hidden="1" customWidth="1"/>
    <col min="15827" max="15827" width="11.0625" style="860" bestFit="1" customWidth="1"/>
    <col min="15828" max="15831" width="0" style="860" hidden="1" customWidth="1"/>
    <col min="15832" max="15832" width="11.5" style="860" bestFit="1" customWidth="1"/>
    <col min="15833" max="15836" width="0" style="860" hidden="1" customWidth="1"/>
    <col min="15837" max="15837" width="11.5" style="860" bestFit="1" customWidth="1"/>
    <col min="15838" max="15841" width="10.0625" style="860" bestFit="1" customWidth="1"/>
    <col min="15842" max="15842" width="12.5625" style="860" bestFit="1" customWidth="1"/>
    <col min="15843" max="15872" width="14.0625" style="860"/>
    <col min="15873" max="15873" width="49.8125" style="860" customWidth="1"/>
    <col min="15874" max="15874" width="16.8125" style="860" bestFit="1" customWidth="1"/>
    <col min="15875" max="15875" width="12.5625" style="860" bestFit="1" customWidth="1"/>
    <col min="15876" max="15895" width="11.0625" style="860" customWidth="1"/>
    <col min="15896" max="15899" width="14.0625" style="860"/>
    <col min="15900" max="15900" width="1.5" style="860" bestFit="1" customWidth="1"/>
    <col min="15901" max="15901" width="17.0625" style="860" bestFit="1" customWidth="1"/>
    <col min="15902" max="15902" width="1.5625" style="860" bestFit="1" customWidth="1"/>
    <col min="15903" max="15903" width="15.0625" style="860" bestFit="1" customWidth="1"/>
    <col min="15904" max="16074" width="14.0625" style="860"/>
    <col min="16075" max="16075" width="50.0625" style="860" customWidth="1"/>
    <col min="16076" max="16076" width="54.5625" style="860" customWidth="1"/>
    <col min="16077" max="16077" width="12.0625" style="860" customWidth="1"/>
    <col min="16078" max="16078" width="11.0625" style="860" customWidth="1"/>
    <col min="16079" max="16082" width="0" style="860" hidden="1" customWidth="1"/>
    <col min="16083" max="16083" width="11.0625" style="860" bestFit="1" customWidth="1"/>
    <col min="16084" max="16087" width="0" style="860" hidden="1" customWidth="1"/>
    <col min="16088" max="16088" width="11.5" style="860" bestFit="1" customWidth="1"/>
    <col min="16089" max="16092" width="0" style="860" hidden="1" customWidth="1"/>
    <col min="16093" max="16093" width="11.5" style="860" bestFit="1" customWidth="1"/>
    <col min="16094" max="16097" width="10.0625" style="860" bestFit="1" customWidth="1"/>
    <col min="16098" max="16098" width="12.5625" style="860" bestFit="1" customWidth="1"/>
    <col min="16099" max="16128" width="14.0625" style="860"/>
    <col min="16129" max="16129" width="49.8125" style="860" customWidth="1"/>
    <col min="16130" max="16130" width="16.8125" style="860" bestFit="1" customWidth="1"/>
    <col min="16131" max="16131" width="12.5625" style="860" bestFit="1" customWidth="1"/>
    <col min="16132" max="16151" width="11.0625" style="860" customWidth="1"/>
    <col min="16152" max="16155" width="14.0625" style="860"/>
    <col min="16156" max="16156" width="1.5" style="860" bestFit="1" customWidth="1"/>
    <col min="16157" max="16157" width="17.0625" style="860" bestFit="1" customWidth="1"/>
    <col min="16158" max="16158" width="1.5625" style="860" bestFit="1" customWidth="1"/>
    <col min="16159" max="16159" width="15.0625" style="860" bestFit="1" customWidth="1"/>
    <col min="16160" max="16330" width="14.0625" style="860"/>
    <col min="16331" max="16331" width="50.0625" style="860" customWidth="1"/>
    <col min="16332" max="16332" width="54.5625" style="860" customWidth="1"/>
    <col min="16333" max="16333" width="12.0625" style="860" customWidth="1"/>
    <col min="16334" max="16334" width="11.0625" style="860" customWidth="1"/>
    <col min="16335" max="16338" width="0" style="860" hidden="1" customWidth="1"/>
    <col min="16339" max="16339" width="11.0625" style="860" bestFit="1" customWidth="1"/>
    <col min="16340" max="16343" width="0" style="860" hidden="1" customWidth="1"/>
    <col min="16344" max="16344" width="11.5" style="860" bestFit="1" customWidth="1"/>
    <col min="16345" max="16348" width="0" style="860" hidden="1" customWidth="1"/>
    <col min="16349" max="16349" width="11.5" style="860" bestFit="1" customWidth="1"/>
    <col min="16350" max="16353" width="10.0625" style="860" bestFit="1" customWidth="1"/>
    <col min="16354" max="16354" width="12.5625" style="860" bestFit="1" customWidth="1"/>
    <col min="16355" max="16384" width="14.0625" style="860"/>
  </cols>
  <sheetData>
    <row r="1" spans="1:256">
      <c r="A1" s="856" t="s">
        <v>476</v>
      </c>
      <c r="B1" s="857"/>
      <c r="C1" s="858"/>
      <c r="D1" s="858"/>
      <c r="E1" s="858"/>
      <c r="F1" s="858"/>
      <c r="G1" s="858"/>
      <c r="H1" s="858"/>
      <c r="I1" s="858"/>
      <c r="J1" s="858"/>
      <c r="K1" s="858"/>
      <c r="L1" s="858"/>
      <c r="M1" s="858"/>
      <c r="N1" s="858"/>
      <c r="O1" s="858"/>
      <c r="P1" s="858"/>
      <c r="Q1" s="858"/>
      <c r="R1" s="858"/>
      <c r="S1" s="858"/>
      <c r="T1" s="858"/>
      <c r="U1" s="858"/>
      <c r="V1" s="858"/>
      <c r="W1" s="858"/>
      <c r="X1" s="858"/>
      <c r="Y1" s="858"/>
      <c r="Z1" s="858"/>
      <c r="AA1" s="858"/>
      <c r="AB1" s="858"/>
      <c r="AC1" s="858"/>
      <c r="AD1" s="858"/>
      <c r="AE1" t="s">
        <v>477</v>
      </c>
      <c r="AF1" s="859"/>
      <c r="AG1" s="858"/>
      <c r="AH1" s="858"/>
      <c r="AI1" s="858"/>
      <c r="AJ1" s="858"/>
      <c r="AK1" s="858"/>
      <c r="AL1" s="858"/>
      <c r="AM1" s="858"/>
      <c r="AN1" s="858"/>
      <c r="AO1" s="858"/>
      <c r="AP1" s="858"/>
      <c r="AQ1" s="858"/>
      <c r="AR1" s="858"/>
      <c r="AS1" s="858"/>
      <c r="AT1" s="858"/>
      <c r="AU1" s="858"/>
      <c r="AV1" s="858"/>
      <c r="AW1" s="858"/>
      <c r="AX1" s="858"/>
      <c r="AY1" s="858"/>
      <c r="AZ1" s="858"/>
      <c r="BA1" s="858"/>
      <c r="BB1" s="858"/>
      <c r="BC1" s="858"/>
      <c r="BD1" s="858"/>
      <c r="BE1" s="858"/>
      <c r="BF1" s="858"/>
      <c r="BG1" s="858"/>
      <c r="BH1" s="858"/>
      <c r="BI1" s="858"/>
      <c r="BJ1" s="858"/>
      <c r="BK1" s="858"/>
      <c r="BL1" s="858"/>
      <c r="BM1" s="858"/>
      <c r="BN1" s="858"/>
      <c r="BO1" s="858"/>
      <c r="BP1" s="858"/>
      <c r="BQ1" s="858"/>
      <c r="BR1" s="858"/>
      <c r="BS1" s="858"/>
      <c r="BT1" s="858"/>
      <c r="BU1" s="858"/>
      <c r="BV1" s="858"/>
      <c r="BW1" s="858"/>
      <c r="BX1" s="858"/>
      <c r="BY1" s="858"/>
      <c r="BZ1" s="858"/>
      <c r="CA1" s="858"/>
      <c r="CB1" s="858"/>
      <c r="CC1" s="858"/>
      <c r="CD1" s="858"/>
      <c r="CE1" s="858"/>
      <c r="CF1" s="858"/>
      <c r="CG1" s="858"/>
      <c r="CH1" s="858"/>
      <c r="CI1" s="858"/>
      <c r="CJ1" s="858"/>
      <c r="CK1" s="858"/>
      <c r="CL1" s="858"/>
      <c r="CM1" s="858"/>
      <c r="CN1" s="858"/>
      <c r="CO1" s="858"/>
      <c r="CP1" s="858"/>
      <c r="CQ1" s="858"/>
      <c r="CR1" s="858"/>
      <c r="CS1" s="858"/>
      <c r="CT1" s="858"/>
      <c r="CU1" s="858"/>
      <c r="CV1" s="858"/>
      <c r="CW1" s="858"/>
      <c r="CX1" s="858"/>
      <c r="CY1" s="858"/>
      <c r="CZ1" s="858"/>
      <c r="DA1" s="858"/>
      <c r="DB1" s="858"/>
      <c r="DC1" s="858"/>
      <c r="DD1" s="858"/>
      <c r="DE1" s="858"/>
      <c r="DF1" s="858"/>
      <c r="DG1" s="858"/>
      <c r="DH1" s="858"/>
      <c r="DI1" s="858"/>
      <c r="DJ1" s="858"/>
      <c r="DK1" s="858"/>
      <c r="DL1" s="858"/>
      <c r="DM1" s="858"/>
      <c r="DN1" s="858"/>
      <c r="DO1" s="858"/>
      <c r="DP1" s="858"/>
      <c r="DQ1" s="858"/>
      <c r="DR1" s="858"/>
      <c r="DS1" s="858"/>
      <c r="DT1" s="858"/>
      <c r="DU1" s="858"/>
      <c r="DV1" s="858"/>
      <c r="DW1" s="858"/>
      <c r="DX1" s="858"/>
      <c r="DY1" s="858"/>
      <c r="DZ1" s="858"/>
      <c r="EA1" s="858"/>
      <c r="EB1" s="858"/>
      <c r="EC1" s="858"/>
      <c r="ED1" s="858"/>
      <c r="EE1" s="858"/>
      <c r="EF1" s="858"/>
      <c r="EG1" s="858"/>
      <c r="EH1" s="858"/>
      <c r="EI1" s="858"/>
      <c r="EJ1" s="858"/>
      <c r="EK1" s="858"/>
      <c r="EL1" s="858"/>
      <c r="EM1" s="858"/>
      <c r="EN1" s="858"/>
      <c r="EO1" s="858"/>
      <c r="EP1" s="858"/>
      <c r="EQ1" s="858"/>
      <c r="ER1" s="858"/>
      <c r="ES1" s="858"/>
      <c r="ET1" s="858"/>
      <c r="EU1" s="858"/>
      <c r="EV1" s="858"/>
      <c r="EW1" s="858"/>
      <c r="EX1" s="858"/>
      <c r="EY1" s="858"/>
      <c r="EZ1" s="858"/>
      <c r="FA1" s="858"/>
      <c r="FB1" s="858"/>
      <c r="FC1" s="858"/>
      <c r="FD1" s="858"/>
      <c r="FE1" s="858"/>
      <c r="FF1" s="858"/>
      <c r="FG1" s="858"/>
      <c r="FH1" s="858"/>
      <c r="FI1" s="858"/>
      <c r="FJ1" s="858"/>
      <c r="FK1" s="858"/>
      <c r="FL1" s="858"/>
      <c r="FM1" s="858"/>
      <c r="FN1" s="858"/>
      <c r="FO1" s="858"/>
      <c r="FP1" s="858"/>
      <c r="FQ1" s="858"/>
      <c r="FR1" s="858"/>
      <c r="FS1" s="858"/>
      <c r="FT1" s="858"/>
      <c r="FU1" s="858"/>
      <c r="FV1" s="858"/>
      <c r="FW1" s="858"/>
      <c r="FX1" s="858"/>
      <c r="FY1" s="858"/>
      <c r="FZ1" s="858"/>
      <c r="GA1" s="858"/>
      <c r="GB1" s="858"/>
      <c r="GC1" s="858"/>
      <c r="GD1" s="858"/>
      <c r="GE1" s="858"/>
      <c r="GF1" s="858"/>
      <c r="GG1" s="858"/>
      <c r="GH1" s="858"/>
      <c r="GI1" s="858"/>
      <c r="GJ1" s="858"/>
      <c r="GK1" s="858"/>
      <c r="GL1" s="858"/>
      <c r="GM1" s="858"/>
      <c r="GN1" s="858"/>
      <c r="GO1" s="858"/>
      <c r="GP1" s="858"/>
      <c r="GQ1" s="858"/>
      <c r="GR1" s="858"/>
      <c r="GS1" s="858"/>
      <c r="GT1" s="858"/>
      <c r="GU1" s="858"/>
      <c r="GV1" s="858"/>
      <c r="GW1" s="858"/>
      <c r="GX1" s="858"/>
      <c r="GY1" s="858"/>
      <c r="GZ1" s="858"/>
      <c r="HA1" s="858"/>
      <c r="HB1" s="858"/>
      <c r="HC1" s="858"/>
      <c r="HD1" s="858"/>
      <c r="HE1" s="858"/>
      <c r="HF1" s="858"/>
      <c r="HG1" s="858"/>
      <c r="HH1" s="858"/>
      <c r="HI1" s="858"/>
      <c r="HJ1" s="858"/>
      <c r="HK1" s="858"/>
      <c r="HL1" s="858"/>
      <c r="HM1" s="858"/>
      <c r="HN1" s="858"/>
      <c r="HO1" s="858"/>
      <c r="HP1" s="858"/>
      <c r="HQ1" s="858"/>
      <c r="HR1" s="858"/>
      <c r="HS1" s="858"/>
      <c r="HT1" s="858"/>
      <c r="HU1" s="858"/>
      <c r="HV1" s="858"/>
      <c r="HW1" s="858"/>
      <c r="HX1" s="858"/>
      <c r="HY1" s="858"/>
      <c r="HZ1" s="858"/>
      <c r="IA1" s="858"/>
      <c r="IB1" s="858"/>
      <c r="IC1" s="858"/>
      <c r="ID1" s="858"/>
      <c r="IE1" s="858"/>
      <c r="IF1" s="858"/>
      <c r="IG1" s="858"/>
      <c r="IH1" s="858"/>
      <c r="II1" s="858"/>
      <c r="IJ1" s="858"/>
      <c r="IK1" s="858"/>
      <c r="IL1" s="858"/>
      <c r="IM1" s="858"/>
      <c r="IN1" s="858"/>
      <c r="IO1" s="858"/>
      <c r="IP1" s="858"/>
      <c r="IQ1" s="858"/>
      <c r="IR1" s="858"/>
      <c r="IS1" s="858"/>
      <c r="IT1" s="858"/>
      <c r="IU1" s="858"/>
      <c r="IV1" s="858"/>
    </row>
    <row r="2" spans="1:256">
      <c r="A2" s="856" t="s">
        <v>478</v>
      </c>
      <c r="B2" s="857"/>
      <c r="C2" s="858"/>
      <c r="D2" s="858"/>
      <c r="E2" s="858"/>
      <c r="F2" s="858"/>
      <c r="G2" s="858"/>
      <c r="H2" s="858"/>
      <c r="I2" s="858"/>
      <c r="J2" s="858"/>
      <c r="K2" s="858"/>
      <c r="L2" s="858"/>
      <c r="M2" s="858"/>
      <c r="N2" s="858"/>
      <c r="O2" s="858"/>
      <c r="P2" s="858"/>
      <c r="Q2" s="858"/>
      <c r="R2" s="858"/>
      <c r="S2" s="858"/>
      <c r="T2" s="858"/>
      <c r="U2" s="858"/>
      <c r="V2" s="858"/>
      <c r="W2" s="858"/>
      <c r="X2" s="858"/>
      <c r="Y2" s="858"/>
      <c r="Z2" s="858"/>
      <c r="AA2" s="858"/>
      <c r="AB2" s="858"/>
      <c r="AC2" s="858"/>
      <c r="AD2" s="858"/>
      <c r="AE2" t="s">
        <v>479</v>
      </c>
      <c r="AF2" s="859"/>
      <c r="AG2" s="858"/>
      <c r="AH2" s="858"/>
      <c r="AI2" s="858"/>
      <c r="AJ2" s="858"/>
      <c r="AK2" s="858"/>
      <c r="AL2" s="858"/>
      <c r="AM2" s="858"/>
      <c r="AN2" s="858"/>
      <c r="AO2" s="858"/>
      <c r="AP2" s="858"/>
      <c r="AQ2" s="858"/>
      <c r="AR2" s="858"/>
      <c r="AS2" s="858"/>
      <c r="AT2" s="858"/>
      <c r="AU2" s="858"/>
      <c r="AV2" s="858"/>
      <c r="AW2" s="858"/>
      <c r="AX2" s="858"/>
      <c r="AY2" s="858"/>
      <c r="AZ2" s="858"/>
      <c r="BA2" s="858"/>
      <c r="BB2" s="858"/>
      <c r="BC2" s="858"/>
      <c r="BD2" s="858"/>
      <c r="BE2" s="858"/>
      <c r="BF2" s="858"/>
      <c r="BG2" s="858"/>
      <c r="BH2" s="858"/>
      <c r="BI2" s="858"/>
      <c r="BJ2" s="858"/>
      <c r="BK2" s="858"/>
      <c r="BL2" s="858"/>
      <c r="BM2" s="858"/>
      <c r="BN2" s="858"/>
      <c r="BO2" s="858"/>
      <c r="BP2" s="858"/>
      <c r="BQ2" s="858"/>
      <c r="BR2" s="858"/>
      <c r="BS2" s="858"/>
      <c r="BT2" s="858"/>
      <c r="BU2" s="858"/>
      <c r="BV2" s="858"/>
      <c r="BW2" s="858"/>
      <c r="BX2" s="858"/>
      <c r="BY2" s="858"/>
      <c r="BZ2" s="858"/>
      <c r="CA2" s="858"/>
      <c r="CB2" s="858"/>
      <c r="CC2" s="858"/>
      <c r="CD2" s="858"/>
      <c r="CE2" s="858"/>
      <c r="CF2" s="858"/>
      <c r="CG2" s="858"/>
      <c r="CH2" s="858"/>
      <c r="CI2" s="858"/>
      <c r="CJ2" s="858"/>
      <c r="CK2" s="858"/>
      <c r="CL2" s="858"/>
      <c r="CM2" s="858"/>
      <c r="CN2" s="858"/>
      <c r="CO2" s="858"/>
      <c r="CP2" s="858"/>
      <c r="CQ2" s="858"/>
      <c r="CR2" s="858"/>
      <c r="CS2" s="858"/>
      <c r="CT2" s="858"/>
      <c r="CU2" s="858"/>
      <c r="CV2" s="858"/>
      <c r="CW2" s="858"/>
      <c r="CX2" s="858"/>
      <c r="CY2" s="858"/>
      <c r="CZ2" s="858"/>
      <c r="DA2" s="858"/>
      <c r="DB2" s="858"/>
      <c r="DC2" s="858"/>
      <c r="DD2" s="858"/>
      <c r="DE2" s="858"/>
      <c r="DF2" s="858"/>
      <c r="DG2" s="858"/>
      <c r="DH2" s="858"/>
      <c r="DI2" s="858"/>
      <c r="DJ2" s="858"/>
      <c r="DK2" s="858"/>
      <c r="DL2" s="858"/>
      <c r="DM2" s="858"/>
      <c r="DN2" s="858"/>
      <c r="DO2" s="858"/>
      <c r="DP2" s="858"/>
      <c r="DQ2" s="858"/>
      <c r="DR2" s="858"/>
      <c r="DS2" s="858"/>
      <c r="DT2" s="858"/>
      <c r="DU2" s="858"/>
      <c r="DV2" s="858"/>
      <c r="DW2" s="858"/>
      <c r="DX2" s="858"/>
      <c r="DY2" s="858"/>
      <c r="DZ2" s="858"/>
      <c r="EA2" s="858"/>
      <c r="EB2" s="858"/>
      <c r="EC2" s="858"/>
      <c r="ED2" s="858"/>
      <c r="EE2" s="858"/>
      <c r="EF2" s="858"/>
      <c r="EG2" s="858"/>
      <c r="EH2" s="858"/>
      <c r="EI2" s="858"/>
      <c r="EJ2" s="858"/>
      <c r="EK2" s="858"/>
      <c r="EL2" s="858"/>
      <c r="EM2" s="858"/>
      <c r="EN2" s="858"/>
      <c r="EO2" s="858"/>
      <c r="EP2" s="858"/>
      <c r="EQ2" s="858"/>
      <c r="ER2" s="858"/>
      <c r="ES2" s="858"/>
      <c r="ET2" s="858"/>
      <c r="EU2" s="858"/>
      <c r="EV2" s="858"/>
      <c r="EW2" s="858"/>
      <c r="EX2" s="858"/>
      <c r="EY2" s="858"/>
      <c r="EZ2" s="858"/>
      <c r="FA2" s="858"/>
      <c r="FB2" s="858"/>
      <c r="FC2" s="858"/>
      <c r="FD2" s="858"/>
      <c r="FE2" s="858"/>
      <c r="FF2" s="858"/>
      <c r="FG2" s="858"/>
      <c r="FH2" s="858"/>
      <c r="FI2" s="858"/>
      <c r="FJ2" s="858"/>
      <c r="FK2" s="858"/>
      <c r="FL2" s="858"/>
      <c r="FM2" s="858"/>
      <c r="FN2" s="858"/>
      <c r="FO2" s="858"/>
      <c r="FP2" s="858"/>
      <c r="FQ2" s="858"/>
      <c r="FR2" s="858"/>
      <c r="FS2" s="858"/>
      <c r="FT2" s="858"/>
      <c r="FU2" s="858"/>
      <c r="FV2" s="858"/>
      <c r="FW2" s="858"/>
      <c r="FX2" s="858"/>
      <c r="FY2" s="858"/>
      <c r="FZ2" s="858"/>
      <c r="GA2" s="858"/>
      <c r="GB2" s="858"/>
      <c r="GC2" s="858"/>
      <c r="GD2" s="858"/>
      <c r="GE2" s="858"/>
      <c r="GF2" s="858"/>
      <c r="GG2" s="858"/>
      <c r="GH2" s="858"/>
      <c r="GI2" s="858"/>
      <c r="GJ2" s="858"/>
      <c r="GK2" s="858"/>
      <c r="GL2" s="858"/>
      <c r="GM2" s="858"/>
      <c r="GN2" s="858"/>
      <c r="GO2" s="858"/>
      <c r="GP2" s="858"/>
      <c r="GQ2" s="858"/>
      <c r="GR2" s="858"/>
      <c r="GS2" s="858"/>
      <c r="GT2" s="858"/>
      <c r="GU2" s="858"/>
      <c r="GV2" s="858"/>
      <c r="GW2" s="858"/>
      <c r="GX2" s="858"/>
      <c r="GY2" s="858"/>
      <c r="GZ2" s="858"/>
      <c r="HA2" s="858"/>
      <c r="HB2" s="858"/>
      <c r="HC2" s="858"/>
      <c r="HD2" s="858"/>
      <c r="HE2" s="858"/>
      <c r="HF2" s="858"/>
      <c r="HG2" s="858"/>
      <c r="HH2" s="858"/>
      <c r="HI2" s="858"/>
      <c r="HJ2" s="858"/>
      <c r="HK2" s="858"/>
      <c r="HL2" s="858"/>
      <c r="HM2" s="858"/>
      <c r="HN2" s="858"/>
      <c r="HO2" s="858"/>
      <c r="HP2" s="858"/>
      <c r="HQ2" s="858"/>
      <c r="HR2" s="858"/>
      <c r="HS2" s="858"/>
      <c r="HT2" s="858"/>
      <c r="HU2" s="858"/>
      <c r="HV2" s="858"/>
      <c r="HW2" s="858"/>
      <c r="HX2" s="858"/>
      <c r="HY2" s="858"/>
      <c r="HZ2" s="858"/>
      <c r="IA2" s="858"/>
      <c r="IB2" s="858"/>
      <c r="IC2" s="858"/>
      <c r="ID2" s="858"/>
      <c r="IE2" s="858"/>
      <c r="IF2" s="858"/>
      <c r="IG2" s="858"/>
      <c r="IH2" s="858"/>
      <c r="II2" s="858"/>
      <c r="IJ2" s="858"/>
      <c r="IK2" s="858"/>
      <c r="IL2" s="858"/>
      <c r="IM2" s="858"/>
      <c r="IN2" s="858"/>
      <c r="IO2" s="858"/>
      <c r="IP2" s="858"/>
      <c r="IQ2" s="858"/>
      <c r="IR2" s="858"/>
      <c r="IS2" s="858"/>
      <c r="IT2" s="858"/>
      <c r="IU2" s="858"/>
      <c r="IV2" s="858"/>
    </row>
    <row r="3" spans="1:256">
      <c r="A3" s="856" t="s">
        <v>480</v>
      </c>
      <c r="B3" s="857"/>
      <c r="C3" s="858"/>
      <c r="D3" s="858"/>
      <c r="E3" s="858"/>
      <c r="F3" s="858"/>
      <c r="G3" s="858"/>
      <c r="H3" s="858"/>
      <c r="I3" s="858"/>
      <c r="J3" s="858"/>
      <c r="K3" s="858"/>
      <c r="L3" s="858"/>
      <c r="M3" s="858"/>
      <c r="N3" s="858"/>
      <c r="O3" s="858"/>
      <c r="P3" s="858"/>
      <c r="Q3" s="858"/>
      <c r="R3" s="858"/>
      <c r="S3" s="858"/>
      <c r="T3" s="858"/>
      <c r="U3" s="858"/>
      <c r="V3" s="858"/>
      <c r="W3" s="858"/>
      <c r="X3" s="858"/>
      <c r="Y3" s="858"/>
      <c r="Z3" s="858"/>
      <c r="AA3" s="858"/>
      <c r="AB3" s="858"/>
      <c r="AC3" s="858"/>
      <c r="AD3" s="858"/>
      <c r="AE3" t="s">
        <v>481</v>
      </c>
      <c r="AF3" s="859"/>
      <c r="AG3" s="858"/>
      <c r="AH3" s="858"/>
      <c r="AI3" s="858"/>
      <c r="AJ3" s="858"/>
      <c r="AK3" s="858"/>
      <c r="AL3" s="858"/>
      <c r="AM3" s="858"/>
      <c r="AN3" s="858"/>
      <c r="AO3" s="858"/>
      <c r="AP3" s="858"/>
      <c r="AQ3" s="858"/>
      <c r="AR3" s="858"/>
      <c r="AS3" s="858"/>
      <c r="AT3" s="858"/>
      <c r="AU3" s="858"/>
      <c r="AV3" s="858"/>
      <c r="AW3" s="858"/>
      <c r="AX3" s="858"/>
      <c r="AY3" s="858"/>
      <c r="AZ3" s="858"/>
      <c r="BA3" s="858"/>
      <c r="BB3" s="858"/>
      <c r="BC3" s="858"/>
      <c r="BD3" s="858"/>
      <c r="BE3" s="858"/>
      <c r="BF3" s="858"/>
      <c r="BG3" s="858"/>
      <c r="BH3" s="858"/>
      <c r="BI3" s="858"/>
      <c r="BJ3" s="858"/>
      <c r="BK3" s="858"/>
      <c r="BL3" s="858"/>
      <c r="BM3" s="858"/>
      <c r="BN3" s="858"/>
      <c r="BO3" s="858"/>
      <c r="BP3" s="858"/>
      <c r="BQ3" s="858"/>
      <c r="BR3" s="858"/>
      <c r="BS3" s="858"/>
      <c r="BT3" s="858"/>
      <c r="BU3" s="858"/>
      <c r="BV3" s="858"/>
      <c r="BW3" s="858"/>
      <c r="BX3" s="858"/>
      <c r="BY3" s="858"/>
      <c r="BZ3" s="858"/>
      <c r="CA3" s="858"/>
      <c r="CB3" s="858"/>
      <c r="CC3" s="858"/>
      <c r="CD3" s="858"/>
      <c r="CE3" s="858"/>
      <c r="CF3" s="858"/>
      <c r="CG3" s="858"/>
      <c r="CH3" s="858"/>
      <c r="CI3" s="858"/>
      <c r="CJ3" s="858"/>
      <c r="CK3" s="858"/>
      <c r="CL3" s="858"/>
      <c r="CM3" s="858"/>
      <c r="CN3" s="858"/>
      <c r="CO3" s="858"/>
      <c r="CP3" s="858"/>
      <c r="CQ3" s="858"/>
      <c r="CR3" s="858"/>
      <c r="CS3" s="858"/>
      <c r="CT3" s="858"/>
      <c r="CU3" s="858"/>
      <c r="CV3" s="858"/>
      <c r="CW3" s="858"/>
      <c r="CX3" s="858"/>
      <c r="CY3" s="858"/>
      <c r="CZ3" s="858"/>
      <c r="DA3" s="858"/>
      <c r="DB3" s="858"/>
      <c r="DC3" s="858"/>
      <c r="DD3" s="858"/>
      <c r="DE3" s="858"/>
      <c r="DF3" s="858"/>
      <c r="DG3" s="858"/>
      <c r="DH3" s="858"/>
      <c r="DI3" s="858"/>
      <c r="DJ3" s="858"/>
      <c r="DK3" s="858"/>
      <c r="DL3" s="858"/>
      <c r="DM3" s="858"/>
      <c r="DN3" s="858"/>
      <c r="DO3" s="858"/>
      <c r="DP3" s="858"/>
      <c r="DQ3" s="858"/>
      <c r="DR3" s="858"/>
      <c r="DS3" s="858"/>
      <c r="DT3" s="858"/>
      <c r="DU3" s="858"/>
      <c r="DV3" s="858"/>
      <c r="DW3" s="858"/>
      <c r="DX3" s="858"/>
      <c r="DY3" s="858"/>
      <c r="DZ3" s="858"/>
      <c r="EA3" s="858"/>
      <c r="EB3" s="858"/>
      <c r="EC3" s="858"/>
      <c r="ED3" s="858"/>
      <c r="EE3" s="858"/>
      <c r="EF3" s="858"/>
      <c r="EG3" s="858"/>
      <c r="EH3" s="858"/>
      <c r="EI3" s="858"/>
      <c r="EJ3" s="858"/>
      <c r="EK3" s="858"/>
      <c r="EL3" s="858"/>
      <c r="EM3" s="858"/>
      <c r="EN3" s="858"/>
      <c r="EO3" s="858"/>
      <c r="EP3" s="858"/>
      <c r="EQ3" s="858"/>
      <c r="ER3" s="858"/>
      <c r="ES3" s="858"/>
      <c r="ET3" s="858"/>
      <c r="EU3" s="858"/>
      <c r="EV3" s="858"/>
      <c r="EW3" s="858"/>
      <c r="EX3" s="858"/>
      <c r="EY3" s="858"/>
      <c r="EZ3" s="858"/>
      <c r="FA3" s="858"/>
      <c r="FB3" s="858"/>
      <c r="FC3" s="858"/>
      <c r="FD3" s="858"/>
      <c r="FE3" s="858"/>
      <c r="FF3" s="858"/>
      <c r="FG3" s="858"/>
      <c r="FH3" s="858"/>
      <c r="FI3" s="858"/>
      <c r="FJ3" s="858"/>
      <c r="FK3" s="858"/>
      <c r="FL3" s="858"/>
      <c r="FM3" s="858"/>
      <c r="FN3" s="858"/>
      <c r="FO3" s="858"/>
      <c r="FP3" s="858"/>
      <c r="FQ3" s="858"/>
      <c r="FR3" s="858"/>
      <c r="FS3" s="858"/>
      <c r="FT3" s="858"/>
      <c r="FU3" s="858"/>
      <c r="FV3" s="858"/>
      <c r="FW3" s="858"/>
      <c r="FX3" s="858"/>
      <c r="FY3" s="858"/>
      <c r="FZ3" s="858"/>
      <c r="GA3" s="858"/>
      <c r="GB3" s="858"/>
      <c r="GC3" s="858"/>
      <c r="GD3" s="858"/>
      <c r="GE3" s="858"/>
      <c r="GF3" s="858"/>
      <c r="GG3" s="858"/>
      <c r="GH3" s="858"/>
      <c r="GI3" s="858"/>
      <c r="GJ3" s="858"/>
      <c r="GK3" s="858"/>
      <c r="GL3" s="858"/>
      <c r="GM3" s="858"/>
      <c r="GN3" s="858"/>
      <c r="GO3" s="858"/>
      <c r="GP3" s="858"/>
      <c r="GQ3" s="858"/>
      <c r="GR3" s="858"/>
      <c r="GS3" s="858"/>
      <c r="GT3" s="858"/>
      <c r="GU3" s="858"/>
      <c r="GV3" s="858"/>
      <c r="GW3" s="858"/>
      <c r="GX3" s="858"/>
      <c r="GY3" s="858"/>
      <c r="GZ3" s="858"/>
      <c r="HA3" s="858"/>
      <c r="HB3" s="858"/>
      <c r="HC3" s="858"/>
      <c r="HD3" s="858"/>
      <c r="HE3" s="858"/>
      <c r="HF3" s="858"/>
      <c r="HG3" s="858"/>
      <c r="HH3" s="858"/>
      <c r="HI3" s="858"/>
      <c r="HJ3" s="858"/>
      <c r="HK3" s="858"/>
      <c r="HL3" s="858"/>
      <c r="HM3" s="858"/>
      <c r="HN3" s="858"/>
      <c r="HO3" s="858"/>
      <c r="HP3" s="858"/>
      <c r="HQ3" s="858"/>
      <c r="HR3" s="858"/>
      <c r="HS3" s="858"/>
      <c r="HT3" s="858"/>
      <c r="HU3" s="858"/>
      <c r="HV3" s="858"/>
      <c r="HW3" s="858"/>
      <c r="HX3" s="858"/>
      <c r="HY3" s="858"/>
      <c r="HZ3" s="858"/>
      <c r="IA3" s="858"/>
      <c r="IB3" s="858"/>
      <c r="IC3" s="858"/>
      <c r="ID3" s="858"/>
      <c r="IE3" s="858"/>
      <c r="IF3" s="858"/>
      <c r="IG3" s="858"/>
      <c r="IH3" s="858"/>
      <c r="II3" s="858"/>
      <c r="IJ3" s="858"/>
      <c r="IK3" s="858"/>
      <c r="IL3" s="858"/>
      <c r="IM3" s="858"/>
      <c r="IN3" s="858"/>
      <c r="IO3" s="858"/>
      <c r="IP3" s="858"/>
      <c r="IQ3" s="858"/>
      <c r="IR3" s="858"/>
      <c r="IS3" s="858"/>
      <c r="IT3" s="858"/>
      <c r="IU3" s="858"/>
      <c r="IV3" s="858"/>
    </row>
    <row r="4" spans="1:256" ht="21">
      <c r="A4" s="861" t="s">
        <v>482</v>
      </c>
      <c r="B4" s="857"/>
      <c r="C4" s="862"/>
      <c r="D4" s="858"/>
      <c r="E4" s="858"/>
      <c r="F4" s="858"/>
      <c r="G4" s="858"/>
      <c r="H4" s="858"/>
      <c r="I4" s="858"/>
      <c r="J4" s="858"/>
      <c r="K4" s="858"/>
      <c r="L4" s="858"/>
      <c r="M4" s="858"/>
      <c r="N4" s="858"/>
      <c r="O4" s="858"/>
      <c r="P4" s="858"/>
      <c r="Q4" s="858"/>
      <c r="R4" s="858"/>
      <c r="S4" s="858"/>
      <c r="T4" s="858"/>
      <c r="U4" s="858"/>
      <c r="V4" s="858"/>
      <c r="W4" s="858"/>
      <c r="X4" s="858"/>
      <c r="Y4" s="858"/>
      <c r="Z4" s="858"/>
      <c r="AA4" s="858"/>
      <c r="AB4" s="858"/>
      <c r="AC4" s="858"/>
      <c r="AD4" s="858"/>
      <c r="AE4" t="s">
        <v>483</v>
      </c>
      <c r="AF4" s="859"/>
      <c r="AG4" s="858"/>
      <c r="AH4" s="858"/>
      <c r="AI4" s="858"/>
      <c r="AJ4" s="858"/>
      <c r="AK4" s="858"/>
      <c r="AL4" s="858"/>
      <c r="AM4" s="858"/>
      <c r="AN4" s="858"/>
      <c r="AO4" s="858"/>
      <c r="AP4" s="858"/>
      <c r="AQ4" s="858"/>
      <c r="AR4" s="858"/>
      <c r="AS4" s="858"/>
      <c r="AT4" s="858"/>
      <c r="AU4" s="858"/>
      <c r="AV4" s="858"/>
      <c r="AW4" s="858"/>
      <c r="AX4" s="858"/>
      <c r="AY4" s="858"/>
      <c r="AZ4" s="858"/>
      <c r="BA4" s="858"/>
      <c r="BB4" s="858"/>
      <c r="BC4" s="858"/>
      <c r="BD4" s="858"/>
      <c r="BE4" s="858"/>
      <c r="BF4" s="858"/>
      <c r="BG4" s="858"/>
      <c r="BH4" s="858"/>
      <c r="BI4" s="858"/>
      <c r="BJ4" s="858"/>
      <c r="BK4" s="858"/>
      <c r="BL4" s="858"/>
      <c r="BM4" s="858"/>
      <c r="BN4" s="858"/>
      <c r="BO4" s="858"/>
      <c r="BP4" s="858"/>
      <c r="BQ4" s="858"/>
      <c r="BR4" s="858"/>
      <c r="BS4" s="858"/>
      <c r="BT4" s="858"/>
      <c r="BU4" s="858"/>
      <c r="BV4" s="858"/>
      <c r="BW4" s="858"/>
      <c r="BX4" s="858"/>
      <c r="BY4" s="858"/>
      <c r="BZ4" s="858"/>
      <c r="CA4" s="858"/>
      <c r="CB4" s="858"/>
      <c r="CC4" s="858"/>
      <c r="CD4" s="858"/>
      <c r="CE4" s="858"/>
      <c r="CF4" s="858"/>
      <c r="CG4" s="858"/>
      <c r="CH4" s="858"/>
      <c r="CI4" s="858"/>
      <c r="CJ4" s="858"/>
      <c r="CK4" s="858"/>
      <c r="CL4" s="858"/>
      <c r="CM4" s="858"/>
      <c r="CN4" s="858"/>
      <c r="CO4" s="858"/>
      <c r="CP4" s="858"/>
      <c r="CQ4" s="858"/>
      <c r="CR4" s="858"/>
      <c r="CS4" s="858"/>
      <c r="CT4" s="858"/>
      <c r="CU4" s="858"/>
      <c r="CV4" s="858"/>
      <c r="CW4" s="858"/>
      <c r="CX4" s="858"/>
      <c r="CY4" s="858"/>
      <c r="CZ4" s="858"/>
      <c r="DA4" s="858"/>
      <c r="DB4" s="858"/>
      <c r="DC4" s="858"/>
      <c r="DD4" s="858"/>
      <c r="DE4" s="858"/>
      <c r="DF4" s="858"/>
      <c r="DG4" s="858"/>
      <c r="DH4" s="858"/>
      <c r="DI4" s="858"/>
      <c r="DJ4" s="858"/>
      <c r="DK4" s="858"/>
      <c r="DL4" s="858"/>
      <c r="DM4" s="858"/>
      <c r="DN4" s="858"/>
      <c r="DO4" s="858"/>
      <c r="DP4" s="858"/>
      <c r="DQ4" s="858"/>
      <c r="DR4" s="858"/>
      <c r="DS4" s="858"/>
      <c r="DT4" s="858"/>
      <c r="DU4" s="858"/>
      <c r="DV4" s="858"/>
      <c r="DW4" s="858"/>
      <c r="DX4" s="858"/>
      <c r="DY4" s="858"/>
      <c r="DZ4" s="858"/>
      <c r="EA4" s="858"/>
      <c r="EB4" s="858"/>
      <c r="EC4" s="858"/>
      <c r="ED4" s="858"/>
      <c r="EE4" s="858"/>
      <c r="EF4" s="858"/>
      <c r="EG4" s="858"/>
      <c r="EH4" s="858"/>
      <c r="EI4" s="858"/>
      <c r="EJ4" s="858"/>
      <c r="EK4" s="858"/>
      <c r="EL4" s="858"/>
      <c r="EM4" s="858"/>
      <c r="EN4" s="858"/>
      <c r="EO4" s="858"/>
      <c r="EP4" s="858"/>
      <c r="EQ4" s="858"/>
      <c r="ER4" s="858"/>
      <c r="ES4" s="858"/>
      <c r="ET4" s="858"/>
      <c r="EU4" s="858"/>
      <c r="EV4" s="858"/>
      <c r="EW4" s="858"/>
      <c r="EX4" s="858"/>
      <c r="EY4" s="858"/>
      <c r="EZ4" s="858"/>
      <c r="FA4" s="858"/>
      <c r="FB4" s="858"/>
      <c r="FC4" s="858"/>
      <c r="FD4" s="858"/>
      <c r="FE4" s="858"/>
      <c r="FF4" s="858"/>
      <c r="FG4" s="858"/>
      <c r="FH4" s="858"/>
      <c r="FI4" s="858"/>
      <c r="FJ4" s="858"/>
      <c r="FK4" s="858"/>
      <c r="FL4" s="858"/>
      <c r="FM4" s="858"/>
      <c r="FN4" s="858"/>
      <c r="FO4" s="858"/>
      <c r="FP4" s="858"/>
      <c r="FQ4" s="858"/>
      <c r="FR4" s="858"/>
      <c r="FS4" s="858"/>
      <c r="FT4" s="858"/>
      <c r="FU4" s="858"/>
      <c r="FV4" s="858"/>
      <c r="FW4" s="858"/>
      <c r="FX4" s="858"/>
      <c r="FY4" s="858"/>
      <c r="FZ4" s="858"/>
      <c r="GA4" s="858"/>
      <c r="GB4" s="858"/>
      <c r="GC4" s="858"/>
      <c r="GD4" s="858"/>
      <c r="GE4" s="858"/>
      <c r="GF4" s="858"/>
      <c r="GG4" s="858"/>
      <c r="GH4" s="858"/>
      <c r="GI4" s="858"/>
      <c r="GJ4" s="858"/>
      <c r="GK4" s="858"/>
      <c r="GL4" s="858"/>
      <c r="GM4" s="858"/>
      <c r="GN4" s="858"/>
      <c r="GO4" s="858"/>
      <c r="GP4" s="858"/>
      <c r="GQ4" s="858"/>
      <c r="GR4" s="858"/>
      <c r="GS4" s="858"/>
      <c r="GT4" s="858"/>
      <c r="GU4" s="858"/>
      <c r="GV4" s="858"/>
      <c r="GW4" s="858"/>
      <c r="GX4" s="858"/>
      <c r="GY4" s="858"/>
      <c r="GZ4" s="858"/>
      <c r="HA4" s="858"/>
      <c r="HB4" s="858"/>
      <c r="HC4" s="858"/>
      <c r="HD4" s="858"/>
      <c r="HE4" s="858"/>
      <c r="HF4" s="858"/>
      <c r="HG4" s="858"/>
      <c r="HH4" s="858"/>
      <c r="HI4" s="858"/>
      <c r="HJ4" s="858"/>
      <c r="HK4" s="858"/>
      <c r="HL4" s="858"/>
      <c r="HM4" s="858"/>
      <c r="HN4" s="858"/>
      <c r="HO4" s="858"/>
      <c r="HP4" s="858"/>
      <c r="HQ4" s="858"/>
      <c r="HR4" s="858"/>
      <c r="HS4" s="858"/>
      <c r="HT4" s="858"/>
      <c r="HU4" s="858"/>
      <c r="HV4" s="858"/>
      <c r="HW4" s="858"/>
      <c r="HX4" s="858"/>
      <c r="HY4" s="858"/>
      <c r="HZ4" s="858"/>
      <c r="IA4" s="858"/>
      <c r="IB4" s="858"/>
      <c r="IC4" s="858"/>
      <c r="ID4" s="858"/>
      <c r="IE4" s="858"/>
      <c r="IF4" s="858"/>
      <c r="IG4" s="858"/>
      <c r="IH4" s="858"/>
      <c r="II4" s="858"/>
      <c r="IJ4" s="858"/>
      <c r="IK4" s="858"/>
      <c r="IL4" s="858"/>
      <c r="IM4" s="858"/>
      <c r="IN4" s="858"/>
      <c r="IO4" s="858"/>
      <c r="IP4" s="858"/>
      <c r="IQ4" s="858"/>
      <c r="IR4" s="858"/>
      <c r="IS4" s="858"/>
      <c r="IT4" s="858"/>
      <c r="IU4" s="858"/>
      <c r="IV4" s="858"/>
    </row>
    <row r="5" spans="1:256" ht="21">
      <c r="A5" s="861"/>
      <c r="B5" s="857"/>
      <c r="C5" s="862"/>
      <c r="D5" s="858"/>
      <c r="E5" s="858"/>
      <c r="F5" s="858"/>
      <c r="G5" s="858"/>
      <c r="H5" s="858"/>
      <c r="I5" s="857"/>
      <c r="J5" s="858"/>
      <c r="K5" s="858"/>
      <c r="L5" s="858"/>
      <c r="M5" s="858"/>
      <c r="N5" s="858"/>
      <c r="O5" s="858"/>
      <c r="P5" s="858"/>
      <c r="Q5" s="858"/>
      <c r="R5" s="858"/>
      <c r="S5" s="858"/>
      <c r="T5" s="858"/>
      <c r="U5" s="858"/>
      <c r="V5" s="858"/>
      <c r="W5" s="858"/>
      <c r="X5" s="858"/>
      <c r="Y5" s="858"/>
      <c r="Z5" s="858"/>
      <c r="AA5" s="858"/>
      <c r="AB5" s="858"/>
      <c r="AC5" s="863" t="s">
        <v>484</v>
      </c>
      <c r="AD5" s="857"/>
      <c r="AE5" t="s">
        <v>485</v>
      </c>
      <c r="AF5" s="859"/>
      <c r="AG5" s="857"/>
      <c r="AH5" s="857"/>
      <c r="AI5" s="857"/>
      <c r="AJ5" s="857"/>
      <c r="AK5" s="857"/>
      <c r="AL5" s="857"/>
      <c r="AM5" s="857"/>
      <c r="AN5" s="857"/>
      <c r="AO5" s="857"/>
      <c r="AP5" s="857"/>
      <c r="AQ5" s="857"/>
      <c r="AR5" s="857"/>
      <c r="AS5" s="857"/>
      <c r="AT5" s="857"/>
      <c r="AU5" s="857"/>
      <c r="AV5" s="857"/>
      <c r="AW5" s="857"/>
      <c r="AX5" s="857"/>
      <c r="AY5" s="857"/>
      <c r="AZ5" s="857"/>
      <c r="BA5" s="857"/>
      <c r="BB5" s="857"/>
      <c r="BC5" s="857"/>
      <c r="BD5" s="857"/>
      <c r="BE5" s="857"/>
      <c r="BF5" s="857"/>
      <c r="BG5" s="857"/>
      <c r="BH5" s="857"/>
      <c r="BI5" s="857"/>
      <c r="BJ5" s="857"/>
      <c r="BK5" s="857"/>
      <c r="BL5" s="857"/>
      <c r="BM5" s="857"/>
      <c r="BN5" s="857"/>
      <c r="BO5" s="857"/>
      <c r="BP5" s="857"/>
      <c r="BQ5" s="857"/>
      <c r="BR5" s="857"/>
      <c r="BS5" s="857"/>
      <c r="BT5" s="857"/>
      <c r="BU5" s="857"/>
      <c r="BV5" s="857"/>
      <c r="BW5" s="857"/>
      <c r="BX5" s="857"/>
      <c r="BY5" s="857"/>
      <c r="BZ5" s="857"/>
      <c r="CA5" s="857"/>
      <c r="CB5" s="857"/>
      <c r="CC5" s="857"/>
      <c r="CD5" s="857"/>
      <c r="CE5" s="857"/>
      <c r="CF5" s="857"/>
      <c r="CG5" s="857"/>
      <c r="CH5" s="857"/>
      <c r="CI5" s="857"/>
      <c r="CJ5" s="857"/>
      <c r="CK5" s="857"/>
      <c r="CL5" s="857"/>
      <c r="CM5" s="857"/>
      <c r="CN5" s="857"/>
      <c r="CO5" s="857"/>
      <c r="CP5" s="857"/>
      <c r="CQ5" s="857"/>
      <c r="CR5" s="857"/>
      <c r="CS5" s="857"/>
      <c r="CT5" s="857"/>
      <c r="CU5" s="857"/>
      <c r="CV5" s="857"/>
      <c r="CW5" s="857"/>
      <c r="CX5" s="857"/>
      <c r="CY5" s="857"/>
      <c r="CZ5" s="857"/>
      <c r="DA5" s="857"/>
      <c r="DB5" s="857"/>
      <c r="DC5" s="857"/>
      <c r="DD5" s="857"/>
      <c r="DE5" s="857"/>
      <c r="DF5" s="857"/>
      <c r="DG5" s="857"/>
      <c r="DH5" s="857"/>
      <c r="DI5" s="857"/>
      <c r="DJ5" s="857"/>
      <c r="DK5" s="857"/>
      <c r="DL5" s="857"/>
      <c r="DM5" s="857"/>
      <c r="DN5" s="857"/>
      <c r="DO5" s="857"/>
      <c r="DP5" s="857"/>
      <c r="DQ5" s="857"/>
      <c r="DR5" s="857"/>
      <c r="DS5" s="857"/>
      <c r="DT5" s="857"/>
      <c r="DU5" s="857"/>
      <c r="DV5" s="857"/>
      <c r="DW5" s="857"/>
      <c r="DX5" s="857"/>
      <c r="DY5" s="857"/>
      <c r="DZ5" s="857"/>
      <c r="EA5" s="857"/>
      <c r="EB5" s="857"/>
      <c r="EC5" s="857"/>
      <c r="ED5" s="857"/>
      <c r="EE5" s="857"/>
      <c r="EF5" s="857"/>
      <c r="EG5" s="857"/>
      <c r="EH5" s="857"/>
      <c r="EI5" s="857"/>
      <c r="EJ5" s="857"/>
      <c r="EK5" s="857"/>
      <c r="EL5" s="857"/>
      <c r="EM5" s="857"/>
      <c r="EN5" s="857"/>
      <c r="EO5" s="857"/>
      <c r="EP5" s="857"/>
      <c r="EQ5" s="857"/>
      <c r="ER5" s="857"/>
      <c r="ES5" s="857"/>
      <c r="ET5" s="857"/>
      <c r="EU5" s="857"/>
      <c r="EV5" s="857"/>
      <c r="EW5" s="857"/>
      <c r="EX5" s="857"/>
      <c r="EY5" s="857"/>
      <c r="EZ5" s="857"/>
      <c r="FA5" s="857"/>
      <c r="FB5" s="857"/>
      <c r="FC5" s="857"/>
      <c r="FD5" s="857"/>
      <c r="FE5" s="857"/>
      <c r="FF5" s="857"/>
      <c r="FG5" s="857"/>
      <c r="FH5" s="857"/>
      <c r="FI5" s="857"/>
      <c r="FJ5" s="857"/>
      <c r="FK5" s="857"/>
      <c r="FL5" s="857"/>
      <c r="FM5" s="857"/>
      <c r="FN5" s="857"/>
      <c r="FO5" s="857"/>
      <c r="FP5" s="857"/>
      <c r="FQ5" s="857"/>
      <c r="FR5" s="857"/>
      <c r="FS5" s="857"/>
      <c r="FT5" s="857"/>
      <c r="FU5" s="857"/>
      <c r="FV5" s="857"/>
      <c r="FW5" s="857"/>
      <c r="FX5" s="857"/>
      <c r="FY5" s="857"/>
      <c r="FZ5" s="857"/>
      <c r="GA5" s="857"/>
      <c r="GB5" s="857"/>
      <c r="GC5" s="857"/>
      <c r="GD5" s="857"/>
      <c r="GE5" s="857"/>
      <c r="GF5" s="857"/>
      <c r="GG5" s="857"/>
      <c r="GH5" s="857"/>
      <c r="GI5" s="857"/>
      <c r="GJ5" s="857"/>
      <c r="GK5" s="857"/>
      <c r="GL5" s="857"/>
      <c r="GM5" s="857"/>
      <c r="GN5" s="857"/>
      <c r="GO5" s="857"/>
      <c r="GP5" s="857"/>
      <c r="GQ5" s="857"/>
      <c r="GR5" s="857"/>
      <c r="GS5" s="857"/>
      <c r="GT5" s="857"/>
      <c r="GU5" s="857"/>
      <c r="GV5" s="857"/>
      <c r="GW5" s="857"/>
      <c r="GX5" s="857"/>
      <c r="GY5" s="857"/>
      <c r="GZ5" s="857"/>
      <c r="HA5" s="857"/>
      <c r="HB5" s="857"/>
      <c r="HC5" s="857"/>
      <c r="HD5" s="857"/>
      <c r="HE5" s="857"/>
      <c r="HF5" s="857"/>
      <c r="HG5" s="857"/>
      <c r="HH5" s="857"/>
      <c r="HI5" s="857"/>
      <c r="HJ5" s="857"/>
      <c r="HK5" s="857"/>
      <c r="HL5" s="857"/>
      <c r="HM5" s="857"/>
      <c r="HN5" s="857"/>
      <c r="HO5" s="857"/>
      <c r="HP5" s="857"/>
      <c r="HQ5" s="857"/>
      <c r="HR5" s="857"/>
      <c r="HS5" s="857"/>
      <c r="HT5" s="857"/>
      <c r="HU5" s="857"/>
      <c r="HV5" s="857"/>
      <c r="HW5" s="857"/>
      <c r="HX5" s="857"/>
      <c r="HY5" s="857"/>
      <c r="HZ5" s="857"/>
      <c r="IA5" s="857"/>
      <c r="IB5" s="857"/>
      <c r="IC5" s="857"/>
      <c r="ID5" s="857"/>
      <c r="IE5" s="857"/>
      <c r="IF5" s="857"/>
      <c r="IG5" s="857"/>
      <c r="IH5" s="857"/>
      <c r="II5" s="857"/>
      <c r="IJ5" s="857"/>
      <c r="IK5" s="857"/>
      <c r="IL5" s="857"/>
      <c r="IM5" s="857"/>
      <c r="IN5" s="857"/>
      <c r="IO5" s="857"/>
      <c r="IP5" s="857"/>
      <c r="IQ5" s="857"/>
      <c r="IR5" s="857"/>
      <c r="IS5" s="857"/>
      <c r="IT5" s="857"/>
      <c r="IU5" s="857"/>
      <c r="IV5" s="857"/>
    </row>
    <row r="6" spans="1:256" ht="21">
      <c r="A6" s="861"/>
      <c r="B6" s="857"/>
      <c r="C6" s="862"/>
      <c r="D6" s="858"/>
      <c r="E6" s="858"/>
      <c r="F6" s="858"/>
      <c r="G6" s="858"/>
      <c r="H6" s="858"/>
      <c r="I6" s="858"/>
      <c r="J6" s="858"/>
      <c r="K6" s="858"/>
      <c r="L6" s="858"/>
      <c r="M6" s="858"/>
      <c r="N6" s="858"/>
      <c r="O6" s="858"/>
      <c r="P6" s="858"/>
      <c r="Q6" s="858"/>
      <c r="R6" s="858"/>
      <c r="S6" s="858"/>
      <c r="T6" s="858"/>
      <c r="U6" s="858"/>
      <c r="V6" s="858"/>
      <c r="W6" s="858"/>
      <c r="X6" s="858"/>
      <c r="Y6" s="858"/>
      <c r="Z6" s="858"/>
      <c r="AA6" s="858"/>
      <c r="AB6" s="858"/>
      <c r="AC6" s="863" t="s">
        <v>486</v>
      </c>
      <c r="AD6" s="858"/>
      <c r="AE6" t="s">
        <v>487</v>
      </c>
      <c r="AF6" s="859"/>
      <c r="AG6" s="858"/>
      <c r="AH6" s="858"/>
      <c r="AI6" s="858"/>
      <c r="AJ6" s="858"/>
      <c r="AK6" s="858"/>
      <c r="AL6" s="858"/>
      <c r="AM6" s="858"/>
      <c r="AN6" s="858"/>
      <c r="AO6" s="858"/>
      <c r="AP6" s="858"/>
      <c r="AQ6" s="858"/>
      <c r="AR6" s="858"/>
      <c r="AS6" s="858"/>
      <c r="AT6" s="858"/>
      <c r="AU6" s="858"/>
      <c r="AV6" s="858"/>
      <c r="AW6" s="858"/>
      <c r="AX6" s="858"/>
      <c r="AY6" s="858"/>
      <c r="AZ6" s="858"/>
      <c r="BA6" s="858"/>
      <c r="BB6" s="858"/>
      <c r="BC6" s="858"/>
      <c r="BD6" s="858"/>
      <c r="BE6" s="858"/>
      <c r="BF6" s="858"/>
      <c r="BG6" s="858"/>
      <c r="BH6" s="858"/>
      <c r="BI6" s="858"/>
      <c r="BJ6" s="858"/>
      <c r="BK6" s="858"/>
      <c r="BL6" s="858"/>
      <c r="BM6" s="858"/>
      <c r="BN6" s="858"/>
      <c r="BO6" s="858"/>
      <c r="BP6" s="858"/>
      <c r="BQ6" s="858"/>
      <c r="BR6" s="858"/>
      <c r="BS6" s="858"/>
      <c r="BT6" s="858"/>
      <c r="BU6" s="858"/>
      <c r="BV6" s="858"/>
      <c r="BW6" s="858"/>
      <c r="BX6" s="858"/>
      <c r="BY6" s="858"/>
      <c r="BZ6" s="858"/>
      <c r="CA6" s="858"/>
      <c r="CB6" s="858"/>
      <c r="CC6" s="858"/>
      <c r="CD6" s="858"/>
      <c r="CE6" s="858"/>
      <c r="CF6" s="858"/>
      <c r="CG6" s="858"/>
      <c r="CH6" s="858"/>
      <c r="CI6" s="858"/>
      <c r="CJ6" s="858"/>
      <c r="CK6" s="858"/>
      <c r="CL6" s="858"/>
      <c r="CM6" s="858"/>
      <c r="CN6" s="858"/>
      <c r="CO6" s="858"/>
      <c r="CP6" s="858"/>
      <c r="CQ6" s="858"/>
      <c r="CR6" s="858"/>
      <c r="CS6" s="858"/>
      <c r="CT6" s="858"/>
      <c r="CU6" s="858"/>
      <c r="CV6" s="858"/>
      <c r="CW6" s="858"/>
      <c r="CX6" s="858"/>
      <c r="CY6" s="858"/>
      <c r="CZ6" s="858"/>
      <c r="DA6" s="858"/>
      <c r="DB6" s="858"/>
      <c r="DC6" s="858"/>
      <c r="DD6" s="858"/>
      <c r="DE6" s="858"/>
      <c r="DF6" s="858"/>
      <c r="DG6" s="858"/>
      <c r="DH6" s="858"/>
      <c r="DI6" s="858"/>
      <c r="DJ6" s="858"/>
      <c r="DK6" s="858"/>
      <c r="DL6" s="858"/>
      <c r="DM6" s="858"/>
      <c r="DN6" s="858"/>
      <c r="DO6" s="858"/>
      <c r="DP6" s="858"/>
      <c r="DQ6" s="858"/>
      <c r="DR6" s="858"/>
      <c r="DS6" s="858"/>
      <c r="DT6" s="858"/>
      <c r="DU6" s="858"/>
      <c r="DV6" s="858"/>
      <c r="DW6" s="858"/>
      <c r="DX6" s="858"/>
      <c r="DY6" s="858"/>
      <c r="DZ6" s="858"/>
      <c r="EA6" s="858"/>
      <c r="EB6" s="858"/>
      <c r="EC6" s="858"/>
      <c r="ED6" s="858"/>
      <c r="EE6" s="858"/>
      <c r="EF6" s="858"/>
      <c r="EG6" s="858"/>
      <c r="EH6" s="858"/>
      <c r="EI6" s="858"/>
      <c r="EJ6" s="858"/>
      <c r="EK6" s="858"/>
      <c r="EL6" s="858"/>
      <c r="EM6" s="858"/>
      <c r="EN6" s="858"/>
      <c r="EO6" s="858"/>
      <c r="EP6" s="858"/>
      <c r="EQ6" s="858"/>
      <c r="ER6" s="858"/>
      <c r="ES6" s="858"/>
      <c r="ET6" s="858"/>
      <c r="EU6" s="858"/>
      <c r="EV6" s="858"/>
      <c r="EW6" s="858"/>
      <c r="EX6" s="858"/>
      <c r="EY6" s="858"/>
      <c r="EZ6" s="858"/>
      <c r="FA6" s="858"/>
      <c r="FB6" s="858"/>
      <c r="FC6" s="858"/>
      <c r="FD6" s="858"/>
      <c r="FE6" s="858"/>
      <c r="FF6" s="858"/>
      <c r="FG6" s="858"/>
      <c r="FH6" s="858"/>
      <c r="FI6" s="858"/>
      <c r="FJ6" s="858"/>
      <c r="FK6" s="858"/>
      <c r="FL6" s="858"/>
      <c r="FM6" s="858"/>
      <c r="FN6" s="858"/>
      <c r="FO6" s="858"/>
      <c r="FP6" s="858"/>
      <c r="FQ6" s="858"/>
      <c r="FR6" s="858"/>
      <c r="FS6" s="858"/>
      <c r="FT6" s="858"/>
      <c r="FU6" s="858"/>
      <c r="FV6" s="858"/>
      <c r="FW6" s="858"/>
      <c r="FX6" s="858"/>
      <c r="FY6" s="858"/>
      <c r="FZ6" s="858"/>
      <c r="GA6" s="858"/>
      <c r="GB6" s="858"/>
      <c r="GC6" s="858"/>
      <c r="GD6" s="858"/>
      <c r="GE6" s="858"/>
      <c r="GF6" s="858"/>
      <c r="GG6" s="858"/>
      <c r="GH6" s="858"/>
      <c r="GI6" s="858"/>
      <c r="GJ6" s="858"/>
      <c r="GK6" s="858"/>
      <c r="GL6" s="858"/>
      <c r="GM6" s="858"/>
      <c r="GN6" s="858"/>
      <c r="GO6" s="858"/>
      <c r="GP6" s="858"/>
      <c r="GQ6" s="858"/>
      <c r="GR6" s="858"/>
      <c r="GS6" s="858"/>
      <c r="GT6" s="858"/>
      <c r="GU6" s="858"/>
      <c r="GV6" s="858"/>
      <c r="GW6" s="858"/>
      <c r="GX6" s="858"/>
      <c r="GY6" s="858"/>
      <c r="GZ6" s="858"/>
      <c r="HA6" s="858"/>
      <c r="HB6" s="858"/>
      <c r="HC6" s="858"/>
      <c r="HD6" s="858"/>
      <c r="HE6" s="858"/>
      <c r="HF6" s="858"/>
      <c r="HG6" s="858"/>
      <c r="HH6" s="858"/>
      <c r="HI6" s="858"/>
      <c r="HJ6" s="858"/>
      <c r="HK6" s="858"/>
      <c r="HL6" s="858"/>
      <c r="HM6" s="858"/>
      <c r="HN6" s="858"/>
      <c r="HO6" s="858"/>
      <c r="HP6" s="858"/>
      <c r="HQ6" s="858"/>
      <c r="HR6" s="858"/>
      <c r="HS6" s="858"/>
      <c r="HT6" s="858"/>
      <c r="HU6" s="858"/>
      <c r="HV6" s="858"/>
      <c r="HW6" s="858"/>
      <c r="HX6" s="858"/>
      <c r="HY6" s="858"/>
      <c r="HZ6" s="858"/>
      <c r="IA6" s="858"/>
      <c r="IB6" s="858"/>
      <c r="IC6" s="858"/>
      <c r="ID6" s="858"/>
      <c r="IE6" s="858"/>
      <c r="IF6" s="858"/>
      <c r="IG6" s="858"/>
      <c r="IH6" s="858"/>
      <c r="II6" s="858"/>
      <c r="IJ6" s="858"/>
      <c r="IK6" s="858"/>
      <c r="IL6" s="858"/>
      <c r="IM6" s="858"/>
      <c r="IN6" s="858"/>
      <c r="IO6" s="858"/>
      <c r="IP6" s="858"/>
      <c r="IQ6" s="858"/>
      <c r="IR6" s="858"/>
      <c r="IS6" s="858"/>
      <c r="IT6" s="858"/>
      <c r="IU6" s="858"/>
      <c r="IV6" s="858"/>
    </row>
    <row r="7" spans="1:256" ht="21">
      <c r="A7" s="861"/>
      <c r="B7" s="857"/>
      <c r="C7" s="862"/>
      <c r="D7" s="858"/>
      <c r="E7" s="858"/>
      <c r="F7" s="858"/>
      <c r="G7" s="858"/>
      <c r="H7" s="858"/>
      <c r="I7" s="858"/>
      <c r="J7" s="858"/>
      <c r="K7" s="858"/>
      <c r="L7" s="858"/>
      <c r="M7" s="858"/>
      <c r="N7" s="858"/>
      <c r="O7" s="858"/>
      <c r="P7" s="858"/>
      <c r="Q7" s="858"/>
      <c r="R7" s="858"/>
      <c r="S7" s="858"/>
      <c r="T7" s="858"/>
      <c r="U7" s="858"/>
      <c r="V7" s="858"/>
      <c r="W7" s="858"/>
      <c r="X7" s="858"/>
      <c r="Y7" s="858"/>
      <c r="Z7" s="858"/>
      <c r="AA7" s="858"/>
      <c r="AB7" s="858"/>
      <c r="AC7" s="863" t="s">
        <v>488</v>
      </c>
      <c r="AD7" s="858"/>
      <c r="AE7" t="s">
        <v>489</v>
      </c>
      <c r="AF7" s="859"/>
      <c r="AG7" s="858"/>
      <c r="AH7" s="858"/>
      <c r="AI7" s="858"/>
      <c r="AJ7" s="858"/>
      <c r="AK7" s="858"/>
      <c r="AL7" s="858"/>
      <c r="AM7" s="858"/>
      <c r="AN7" s="858"/>
      <c r="AO7" s="858"/>
      <c r="AP7" s="858"/>
      <c r="AQ7" s="858"/>
      <c r="AR7" s="858"/>
      <c r="AS7" s="858"/>
      <c r="AT7" s="858"/>
      <c r="AU7" s="858"/>
      <c r="AV7" s="858"/>
      <c r="AW7" s="858"/>
      <c r="AX7" s="858"/>
      <c r="AY7" s="858"/>
      <c r="AZ7" s="858"/>
      <c r="BA7" s="858"/>
      <c r="BB7" s="858"/>
      <c r="BC7" s="858"/>
      <c r="BD7" s="858"/>
      <c r="BE7" s="858"/>
      <c r="BF7" s="858"/>
      <c r="BG7" s="858"/>
      <c r="BH7" s="858"/>
      <c r="BI7" s="858"/>
      <c r="BJ7" s="858"/>
      <c r="BK7" s="858"/>
      <c r="BL7" s="858"/>
      <c r="BM7" s="858"/>
      <c r="BN7" s="858"/>
      <c r="BO7" s="858"/>
      <c r="BP7" s="858"/>
      <c r="BQ7" s="858"/>
      <c r="BR7" s="858"/>
      <c r="BS7" s="858"/>
      <c r="BT7" s="858"/>
      <c r="BU7" s="858"/>
      <c r="BV7" s="858"/>
      <c r="BW7" s="858"/>
      <c r="BX7" s="858"/>
      <c r="BY7" s="858"/>
      <c r="BZ7" s="858"/>
      <c r="CA7" s="858"/>
      <c r="CB7" s="858"/>
      <c r="CC7" s="858"/>
      <c r="CD7" s="858"/>
      <c r="CE7" s="858"/>
      <c r="CF7" s="858"/>
      <c r="CG7" s="858"/>
      <c r="CH7" s="858"/>
      <c r="CI7" s="858"/>
      <c r="CJ7" s="858"/>
      <c r="CK7" s="858"/>
      <c r="CL7" s="858"/>
      <c r="CM7" s="858"/>
      <c r="CN7" s="858"/>
      <c r="CO7" s="858"/>
      <c r="CP7" s="858"/>
      <c r="CQ7" s="858"/>
      <c r="CR7" s="858"/>
      <c r="CS7" s="858"/>
      <c r="CT7" s="858"/>
      <c r="CU7" s="858"/>
      <c r="CV7" s="858"/>
      <c r="CW7" s="858"/>
      <c r="CX7" s="858"/>
      <c r="CY7" s="858"/>
      <c r="CZ7" s="858"/>
      <c r="DA7" s="858"/>
      <c r="DB7" s="858"/>
      <c r="DC7" s="858"/>
      <c r="DD7" s="858"/>
      <c r="DE7" s="858"/>
      <c r="DF7" s="858"/>
      <c r="DG7" s="858"/>
      <c r="DH7" s="858"/>
      <c r="DI7" s="858"/>
      <c r="DJ7" s="858"/>
      <c r="DK7" s="858"/>
      <c r="DL7" s="858"/>
      <c r="DM7" s="858"/>
      <c r="DN7" s="858"/>
      <c r="DO7" s="858"/>
      <c r="DP7" s="858"/>
      <c r="DQ7" s="858"/>
      <c r="DR7" s="858"/>
      <c r="DS7" s="858"/>
      <c r="DT7" s="858"/>
      <c r="DU7" s="858"/>
      <c r="DV7" s="858"/>
      <c r="DW7" s="858"/>
      <c r="DX7" s="858"/>
      <c r="DY7" s="858"/>
      <c r="DZ7" s="858"/>
      <c r="EA7" s="858"/>
      <c r="EB7" s="858"/>
      <c r="EC7" s="858"/>
      <c r="ED7" s="858"/>
      <c r="EE7" s="858"/>
      <c r="EF7" s="858"/>
      <c r="EG7" s="858"/>
      <c r="EH7" s="858"/>
      <c r="EI7" s="858"/>
      <c r="EJ7" s="858"/>
      <c r="EK7" s="858"/>
      <c r="EL7" s="858"/>
      <c r="EM7" s="858"/>
      <c r="EN7" s="858"/>
      <c r="EO7" s="858"/>
      <c r="EP7" s="858"/>
      <c r="EQ7" s="858"/>
      <c r="ER7" s="858"/>
      <c r="ES7" s="858"/>
      <c r="ET7" s="858"/>
      <c r="EU7" s="858"/>
      <c r="EV7" s="858"/>
      <c r="EW7" s="858"/>
      <c r="EX7" s="858"/>
      <c r="EY7" s="858"/>
      <c r="EZ7" s="858"/>
      <c r="FA7" s="858"/>
      <c r="FB7" s="858"/>
      <c r="FC7" s="858"/>
      <c r="FD7" s="858"/>
      <c r="FE7" s="858"/>
      <c r="FF7" s="858"/>
      <c r="FG7" s="858"/>
      <c r="FH7" s="858"/>
      <c r="FI7" s="858"/>
      <c r="FJ7" s="858"/>
      <c r="FK7" s="858"/>
      <c r="FL7" s="858"/>
      <c r="FM7" s="858"/>
      <c r="FN7" s="858"/>
      <c r="FO7" s="858"/>
      <c r="FP7" s="858"/>
      <c r="FQ7" s="858"/>
      <c r="FR7" s="858"/>
      <c r="FS7" s="858"/>
      <c r="FT7" s="858"/>
      <c r="FU7" s="858"/>
      <c r="FV7" s="858"/>
      <c r="FW7" s="858"/>
      <c r="FX7" s="858"/>
      <c r="FY7" s="858"/>
      <c r="FZ7" s="858"/>
      <c r="GA7" s="858"/>
      <c r="GB7" s="858"/>
      <c r="GC7" s="858"/>
      <c r="GD7" s="858"/>
      <c r="GE7" s="858"/>
      <c r="GF7" s="858"/>
      <c r="GG7" s="858"/>
      <c r="GH7" s="858"/>
      <c r="GI7" s="858"/>
      <c r="GJ7" s="858"/>
      <c r="GK7" s="858"/>
      <c r="GL7" s="858"/>
      <c r="GM7" s="858"/>
      <c r="GN7" s="858"/>
      <c r="GO7" s="858"/>
      <c r="GP7" s="858"/>
      <c r="GQ7" s="858"/>
      <c r="GR7" s="858"/>
      <c r="GS7" s="858"/>
      <c r="GT7" s="858"/>
      <c r="GU7" s="858"/>
      <c r="GV7" s="858"/>
      <c r="GW7" s="858"/>
      <c r="GX7" s="858"/>
      <c r="GY7" s="858"/>
      <c r="GZ7" s="858"/>
      <c r="HA7" s="858"/>
      <c r="HB7" s="858"/>
      <c r="HC7" s="858"/>
      <c r="HD7" s="858"/>
      <c r="HE7" s="858"/>
      <c r="HF7" s="858"/>
      <c r="HG7" s="858"/>
      <c r="HH7" s="858"/>
      <c r="HI7" s="858"/>
      <c r="HJ7" s="858"/>
      <c r="HK7" s="858"/>
      <c r="HL7" s="858"/>
      <c r="HM7" s="858"/>
      <c r="HN7" s="858"/>
      <c r="HO7" s="858"/>
      <c r="HP7" s="858"/>
      <c r="HQ7" s="858"/>
      <c r="HR7" s="858"/>
      <c r="HS7" s="858"/>
      <c r="HT7" s="858"/>
      <c r="HU7" s="858"/>
      <c r="HV7" s="858"/>
      <c r="HW7" s="858"/>
      <c r="HX7" s="858"/>
      <c r="HY7" s="858"/>
      <c r="HZ7" s="858"/>
      <c r="IA7" s="858"/>
      <c r="IB7" s="858"/>
      <c r="IC7" s="858"/>
      <c r="ID7" s="858"/>
      <c r="IE7" s="858"/>
      <c r="IF7" s="858"/>
      <c r="IG7" s="858"/>
      <c r="IH7" s="858"/>
      <c r="II7" s="858"/>
      <c r="IJ7" s="858"/>
      <c r="IK7" s="858"/>
      <c r="IL7" s="858"/>
      <c r="IM7" s="858"/>
      <c r="IN7" s="858"/>
      <c r="IO7" s="858"/>
      <c r="IP7" s="858"/>
      <c r="IQ7" s="858"/>
      <c r="IR7" s="858"/>
      <c r="IS7" s="858"/>
      <c r="IT7" s="858"/>
      <c r="IU7" s="858"/>
      <c r="IV7" s="858"/>
    </row>
    <row r="8" spans="1:256" ht="21">
      <c r="A8" s="861"/>
      <c r="B8" s="857"/>
      <c r="C8" s="862"/>
      <c r="D8" s="858"/>
      <c r="E8" s="858"/>
      <c r="F8" s="858"/>
      <c r="G8" s="858"/>
      <c r="H8" s="858"/>
      <c r="I8" s="858"/>
      <c r="J8" s="858"/>
      <c r="K8" s="858"/>
      <c r="L8" s="858"/>
      <c r="M8" s="858"/>
      <c r="N8" s="858"/>
      <c r="O8" s="858"/>
      <c r="P8" s="858"/>
      <c r="Q8" s="858"/>
      <c r="R8" s="858"/>
      <c r="S8" s="858"/>
      <c r="T8" s="858"/>
      <c r="U8" s="858"/>
      <c r="V8" s="858"/>
      <c r="W8" s="858"/>
      <c r="X8" s="858"/>
      <c r="Y8" s="858"/>
      <c r="Z8" s="858"/>
      <c r="AA8" s="858"/>
      <c r="AB8" s="858"/>
      <c r="AC8" s="863" t="s">
        <v>490</v>
      </c>
      <c r="AD8" s="858"/>
      <c r="AE8" t="s">
        <v>491</v>
      </c>
      <c r="AF8" s="859"/>
      <c r="AG8" s="858"/>
      <c r="AH8" s="858"/>
      <c r="AI8" s="858"/>
      <c r="AJ8" s="858"/>
      <c r="AK8" s="858"/>
      <c r="AL8" s="858"/>
      <c r="AM8" s="858"/>
      <c r="AN8" s="858"/>
      <c r="AO8" s="858"/>
      <c r="AP8" s="858"/>
      <c r="AQ8" s="858"/>
      <c r="AR8" s="858"/>
      <c r="AS8" s="858"/>
      <c r="AT8" s="858"/>
      <c r="AU8" s="858"/>
      <c r="AV8" s="858"/>
      <c r="AW8" s="858"/>
      <c r="AX8" s="858"/>
      <c r="AY8" s="858"/>
      <c r="AZ8" s="858"/>
      <c r="BA8" s="858"/>
      <c r="BB8" s="858"/>
      <c r="BC8" s="858"/>
      <c r="BD8" s="858"/>
      <c r="BE8" s="858"/>
      <c r="BF8" s="858"/>
      <c r="BG8" s="858"/>
      <c r="BH8" s="858"/>
      <c r="BI8" s="858"/>
      <c r="BJ8" s="858"/>
      <c r="BK8" s="858"/>
      <c r="BL8" s="858"/>
      <c r="BM8" s="858"/>
      <c r="BN8" s="858"/>
      <c r="BO8" s="858"/>
      <c r="BP8" s="858"/>
      <c r="BQ8" s="858"/>
      <c r="BR8" s="858"/>
      <c r="BS8" s="858"/>
      <c r="BT8" s="858"/>
      <c r="BU8" s="858"/>
      <c r="BV8" s="858"/>
      <c r="BW8" s="858"/>
      <c r="BX8" s="858"/>
      <c r="BY8" s="858"/>
      <c r="BZ8" s="858"/>
      <c r="CA8" s="858"/>
      <c r="CB8" s="858"/>
      <c r="CC8" s="858"/>
      <c r="CD8" s="858"/>
      <c r="CE8" s="858"/>
      <c r="CF8" s="858"/>
      <c r="CG8" s="858"/>
      <c r="CH8" s="858"/>
      <c r="CI8" s="858"/>
      <c r="CJ8" s="858"/>
      <c r="CK8" s="858"/>
      <c r="CL8" s="858"/>
      <c r="CM8" s="858"/>
      <c r="CN8" s="858"/>
      <c r="CO8" s="858"/>
      <c r="CP8" s="858"/>
      <c r="CQ8" s="858"/>
      <c r="CR8" s="858"/>
      <c r="CS8" s="858"/>
      <c r="CT8" s="858"/>
      <c r="CU8" s="858"/>
      <c r="CV8" s="858"/>
      <c r="CW8" s="858"/>
      <c r="CX8" s="858"/>
      <c r="CY8" s="858"/>
      <c r="CZ8" s="858"/>
      <c r="DA8" s="858"/>
      <c r="DB8" s="858"/>
      <c r="DC8" s="858"/>
      <c r="DD8" s="858"/>
      <c r="DE8" s="858"/>
      <c r="DF8" s="858"/>
      <c r="DG8" s="858"/>
      <c r="DH8" s="858"/>
      <c r="DI8" s="858"/>
      <c r="DJ8" s="858"/>
      <c r="DK8" s="858"/>
      <c r="DL8" s="858"/>
      <c r="DM8" s="858"/>
      <c r="DN8" s="858"/>
      <c r="DO8" s="858"/>
      <c r="DP8" s="858"/>
      <c r="DQ8" s="858"/>
      <c r="DR8" s="858"/>
      <c r="DS8" s="858"/>
      <c r="DT8" s="858"/>
      <c r="DU8" s="858"/>
      <c r="DV8" s="858"/>
      <c r="DW8" s="858"/>
      <c r="DX8" s="858"/>
      <c r="DY8" s="858"/>
      <c r="DZ8" s="858"/>
      <c r="EA8" s="858"/>
      <c r="EB8" s="858"/>
      <c r="EC8" s="858"/>
      <c r="ED8" s="858"/>
      <c r="EE8" s="858"/>
      <c r="EF8" s="858"/>
      <c r="EG8" s="858"/>
      <c r="EH8" s="858"/>
      <c r="EI8" s="858"/>
      <c r="EJ8" s="858"/>
      <c r="EK8" s="858"/>
      <c r="EL8" s="858"/>
      <c r="EM8" s="858"/>
      <c r="EN8" s="858"/>
      <c r="EO8" s="858"/>
      <c r="EP8" s="858"/>
      <c r="EQ8" s="858"/>
      <c r="ER8" s="858"/>
      <c r="ES8" s="858"/>
      <c r="ET8" s="858"/>
      <c r="EU8" s="858"/>
      <c r="EV8" s="858"/>
      <c r="EW8" s="858"/>
      <c r="EX8" s="858"/>
      <c r="EY8" s="858"/>
      <c r="EZ8" s="858"/>
      <c r="FA8" s="858"/>
      <c r="FB8" s="858"/>
      <c r="FC8" s="858"/>
      <c r="FD8" s="858"/>
      <c r="FE8" s="858"/>
      <c r="FF8" s="858"/>
      <c r="FG8" s="858"/>
      <c r="FH8" s="858"/>
      <c r="FI8" s="858"/>
      <c r="FJ8" s="858"/>
      <c r="FK8" s="858"/>
      <c r="FL8" s="858"/>
      <c r="FM8" s="858"/>
      <c r="FN8" s="858"/>
      <c r="FO8" s="858"/>
      <c r="FP8" s="858"/>
      <c r="FQ8" s="858"/>
      <c r="FR8" s="858"/>
      <c r="FS8" s="858"/>
      <c r="FT8" s="858"/>
      <c r="FU8" s="858"/>
      <c r="FV8" s="858"/>
      <c r="FW8" s="858"/>
      <c r="FX8" s="858"/>
      <c r="FY8" s="858"/>
      <c r="FZ8" s="858"/>
      <c r="GA8" s="858"/>
      <c r="GB8" s="858"/>
      <c r="GC8" s="858"/>
      <c r="GD8" s="858"/>
      <c r="GE8" s="858"/>
      <c r="GF8" s="858"/>
      <c r="GG8" s="858"/>
      <c r="GH8" s="858"/>
      <c r="GI8" s="858"/>
      <c r="GJ8" s="858"/>
      <c r="GK8" s="858"/>
      <c r="GL8" s="858"/>
      <c r="GM8" s="858"/>
      <c r="GN8" s="858"/>
      <c r="GO8" s="858"/>
      <c r="GP8" s="858"/>
      <c r="GQ8" s="858"/>
      <c r="GR8" s="858"/>
      <c r="GS8" s="858"/>
      <c r="GT8" s="858"/>
      <c r="GU8" s="858"/>
      <c r="GV8" s="858"/>
      <c r="GW8" s="858"/>
      <c r="GX8" s="858"/>
      <c r="GY8" s="858"/>
      <c r="GZ8" s="858"/>
      <c r="HA8" s="858"/>
      <c r="HB8" s="858"/>
      <c r="HC8" s="858"/>
      <c r="HD8" s="858"/>
      <c r="HE8" s="858"/>
      <c r="HF8" s="858"/>
      <c r="HG8" s="858"/>
      <c r="HH8" s="858"/>
      <c r="HI8" s="858"/>
      <c r="HJ8" s="858"/>
      <c r="HK8" s="858"/>
      <c r="HL8" s="858"/>
      <c r="HM8" s="858"/>
      <c r="HN8" s="858"/>
      <c r="HO8" s="858"/>
      <c r="HP8" s="858"/>
      <c r="HQ8" s="858"/>
      <c r="HR8" s="858"/>
      <c r="HS8" s="858"/>
      <c r="HT8" s="858"/>
      <c r="HU8" s="858"/>
      <c r="HV8" s="858"/>
      <c r="HW8" s="858"/>
      <c r="HX8" s="858"/>
      <c r="HY8" s="858"/>
      <c r="HZ8" s="858"/>
      <c r="IA8" s="858"/>
      <c r="IB8" s="858"/>
      <c r="IC8" s="858"/>
      <c r="ID8" s="858"/>
      <c r="IE8" s="858"/>
      <c r="IF8" s="858"/>
      <c r="IG8" s="858"/>
      <c r="IH8" s="858"/>
      <c r="II8" s="858"/>
      <c r="IJ8" s="858"/>
      <c r="IK8" s="858"/>
      <c r="IL8" s="858"/>
      <c r="IM8" s="858"/>
      <c r="IN8" s="858"/>
      <c r="IO8" s="858"/>
      <c r="IP8" s="858"/>
      <c r="IQ8" s="858"/>
      <c r="IR8" s="858"/>
      <c r="IS8" s="858"/>
      <c r="IT8" s="858"/>
      <c r="IU8" s="858"/>
      <c r="IV8" s="858"/>
    </row>
    <row r="9" spans="1:256" ht="17.649999999999999">
      <c r="A9" s="864" t="s">
        <v>492</v>
      </c>
      <c r="B9" s="865"/>
      <c r="C9" s="866" t="s">
        <v>602</v>
      </c>
      <c r="D9" s="857"/>
      <c r="E9" s="857"/>
      <c r="F9" s="857"/>
      <c r="G9" s="857"/>
      <c r="H9" s="857"/>
      <c r="I9" s="857"/>
      <c r="J9" s="857"/>
      <c r="K9" s="857"/>
      <c r="L9" s="857"/>
      <c r="M9" s="857"/>
      <c r="N9" s="857"/>
      <c r="O9" s="857"/>
      <c r="P9" s="857"/>
      <c r="Q9" s="857"/>
      <c r="R9" s="857"/>
      <c r="S9" s="857"/>
      <c r="T9" s="857"/>
      <c r="U9" s="857"/>
      <c r="V9" s="857"/>
      <c r="W9" s="857"/>
      <c r="X9" s="857"/>
      <c r="Y9" s="857"/>
      <c r="Z9" s="857"/>
      <c r="AA9" s="857"/>
      <c r="AB9" s="857"/>
      <c r="AC9" s="863" t="s">
        <v>493</v>
      </c>
      <c r="AD9" s="858"/>
      <c r="AE9" t="s">
        <v>494</v>
      </c>
      <c r="AF9" s="859"/>
      <c r="AG9" s="858"/>
      <c r="AH9" s="858"/>
      <c r="AI9" s="858"/>
      <c r="AJ9" s="858"/>
      <c r="AK9" s="858"/>
      <c r="AL9" s="858"/>
      <c r="AM9" s="858"/>
      <c r="AN9" s="858"/>
      <c r="AO9" s="858"/>
      <c r="AP9" s="858"/>
      <c r="AQ9" s="858"/>
      <c r="AR9" s="858"/>
      <c r="AS9" s="858"/>
      <c r="AT9" s="858"/>
      <c r="AU9" s="858"/>
      <c r="AV9" s="858"/>
      <c r="AW9" s="858"/>
      <c r="AX9" s="858"/>
      <c r="AY9" s="858"/>
      <c r="AZ9" s="858"/>
      <c r="BA9" s="858"/>
      <c r="BB9" s="858"/>
      <c r="BC9" s="858"/>
      <c r="BD9" s="858"/>
      <c r="BE9" s="858"/>
      <c r="BF9" s="858"/>
      <c r="BG9" s="858"/>
      <c r="BH9" s="858"/>
      <c r="BI9" s="858"/>
      <c r="BJ9" s="858"/>
      <c r="BK9" s="858"/>
      <c r="BL9" s="858"/>
      <c r="BM9" s="858"/>
      <c r="BN9" s="858"/>
      <c r="BO9" s="858"/>
      <c r="BP9" s="858"/>
      <c r="BQ9" s="858"/>
      <c r="BR9" s="858"/>
      <c r="BS9" s="858"/>
      <c r="BT9" s="858"/>
      <c r="BU9" s="858"/>
      <c r="BV9" s="858"/>
      <c r="BW9" s="858"/>
      <c r="BX9" s="858"/>
      <c r="BY9" s="858"/>
      <c r="BZ9" s="858"/>
      <c r="CA9" s="858"/>
      <c r="CB9" s="858"/>
      <c r="CC9" s="858"/>
      <c r="CD9" s="858"/>
      <c r="CE9" s="858"/>
      <c r="CF9" s="858"/>
      <c r="CG9" s="858"/>
      <c r="CH9" s="858"/>
      <c r="CI9" s="858"/>
      <c r="CJ9" s="858"/>
      <c r="CK9" s="858"/>
      <c r="CL9" s="858"/>
      <c r="CM9" s="858"/>
      <c r="CN9" s="858"/>
      <c r="CO9" s="858"/>
      <c r="CP9" s="858"/>
      <c r="CQ9" s="858"/>
      <c r="CR9" s="858"/>
      <c r="CS9" s="858"/>
      <c r="CT9" s="858"/>
      <c r="CU9" s="858"/>
      <c r="CV9" s="858"/>
      <c r="CW9" s="858"/>
      <c r="CX9" s="858"/>
      <c r="CY9" s="858"/>
      <c r="CZ9" s="858"/>
      <c r="DA9" s="858"/>
      <c r="DB9" s="858"/>
      <c r="DC9" s="858"/>
      <c r="DD9" s="858"/>
      <c r="DE9" s="858"/>
      <c r="DF9" s="858"/>
      <c r="DG9" s="858"/>
      <c r="DH9" s="858"/>
      <c r="DI9" s="858"/>
      <c r="DJ9" s="858"/>
      <c r="DK9" s="858"/>
      <c r="DL9" s="858"/>
      <c r="DM9" s="858"/>
      <c r="DN9" s="858"/>
      <c r="DO9" s="858"/>
      <c r="DP9" s="858"/>
      <c r="DQ9" s="858"/>
      <c r="DR9" s="858"/>
      <c r="DS9" s="858"/>
      <c r="DT9" s="858"/>
      <c r="DU9" s="858"/>
      <c r="DV9" s="858"/>
      <c r="DW9" s="858"/>
      <c r="DX9" s="858"/>
      <c r="DY9" s="858"/>
      <c r="DZ9" s="858"/>
      <c r="EA9" s="858"/>
      <c r="EB9" s="858"/>
      <c r="EC9" s="858"/>
      <c r="ED9" s="858"/>
      <c r="EE9" s="858"/>
      <c r="EF9" s="858"/>
      <c r="EG9" s="858"/>
      <c r="EH9" s="858"/>
      <c r="EI9" s="858"/>
      <c r="EJ9" s="858"/>
      <c r="EK9" s="858"/>
      <c r="EL9" s="858"/>
      <c r="EM9" s="858"/>
      <c r="EN9" s="858"/>
      <c r="EO9" s="858"/>
      <c r="EP9" s="858"/>
      <c r="EQ9" s="858"/>
      <c r="ER9" s="858"/>
      <c r="ES9" s="858"/>
      <c r="ET9" s="858"/>
      <c r="EU9" s="858"/>
      <c r="EV9" s="858"/>
      <c r="EW9" s="858"/>
      <c r="EX9" s="858"/>
      <c r="EY9" s="858"/>
      <c r="EZ9" s="858"/>
      <c r="FA9" s="858"/>
      <c r="FB9" s="858"/>
      <c r="FC9" s="858"/>
      <c r="FD9" s="858"/>
      <c r="FE9" s="858"/>
      <c r="FF9" s="858"/>
      <c r="FG9" s="858"/>
      <c r="FH9" s="858"/>
      <c r="FI9" s="858"/>
      <c r="FJ9" s="858"/>
      <c r="FK9" s="858"/>
      <c r="FL9" s="858"/>
      <c r="FM9" s="858"/>
      <c r="FN9" s="858"/>
      <c r="FO9" s="858"/>
      <c r="FP9" s="858"/>
      <c r="FQ9" s="858"/>
      <c r="FR9" s="858"/>
      <c r="FS9" s="858"/>
      <c r="FT9" s="858"/>
      <c r="FU9" s="858"/>
      <c r="FV9" s="858"/>
      <c r="FW9" s="858"/>
      <c r="FX9" s="858"/>
      <c r="FY9" s="858"/>
      <c r="FZ9" s="858"/>
      <c r="GA9" s="858"/>
      <c r="GB9" s="858"/>
      <c r="GC9" s="858"/>
      <c r="GD9" s="858"/>
      <c r="GE9" s="858"/>
      <c r="GF9" s="858"/>
      <c r="GG9" s="858"/>
      <c r="GH9" s="858"/>
      <c r="GI9" s="858"/>
      <c r="GJ9" s="858"/>
      <c r="GK9" s="858"/>
      <c r="GL9" s="858"/>
      <c r="GM9" s="858"/>
      <c r="GN9" s="858"/>
      <c r="GO9" s="858"/>
      <c r="GP9" s="858"/>
      <c r="GQ9" s="858"/>
      <c r="GR9" s="858"/>
      <c r="GS9" s="858"/>
      <c r="GT9" s="858"/>
      <c r="GU9" s="858"/>
      <c r="GV9" s="858"/>
      <c r="GW9" s="858"/>
      <c r="GX9" s="858"/>
      <c r="GY9" s="858"/>
      <c r="GZ9" s="858"/>
      <c r="HA9" s="858"/>
      <c r="HB9" s="858"/>
      <c r="HC9" s="858"/>
      <c r="HD9" s="858"/>
      <c r="HE9" s="858"/>
      <c r="HF9" s="858"/>
      <c r="HG9" s="858"/>
      <c r="HH9" s="858"/>
      <c r="HI9" s="858"/>
      <c r="HJ9" s="858"/>
      <c r="HK9" s="858"/>
      <c r="HL9" s="858"/>
      <c r="HM9" s="858"/>
      <c r="HN9" s="858"/>
      <c r="HO9" s="858"/>
      <c r="HP9" s="858"/>
      <c r="HQ9" s="858"/>
      <c r="HR9" s="858"/>
      <c r="HS9" s="858"/>
      <c r="HT9" s="858"/>
      <c r="HU9" s="858"/>
      <c r="HV9" s="858"/>
      <c r="HW9" s="858"/>
      <c r="HX9" s="858"/>
      <c r="HY9" s="858"/>
      <c r="HZ9" s="858"/>
      <c r="IA9" s="858"/>
      <c r="IB9" s="858"/>
      <c r="IC9" s="858"/>
      <c r="ID9" s="858"/>
      <c r="IE9" s="858"/>
      <c r="IF9" s="858"/>
      <c r="IG9" s="858"/>
      <c r="IH9" s="858"/>
      <c r="II9" s="858"/>
      <c r="IJ9" s="858"/>
      <c r="IK9" s="858"/>
      <c r="IL9" s="858"/>
      <c r="IM9" s="858"/>
      <c r="IN9" s="858"/>
      <c r="IO9" s="858"/>
      <c r="IP9" s="858"/>
      <c r="IQ9" s="858"/>
      <c r="IR9" s="858"/>
      <c r="IS9" s="858"/>
      <c r="IT9" s="858"/>
      <c r="IU9" s="858"/>
      <c r="IV9" s="858"/>
    </row>
    <row r="10" spans="1:256">
      <c r="A10" s="858" t="s">
        <v>495</v>
      </c>
      <c r="B10" s="867" t="s">
        <v>496</v>
      </c>
      <c r="C10" s="866" t="s">
        <v>488</v>
      </c>
      <c r="D10" s="868" t="e">
        <f ca="1">_xll.BLUEMATRIX2("/servlet/excelData",C10, $C$14,$B10)</f>
        <v>#NAME?</v>
      </c>
      <c r="E10" s="858"/>
      <c r="F10" s="858"/>
      <c r="G10" s="858"/>
      <c r="H10" s="858"/>
      <c r="I10" s="858"/>
      <c r="J10" s="858"/>
      <c r="K10" s="858"/>
      <c r="L10" s="858"/>
      <c r="M10" s="858"/>
      <c r="N10" s="858"/>
      <c r="O10" s="858"/>
      <c r="P10" s="858"/>
      <c r="Q10" s="858"/>
      <c r="R10" s="858"/>
      <c r="S10" s="858"/>
      <c r="T10" s="858"/>
      <c r="U10" s="858"/>
      <c r="V10" s="858"/>
      <c r="W10" s="858"/>
      <c r="X10" s="858"/>
      <c r="Y10" s="858"/>
      <c r="Z10" s="858"/>
      <c r="AA10" s="858"/>
      <c r="AB10" s="858"/>
      <c r="AC10" s="863" t="s">
        <v>497</v>
      </c>
      <c r="AD10" s="858"/>
      <c r="AE10" t="s">
        <v>498</v>
      </c>
      <c r="AF10" s="859"/>
      <c r="AG10" s="858"/>
      <c r="AH10" s="858"/>
      <c r="AI10" s="858"/>
      <c r="AJ10" s="858"/>
      <c r="AK10" s="858"/>
      <c r="AL10" s="858"/>
      <c r="AM10" s="858"/>
      <c r="AN10" s="858"/>
      <c r="AO10" s="858"/>
      <c r="AP10" s="858"/>
      <c r="AQ10" s="858"/>
      <c r="AR10" s="858"/>
      <c r="AS10" s="858"/>
      <c r="AT10" s="858"/>
      <c r="AU10" s="858"/>
      <c r="AV10" s="858"/>
      <c r="AW10" s="858"/>
      <c r="AX10" s="858"/>
      <c r="AY10" s="858"/>
      <c r="AZ10" s="858"/>
      <c r="BA10" s="858"/>
      <c r="BB10" s="858"/>
      <c r="BC10" s="858"/>
      <c r="BD10" s="858"/>
      <c r="BE10" s="858"/>
      <c r="BF10" s="858"/>
      <c r="BG10" s="858"/>
      <c r="BH10" s="858"/>
      <c r="BI10" s="858"/>
      <c r="BJ10" s="858"/>
      <c r="BK10" s="858"/>
      <c r="BL10" s="858"/>
      <c r="BM10" s="858"/>
      <c r="BN10" s="858"/>
      <c r="BO10" s="858"/>
      <c r="BP10" s="858"/>
      <c r="BQ10" s="858"/>
      <c r="BR10" s="858"/>
      <c r="BS10" s="858"/>
      <c r="BT10" s="858"/>
      <c r="BU10" s="858"/>
      <c r="BV10" s="858"/>
      <c r="BW10" s="858"/>
      <c r="BX10" s="858"/>
      <c r="BY10" s="858"/>
      <c r="BZ10" s="858"/>
      <c r="CA10" s="858"/>
      <c r="CB10" s="858"/>
      <c r="CC10" s="858"/>
      <c r="CD10" s="858"/>
      <c r="CE10" s="858"/>
      <c r="CF10" s="858"/>
      <c r="CG10" s="858"/>
      <c r="CH10" s="858"/>
      <c r="CI10" s="858"/>
      <c r="CJ10" s="858"/>
      <c r="CK10" s="858"/>
      <c r="CL10" s="858"/>
      <c r="CM10" s="858"/>
      <c r="CN10" s="858"/>
      <c r="CO10" s="858"/>
      <c r="CP10" s="858"/>
      <c r="CQ10" s="858"/>
      <c r="CR10" s="858"/>
      <c r="CS10" s="858"/>
      <c r="CT10" s="858"/>
      <c r="CU10" s="858"/>
      <c r="CV10" s="858"/>
      <c r="CW10" s="858"/>
      <c r="CX10" s="858"/>
      <c r="CY10" s="858"/>
      <c r="CZ10" s="858"/>
      <c r="DA10" s="858"/>
      <c r="DB10" s="858"/>
      <c r="DC10" s="858"/>
      <c r="DD10" s="858"/>
      <c r="DE10" s="858"/>
      <c r="DF10" s="858"/>
      <c r="DG10" s="858"/>
      <c r="DH10" s="858"/>
      <c r="DI10" s="858"/>
      <c r="DJ10" s="858"/>
      <c r="DK10" s="858"/>
      <c r="DL10" s="858"/>
      <c r="DM10" s="858"/>
      <c r="DN10" s="858"/>
      <c r="DO10" s="858"/>
      <c r="DP10" s="858"/>
      <c r="DQ10" s="858"/>
      <c r="DR10" s="858"/>
      <c r="DS10" s="858"/>
      <c r="DT10" s="858"/>
      <c r="DU10" s="858"/>
      <c r="DV10" s="858"/>
      <c r="DW10" s="858"/>
      <c r="DX10" s="858"/>
      <c r="DY10" s="858"/>
      <c r="DZ10" s="858"/>
      <c r="EA10" s="858"/>
      <c r="EB10" s="858"/>
      <c r="EC10" s="858"/>
      <c r="ED10" s="858"/>
      <c r="EE10" s="858"/>
      <c r="EF10" s="858"/>
      <c r="EG10" s="858"/>
      <c r="EH10" s="858"/>
      <c r="EI10" s="858"/>
      <c r="EJ10" s="858"/>
      <c r="EK10" s="858"/>
      <c r="EL10" s="858"/>
      <c r="EM10" s="858"/>
      <c r="EN10" s="858"/>
      <c r="EO10" s="858"/>
      <c r="EP10" s="858"/>
      <c r="EQ10" s="858"/>
      <c r="ER10" s="858"/>
      <c r="ES10" s="858"/>
      <c r="ET10" s="858"/>
      <c r="EU10" s="858"/>
      <c r="EV10" s="858"/>
      <c r="EW10" s="858"/>
      <c r="EX10" s="858"/>
      <c r="EY10" s="858"/>
      <c r="EZ10" s="858"/>
      <c r="FA10" s="858"/>
      <c r="FB10" s="858"/>
      <c r="FC10" s="858"/>
      <c r="FD10" s="858"/>
      <c r="FE10" s="858"/>
      <c r="FF10" s="858"/>
      <c r="FG10" s="858"/>
      <c r="FH10" s="858"/>
      <c r="FI10" s="858"/>
      <c r="FJ10" s="858"/>
      <c r="FK10" s="858"/>
      <c r="FL10" s="858"/>
      <c r="FM10" s="858"/>
      <c r="FN10" s="858"/>
      <c r="FO10" s="858"/>
      <c r="FP10" s="858"/>
      <c r="FQ10" s="858"/>
      <c r="FR10" s="858"/>
      <c r="FS10" s="858"/>
      <c r="FT10" s="858"/>
      <c r="FU10" s="858"/>
      <c r="FV10" s="858"/>
      <c r="FW10" s="858"/>
      <c r="FX10" s="858"/>
      <c r="FY10" s="858"/>
      <c r="FZ10" s="858"/>
      <c r="GA10" s="858"/>
      <c r="GB10" s="858"/>
      <c r="GC10" s="858"/>
      <c r="GD10" s="858"/>
      <c r="GE10" s="858"/>
      <c r="GF10" s="858"/>
      <c r="GG10" s="858"/>
      <c r="GH10" s="858"/>
      <c r="GI10" s="858"/>
      <c r="GJ10" s="858"/>
      <c r="GK10" s="858"/>
      <c r="GL10" s="858"/>
      <c r="GM10" s="858"/>
      <c r="GN10" s="858"/>
      <c r="GO10" s="858"/>
      <c r="GP10" s="858"/>
      <c r="GQ10" s="858"/>
      <c r="GR10" s="858"/>
      <c r="GS10" s="858"/>
      <c r="GT10" s="858"/>
      <c r="GU10" s="858"/>
      <c r="GV10" s="858"/>
      <c r="GW10" s="858"/>
      <c r="GX10" s="858"/>
      <c r="GY10" s="858"/>
      <c r="GZ10" s="858"/>
      <c r="HA10" s="858"/>
      <c r="HB10" s="858"/>
      <c r="HC10" s="858"/>
      <c r="HD10" s="858"/>
      <c r="HE10" s="858"/>
      <c r="HF10" s="858"/>
      <c r="HG10" s="858"/>
      <c r="HH10" s="858"/>
      <c r="HI10" s="858"/>
      <c r="HJ10" s="858"/>
      <c r="HK10" s="858"/>
      <c r="HL10" s="858"/>
      <c r="HM10" s="858"/>
      <c r="HN10" s="858"/>
      <c r="HO10" s="858"/>
      <c r="HP10" s="858"/>
      <c r="HQ10" s="858"/>
      <c r="HR10" s="858"/>
      <c r="HS10" s="858"/>
      <c r="HT10" s="858"/>
      <c r="HU10" s="858"/>
      <c r="HV10" s="858"/>
      <c r="HW10" s="858"/>
      <c r="HX10" s="858"/>
      <c r="HY10" s="858"/>
      <c r="HZ10" s="858"/>
      <c r="IA10" s="858"/>
      <c r="IB10" s="858"/>
      <c r="IC10" s="858"/>
      <c r="ID10" s="858"/>
      <c r="IE10" s="858"/>
      <c r="IF10" s="858"/>
      <c r="IG10" s="858"/>
      <c r="IH10" s="858"/>
      <c r="II10" s="858"/>
      <c r="IJ10" s="858"/>
      <c r="IK10" s="858"/>
      <c r="IL10" s="858"/>
      <c r="IM10" s="858"/>
      <c r="IN10" s="858"/>
      <c r="IO10" s="858"/>
      <c r="IP10" s="858"/>
      <c r="IQ10" s="858"/>
      <c r="IR10" s="858"/>
      <c r="IS10" s="858"/>
      <c r="IT10" s="858"/>
      <c r="IU10" s="858"/>
      <c r="IV10" s="858"/>
    </row>
    <row r="11" spans="1:256">
      <c r="A11" s="858" t="s">
        <v>499</v>
      </c>
      <c r="B11" s="867"/>
      <c r="C11" s="866" t="s">
        <v>500</v>
      </c>
      <c r="D11" s="858"/>
      <c r="E11" s="858"/>
      <c r="F11" s="858"/>
      <c r="G11" s="858"/>
      <c r="H11" s="858"/>
      <c r="I11" s="858"/>
      <c r="J11" s="858"/>
      <c r="K11" s="858"/>
      <c r="L11" s="858"/>
      <c r="M11" s="858"/>
      <c r="N11" s="858"/>
      <c r="O11" s="858"/>
      <c r="P11" s="858"/>
      <c r="Q11" s="858"/>
      <c r="R11" s="858"/>
      <c r="S11" s="858"/>
      <c r="T11" s="858"/>
      <c r="U11" s="858"/>
      <c r="V11" s="858"/>
      <c r="W11" s="858"/>
      <c r="X11" s="858"/>
      <c r="Y11" s="858"/>
      <c r="Z11" s="858"/>
      <c r="AA11" s="858"/>
      <c r="AB11" s="858"/>
      <c r="AC11" s="863" t="s">
        <v>501</v>
      </c>
      <c r="AD11" s="858"/>
      <c r="AE11" t="s">
        <v>502</v>
      </c>
      <c r="AF11" s="858"/>
      <c r="AG11" s="858"/>
      <c r="AH11" s="858"/>
      <c r="AI11" s="858"/>
      <c r="AJ11" s="858"/>
      <c r="AK11" s="858"/>
      <c r="AL11" s="858"/>
      <c r="AM11" s="858"/>
      <c r="AN11" s="858"/>
      <c r="AO11" s="858"/>
      <c r="AP11" s="858"/>
      <c r="AQ11" s="858"/>
      <c r="AR11" s="858"/>
      <c r="AS11" s="858"/>
      <c r="AT11" s="858"/>
      <c r="AU11" s="858"/>
      <c r="AV11" s="858"/>
      <c r="AW11" s="858"/>
      <c r="AX11" s="858"/>
      <c r="AY11" s="858"/>
      <c r="AZ11" s="858"/>
      <c r="BA11" s="858"/>
      <c r="BB11" s="858"/>
      <c r="BC11" s="858"/>
      <c r="BD11" s="858"/>
      <c r="BE11" s="858"/>
      <c r="BF11" s="858"/>
      <c r="BG11" s="858"/>
      <c r="BH11" s="858"/>
      <c r="BI11" s="858"/>
      <c r="BJ11" s="858"/>
      <c r="BK11" s="858"/>
      <c r="BL11" s="858"/>
      <c r="BM11" s="858"/>
      <c r="BN11" s="858"/>
      <c r="BO11" s="858"/>
      <c r="BP11" s="858"/>
      <c r="BQ11" s="858"/>
      <c r="BR11" s="858"/>
      <c r="BS11" s="858"/>
      <c r="BT11" s="858"/>
      <c r="BU11" s="858"/>
      <c r="BV11" s="858"/>
      <c r="BW11" s="858"/>
      <c r="BX11" s="858"/>
      <c r="BY11" s="858"/>
      <c r="BZ11" s="858"/>
      <c r="CA11" s="858"/>
      <c r="CB11" s="858"/>
      <c r="CC11" s="858"/>
      <c r="CD11" s="858"/>
      <c r="CE11" s="858"/>
      <c r="CF11" s="858"/>
      <c r="CG11" s="858"/>
      <c r="CH11" s="858"/>
      <c r="CI11" s="858"/>
      <c r="CJ11" s="858"/>
      <c r="CK11" s="858"/>
      <c r="CL11" s="858"/>
      <c r="CM11" s="858"/>
      <c r="CN11" s="858"/>
      <c r="CO11" s="858"/>
      <c r="CP11" s="858"/>
      <c r="CQ11" s="858"/>
      <c r="CR11" s="858"/>
      <c r="CS11" s="858"/>
      <c r="CT11" s="858"/>
      <c r="CU11" s="858"/>
      <c r="CV11" s="858"/>
      <c r="CW11" s="858"/>
      <c r="CX11" s="858"/>
      <c r="CY11" s="858"/>
      <c r="CZ11" s="858"/>
      <c r="DA11" s="858"/>
      <c r="DB11" s="858"/>
      <c r="DC11" s="858"/>
      <c r="DD11" s="858"/>
      <c r="DE11" s="858"/>
      <c r="DF11" s="858"/>
      <c r="DG11" s="858"/>
      <c r="DH11" s="858"/>
      <c r="DI11" s="858"/>
      <c r="DJ11" s="858"/>
      <c r="DK11" s="858"/>
      <c r="DL11" s="858"/>
      <c r="DM11" s="858"/>
      <c r="DN11" s="858"/>
      <c r="DO11" s="858"/>
      <c r="DP11" s="858"/>
      <c r="DQ11" s="858"/>
      <c r="DR11" s="858"/>
      <c r="DS11" s="858"/>
      <c r="DT11" s="858"/>
      <c r="DU11" s="858"/>
      <c r="DV11" s="858"/>
      <c r="DW11" s="858"/>
      <c r="DX11" s="858"/>
      <c r="DY11" s="858"/>
      <c r="DZ11" s="858"/>
      <c r="EA11" s="858"/>
      <c r="EB11" s="858"/>
      <c r="EC11" s="858"/>
      <c r="ED11" s="858"/>
      <c r="EE11" s="858"/>
      <c r="EF11" s="858"/>
      <c r="EG11" s="858"/>
      <c r="EH11" s="858"/>
      <c r="EI11" s="858"/>
      <c r="EJ11" s="858"/>
      <c r="EK11" s="858"/>
      <c r="EL11" s="858"/>
      <c r="EM11" s="858"/>
      <c r="EN11" s="858"/>
      <c r="EO11" s="858"/>
      <c r="EP11" s="858"/>
      <c r="EQ11" s="858"/>
      <c r="ER11" s="858"/>
      <c r="ES11" s="858"/>
      <c r="ET11" s="858"/>
      <c r="EU11" s="858"/>
      <c r="EV11" s="858"/>
      <c r="EW11" s="858"/>
      <c r="EX11" s="858"/>
      <c r="EY11" s="858"/>
      <c r="EZ11" s="858"/>
      <c r="FA11" s="858"/>
      <c r="FB11" s="858"/>
      <c r="FC11" s="858"/>
      <c r="FD11" s="858"/>
      <c r="FE11" s="858"/>
      <c r="FF11" s="858"/>
      <c r="FG11" s="858"/>
      <c r="FH11" s="858"/>
      <c r="FI11" s="858"/>
      <c r="FJ11" s="858"/>
      <c r="FK11" s="858"/>
      <c r="FL11" s="858"/>
      <c r="FM11" s="858"/>
      <c r="FN11" s="858"/>
      <c r="FO11" s="858"/>
      <c r="FP11" s="858"/>
      <c r="FQ11" s="858"/>
      <c r="FR11" s="858"/>
      <c r="FS11" s="858"/>
      <c r="FT11" s="858"/>
      <c r="FU11" s="858"/>
      <c r="FV11" s="858"/>
      <c r="FW11" s="858"/>
      <c r="FX11" s="858"/>
      <c r="FY11" s="858"/>
      <c r="FZ11" s="858"/>
      <c r="GA11" s="858"/>
      <c r="GB11" s="858"/>
      <c r="GC11" s="858"/>
      <c r="GD11" s="858"/>
      <c r="GE11" s="858"/>
      <c r="GF11" s="858"/>
      <c r="GG11" s="858"/>
      <c r="GH11" s="858"/>
      <c r="GI11" s="858"/>
      <c r="GJ11" s="858"/>
      <c r="GK11" s="858"/>
      <c r="GL11" s="858"/>
      <c r="GM11" s="858"/>
      <c r="GN11" s="858"/>
      <c r="GO11" s="858"/>
      <c r="GP11" s="858"/>
      <c r="GQ11" s="858"/>
      <c r="GR11" s="858"/>
      <c r="GS11" s="858"/>
      <c r="GT11" s="858"/>
      <c r="GU11" s="858"/>
      <c r="GV11" s="858"/>
      <c r="GW11" s="858"/>
      <c r="GX11" s="858"/>
      <c r="GY11" s="858"/>
      <c r="GZ11" s="858"/>
      <c r="HA11" s="858"/>
      <c r="HB11" s="858"/>
      <c r="HC11" s="858"/>
      <c r="HD11" s="858"/>
      <c r="HE11" s="858"/>
      <c r="HF11" s="858"/>
      <c r="HG11" s="858"/>
      <c r="HH11" s="858"/>
      <c r="HI11" s="858"/>
      <c r="HJ11" s="858"/>
      <c r="HK11" s="858"/>
      <c r="HL11" s="858"/>
      <c r="HM11" s="858"/>
      <c r="HN11" s="858"/>
      <c r="HO11" s="858"/>
      <c r="HP11" s="858"/>
      <c r="HQ11" s="858"/>
      <c r="HR11" s="858"/>
      <c r="HS11" s="858"/>
      <c r="HT11" s="858"/>
      <c r="HU11" s="858"/>
      <c r="HV11" s="858"/>
      <c r="HW11" s="858"/>
      <c r="HX11" s="858"/>
      <c r="HY11" s="858"/>
      <c r="HZ11" s="858"/>
      <c r="IA11" s="858"/>
      <c r="IB11" s="858"/>
      <c r="IC11" s="858"/>
      <c r="ID11" s="858"/>
      <c r="IE11" s="858"/>
      <c r="IF11" s="858"/>
      <c r="IG11" s="858"/>
      <c r="IH11" s="858"/>
      <c r="II11" s="858"/>
      <c r="IJ11" s="858"/>
      <c r="IK11" s="858"/>
      <c r="IL11" s="858"/>
      <c r="IM11" s="858"/>
      <c r="IN11" s="858"/>
      <c r="IO11" s="858"/>
      <c r="IP11" s="858"/>
      <c r="IQ11" s="858"/>
      <c r="IR11" s="858"/>
      <c r="IS11" s="858"/>
      <c r="IT11" s="858"/>
      <c r="IU11" s="858"/>
      <c r="IV11" s="858"/>
    </row>
    <row r="12" spans="1:256">
      <c r="A12" s="858"/>
      <c r="B12" s="867"/>
      <c r="C12" s="869"/>
      <c r="D12" s="858"/>
      <c r="E12" s="858"/>
      <c r="F12" s="858"/>
      <c r="G12" s="858"/>
      <c r="H12" s="858"/>
      <c r="I12" s="858"/>
      <c r="J12" s="858"/>
      <c r="K12" s="858"/>
      <c r="L12" s="858"/>
      <c r="M12" s="858"/>
      <c r="N12" s="858"/>
      <c r="O12" s="858"/>
      <c r="P12" s="858"/>
      <c r="Q12" s="858"/>
      <c r="R12" s="858"/>
      <c r="S12" s="858"/>
      <c r="T12" s="858"/>
      <c r="U12" s="858"/>
      <c r="V12" s="858"/>
      <c r="W12" s="858"/>
      <c r="X12" s="858"/>
      <c r="Y12" s="858"/>
      <c r="Z12" s="858"/>
      <c r="AA12" s="858"/>
      <c r="AB12" s="858"/>
      <c r="AC12" s="860" t="s">
        <v>503</v>
      </c>
      <c r="AD12" s="870"/>
      <c r="AE12" t="s">
        <v>504</v>
      </c>
      <c r="AF12" s="870"/>
      <c r="AG12" s="870"/>
      <c r="AH12" s="870"/>
      <c r="AI12" s="870"/>
      <c r="AJ12" s="870"/>
      <c r="AK12" s="870"/>
      <c r="AL12" s="870"/>
      <c r="AM12" s="870"/>
      <c r="AN12" s="870"/>
      <c r="AO12" s="870"/>
      <c r="AP12" s="870"/>
      <c r="AQ12" s="870"/>
      <c r="AR12" s="870"/>
      <c r="AS12" s="870"/>
      <c r="AT12" s="870"/>
      <c r="AU12" s="870"/>
      <c r="AV12" s="870"/>
      <c r="AW12" s="870"/>
      <c r="AX12" s="870"/>
      <c r="AY12" s="870"/>
      <c r="AZ12" s="870"/>
      <c r="BA12" s="870"/>
      <c r="BB12" s="870"/>
      <c r="BC12" s="870"/>
      <c r="BD12" s="870"/>
      <c r="BE12" s="870"/>
      <c r="BF12" s="870"/>
      <c r="BG12" s="870"/>
      <c r="BH12" s="870"/>
      <c r="BI12" s="870"/>
      <c r="BJ12" s="870"/>
      <c r="BK12" s="870"/>
      <c r="BL12" s="870"/>
      <c r="BM12" s="870"/>
      <c r="BN12" s="870"/>
      <c r="BO12" s="870"/>
      <c r="BP12" s="870"/>
      <c r="BQ12" s="870"/>
      <c r="BR12" s="870"/>
      <c r="BS12" s="870"/>
      <c r="BT12" s="870"/>
      <c r="BU12" s="870"/>
      <c r="BV12" s="870"/>
      <c r="BW12" s="870"/>
      <c r="BX12" s="870"/>
      <c r="BY12" s="870"/>
      <c r="BZ12" s="870"/>
      <c r="CA12" s="870"/>
      <c r="CB12" s="870"/>
      <c r="CC12" s="870"/>
      <c r="CD12" s="870"/>
      <c r="CE12" s="870"/>
      <c r="CF12" s="870"/>
      <c r="CG12" s="870"/>
      <c r="CH12" s="870"/>
      <c r="CI12" s="870"/>
      <c r="CJ12" s="870"/>
      <c r="CK12" s="870"/>
      <c r="CL12" s="870"/>
      <c r="CM12" s="870"/>
      <c r="CN12" s="870"/>
      <c r="CO12" s="870"/>
      <c r="CP12" s="870"/>
      <c r="CQ12" s="870"/>
      <c r="CR12" s="870"/>
      <c r="CS12" s="870"/>
      <c r="CT12" s="870"/>
      <c r="CU12" s="870"/>
      <c r="CV12" s="870"/>
      <c r="CW12" s="870"/>
      <c r="CX12" s="870"/>
      <c r="CY12" s="870"/>
      <c r="CZ12" s="870"/>
      <c r="DA12" s="870"/>
      <c r="DB12" s="870"/>
      <c r="DC12" s="870"/>
      <c r="DD12" s="870"/>
      <c r="DE12" s="870"/>
      <c r="DF12" s="870"/>
      <c r="DG12" s="870"/>
      <c r="DH12" s="870"/>
      <c r="DI12" s="870"/>
      <c r="DJ12" s="870"/>
      <c r="DK12" s="870"/>
      <c r="DL12" s="870"/>
      <c r="DM12" s="870"/>
      <c r="DN12" s="870"/>
      <c r="DO12" s="870"/>
      <c r="DP12" s="870"/>
      <c r="DQ12" s="870"/>
      <c r="DR12" s="870"/>
      <c r="DS12" s="870"/>
      <c r="DT12" s="870"/>
      <c r="DU12" s="870"/>
      <c r="DV12" s="870"/>
      <c r="DW12" s="870"/>
      <c r="DX12" s="870"/>
      <c r="DY12" s="870"/>
      <c r="DZ12" s="870"/>
      <c r="EA12" s="870"/>
      <c r="EB12" s="870"/>
      <c r="EC12" s="870"/>
      <c r="ED12" s="870"/>
      <c r="EE12" s="870"/>
      <c r="EF12" s="870"/>
      <c r="EG12" s="870"/>
      <c r="EH12" s="870"/>
      <c r="EI12" s="870"/>
      <c r="EJ12" s="870"/>
      <c r="EK12" s="870"/>
      <c r="EL12" s="870"/>
      <c r="EM12" s="870"/>
      <c r="EN12" s="870"/>
      <c r="EO12" s="870"/>
      <c r="EP12" s="870"/>
      <c r="EQ12" s="870"/>
      <c r="ER12" s="870"/>
      <c r="ES12" s="870"/>
      <c r="ET12" s="870"/>
      <c r="EU12" s="870"/>
      <c r="EV12" s="870"/>
      <c r="EW12" s="870"/>
      <c r="EX12" s="870"/>
      <c r="EY12" s="870"/>
      <c r="EZ12" s="870"/>
      <c r="FA12" s="870"/>
      <c r="FB12" s="870"/>
      <c r="FC12" s="870"/>
      <c r="FD12" s="870"/>
      <c r="FE12" s="870"/>
      <c r="FF12" s="870"/>
      <c r="FG12" s="870"/>
      <c r="FH12" s="870"/>
      <c r="FI12" s="870"/>
      <c r="FJ12" s="870"/>
      <c r="FK12" s="870"/>
      <c r="FL12" s="870"/>
      <c r="FM12" s="870"/>
      <c r="FN12" s="870"/>
      <c r="FO12" s="870"/>
      <c r="FP12" s="870"/>
      <c r="FQ12" s="870"/>
      <c r="FR12" s="870"/>
      <c r="FS12" s="870"/>
      <c r="FT12" s="870"/>
      <c r="FU12" s="870"/>
      <c r="FV12" s="870"/>
      <c r="FW12" s="870"/>
      <c r="FX12" s="870"/>
      <c r="FY12" s="870"/>
      <c r="FZ12" s="870"/>
      <c r="GA12" s="870"/>
      <c r="GB12" s="870"/>
      <c r="GC12" s="870"/>
      <c r="GD12" s="870"/>
      <c r="GE12" s="870"/>
      <c r="GF12" s="870"/>
      <c r="GG12" s="870"/>
      <c r="GH12" s="870"/>
      <c r="GI12" s="870"/>
      <c r="GJ12" s="870"/>
      <c r="GK12" s="870"/>
      <c r="GL12" s="870"/>
      <c r="GM12" s="870"/>
      <c r="GN12" s="870"/>
      <c r="GO12" s="870"/>
      <c r="GP12" s="870"/>
      <c r="GQ12" s="870"/>
      <c r="GR12" s="870"/>
      <c r="GS12" s="870"/>
      <c r="GT12" s="870"/>
      <c r="GU12" s="870"/>
      <c r="GV12" s="870"/>
      <c r="GW12" s="870"/>
      <c r="GX12" s="870"/>
      <c r="GY12" s="870"/>
      <c r="GZ12" s="870"/>
      <c r="HA12" s="870"/>
      <c r="HB12" s="870"/>
      <c r="HC12" s="870"/>
      <c r="HD12" s="870"/>
      <c r="HE12" s="870"/>
      <c r="HF12" s="870"/>
      <c r="HG12" s="870"/>
      <c r="HH12" s="870"/>
      <c r="HI12" s="870"/>
      <c r="HJ12" s="870"/>
      <c r="HK12" s="870"/>
      <c r="HL12" s="870"/>
      <c r="HM12" s="870"/>
      <c r="HN12" s="870"/>
      <c r="HO12" s="870"/>
      <c r="HP12" s="870"/>
      <c r="HQ12" s="870"/>
      <c r="HR12" s="870"/>
      <c r="HS12" s="870"/>
      <c r="HT12" s="870"/>
      <c r="HU12" s="870"/>
      <c r="HV12" s="870"/>
      <c r="HW12" s="870"/>
      <c r="HX12" s="870"/>
      <c r="HY12" s="870"/>
      <c r="HZ12" s="870"/>
      <c r="IA12" s="870"/>
      <c r="IB12" s="870"/>
      <c r="IC12" s="870"/>
      <c r="ID12" s="870"/>
      <c r="IE12" s="870"/>
      <c r="IF12" s="870"/>
      <c r="IG12" s="870"/>
      <c r="IH12" s="870"/>
      <c r="II12" s="870"/>
      <c r="IJ12" s="870"/>
      <c r="IK12" s="870"/>
      <c r="IL12" s="870"/>
      <c r="IM12" s="870"/>
      <c r="IN12" s="870"/>
      <c r="IO12" s="870"/>
      <c r="IP12" s="870"/>
      <c r="IQ12" s="870"/>
      <c r="IR12" s="870"/>
      <c r="IS12" s="870"/>
      <c r="IT12" s="870"/>
      <c r="IU12" s="870"/>
      <c r="IV12" s="870"/>
    </row>
    <row r="13" spans="1:256">
      <c r="A13" s="858" t="s">
        <v>505</v>
      </c>
      <c r="B13" s="867" t="s">
        <v>506</v>
      </c>
      <c r="C13" s="871" t="s">
        <v>603</v>
      </c>
      <c r="D13" s="868" t="e">
        <f ca="1">_xll.BLUEMATRIX2("/servlet/excelData",C13, $C$14,$B13)</f>
        <v>#NAME?</v>
      </c>
      <c r="E13" s="858"/>
      <c r="F13" s="858"/>
      <c r="G13" s="858"/>
      <c r="H13" s="858"/>
      <c r="I13" s="858"/>
      <c r="J13" s="858"/>
      <c r="K13" s="858"/>
      <c r="L13" s="858"/>
      <c r="M13" s="858"/>
      <c r="N13" s="858"/>
      <c r="O13" s="858"/>
      <c r="P13" s="858"/>
      <c r="Q13" s="858"/>
      <c r="R13" s="858"/>
      <c r="S13" s="858"/>
      <c r="T13" s="858"/>
      <c r="U13" s="858"/>
      <c r="V13" s="858"/>
      <c r="W13" s="858"/>
      <c r="X13" s="858"/>
      <c r="Y13" s="858"/>
      <c r="Z13" s="858"/>
      <c r="AA13" s="858"/>
      <c r="AB13" s="858"/>
      <c r="AC13" s="870"/>
      <c r="AD13" s="870"/>
      <c r="AE13" t="s">
        <v>507</v>
      </c>
      <c r="AF13" s="870"/>
      <c r="AG13" s="870"/>
      <c r="AH13" s="870"/>
      <c r="AI13" s="870"/>
      <c r="AJ13" s="870"/>
      <c r="AK13" s="870"/>
      <c r="AL13" s="870"/>
      <c r="AM13" s="870"/>
      <c r="AN13" s="870"/>
      <c r="AO13" s="870"/>
      <c r="AP13" s="870"/>
      <c r="AQ13" s="870"/>
      <c r="AR13" s="870"/>
      <c r="AS13" s="870"/>
      <c r="AT13" s="870"/>
      <c r="AU13" s="870"/>
      <c r="AV13" s="870"/>
      <c r="AW13" s="870"/>
      <c r="AX13" s="870"/>
      <c r="AY13" s="870"/>
      <c r="AZ13" s="870"/>
      <c r="BA13" s="870"/>
      <c r="BB13" s="870"/>
      <c r="BC13" s="870"/>
      <c r="BD13" s="870"/>
      <c r="BE13" s="870"/>
      <c r="BF13" s="870"/>
      <c r="BG13" s="870"/>
      <c r="BH13" s="870"/>
      <c r="BI13" s="870"/>
      <c r="BJ13" s="870"/>
      <c r="BK13" s="870"/>
      <c r="BL13" s="870"/>
      <c r="BM13" s="870"/>
      <c r="BN13" s="870"/>
      <c r="BO13" s="870"/>
      <c r="BP13" s="870"/>
      <c r="BQ13" s="870"/>
      <c r="BR13" s="870"/>
      <c r="BS13" s="870"/>
      <c r="BT13" s="870"/>
      <c r="BU13" s="870"/>
      <c r="BV13" s="870"/>
      <c r="BW13" s="870"/>
      <c r="BX13" s="870"/>
      <c r="BY13" s="870"/>
      <c r="BZ13" s="870"/>
      <c r="CA13" s="870"/>
      <c r="CB13" s="870"/>
      <c r="CC13" s="870"/>
      <c r="CD13" s="870"/>
      <c r="CE13" s="870"/>
      <c r="CF13" s="870"/>
      <c r="CG13" s="870"/>
      <c r="CH13" s="870"/>
      <c r="CI13" s="870"/>
      <c r="CJ13" s="870"/>
      <c r="CK13" s="870"/>
      <c r="CL13" s="870"/>
      <c r="CM13" s="870"/>
      <c r="CN13" s="870"/>
      <c r="CO13" s="870"/>
      <c r="CP13" s="870"/>
      <c r="CQ13" s="870"/>
      <c r="CR13" s="870"/>
      <c r="CS13" s="870"/>
      <c r="CT13" s="870"/>
      <c r="CU13" s="870"/>
      <c r="CV13" s="870"/>
      <c r="CW13" s="870"/>
      <c r="CX13" s="870"/>
      <c r="CY13" s="870"/>
      <c r="CZ13" s="870"/>
      <c r="DA13" s="870"/>
      <c r="DB13" s="870"/>
      <c r="DC13" s="870"/>
      <c r="DD13" s="870"/>
      <c r="DE13" s="870"/>
      <c r="DF13" s="870"/>
      <c r="DG13" s="870"/>
      <c r="DH13" s="870"/>
      <c r="DI13" s="870"/>
      <c r="DJ13" s="870"/>
      <c r="DK13" s="870"/>
      <c r="DL13" s="870"/>
      <c r="DM13" s="870"/>
      <c r="DN13" s="870"/>
      <c r="DO13" s="870"/>
      <c r="DP13" s="870"/>
      <c r="DQ13" s="870"/>
      <c r="DR13" s="870"/>
      <c r="DS13" s="870"/>
      <c r="DT13" s="870"/>
      <c r="DU13" s="870"/>
      <c r="DV13" s="870"/>
      <c r="DW13" s="870"/>
      <c r="DX13" s="870"/>
      <c r="DY13" s="870"/>
      <c r="DZ13" s="870"/>
      <c r="EA13" s="870"/>
      <c r="EB13" s="870"/>
      <c r="EC13" s="870"/>
      <c r="ED13" s="870"/>
      <c r="EE13" s="870"/>
      <c r="EF13" s="870"/>
      <c r="EG13" s="870"/>
      <c r="EH13" s="870"/>
      <c r="EI13" s="870"/>
      <c r="EJ13" s="870"/>
      <c r="EK13" s="870"/>
      <c r="EL13" s="870"/>
      <c r="EM13" s="870"/>
      <c r="EN13" s="870"/>
      <c r="EO13" s="870"/>
      <c r="EP13" s="870"/>
      <c r="EQ13" s="870"/>
      <c r="ER13" s="870"/>
      <c r="ES13" s="870"/>
      <c r="ET13" s="870"/>
      <c r="EU13" s="870"/>
      <c r="EV13" s="870"/>
      <c r="EW13" s="870"/>
      <c r="EX13" s="870"/>
      <c r="EY13" s="870"/>
      <c r="EZ13" s="870"/>
      <c r="FA13" s="870"/>
      <c r="FB13" s="870"/>
      <c r="FC13" s="870"/>
      <c r="FD13" s="870"/>
      <c r="FE13" s="870"/>
      <c r="FF13" s="870"/>
      <c r="FG13" s="870"/>
      <c r="FH13" s="870"/>
      <c r="FI13" s="870"/>
      <c r="FJ13" s="870"/>
      <c r="FK13" s="870"/>
      <c r="FL13" s="870"/>
      <c r="FM13" s="870"/>
      <c r="FN13" s="870"/>
      <c r="FO13" s="870"/>
      <c r="FP13" s="870"/>
      <c r="FQ13" s="870"/>
      <c r="FR13" s="870"/>
      <c r="FS13" s="870"/>
      <c r="FT13" s="870"/>
      <c r="FU13" s="870"/>
      <c r="FV13" s="870"/>
      <c r="FW13" s="870"/>
      <c r="FX13" s="870"/>
      <c r="FY13" s="870"/>
      <c r="FZ13" s="870"/>
      <c r="GA13" s="870"/>
      <c r="GB13" s="870"/>
      <c r="GC13" s="870"/>
      <c r="GD13" s="870"/>
      <c r="GE13" s="870"/>
      <c r="GF13" s="870"/>
      <c r="GG13" s="870"/>
      <c r="GH13" s="870"/>
      <c r="GI13" s="870"/>
      <c r="GJ13" s="870"/>
      <c r="GK13" s="870"/>
      <c r="GL13" s="870"/>
      <c r="GM13" s="870"/>
      <c r="GN13" s="870"/>
      <c r="GO13" s="870"/>
      <c r="GP13" s="870"/>
      <c r="GQ13" s="870"/>
      <c r="GR13" s="870"/>
      <c r="GS13" s="870"/>
      <c r="GT13" s="870"/>
      <c r="GU13" s="870"/>
      <c r="GV13" s="870"/>
      <c r="GW13" s="870"/>
      <c r="GX13" s="870"/>
      <c r="GY13" s="870"/>
      <c r="GZ13" s="870"/>
      <c r="HA13" s="870"/>
      <c r="HB13" s="870"/>
      <c r="HC13" s="870"/>
      <c r="HD13" s="870"/>
      <c r="HE13" s="870"/>
      <c r="HF13" s="870"/>
      <c r="HG13" s="870"/>
      <c r="HH13" s="870"/>
      <c r="HI13" s="870"/>
      <c r="HJ13" s="870"/>
      <c r="HK13" s="870"/>
      <c r="HL13" s="870"/>
      <c r="HM13" s="870"/>
      <c r="HN13" s="870"/>
      <c r="HO13" s="870"/>
      <c r="HP13" s="870"/>
      <c r="HQ13" s="870"/>
      <c r="HR13" s="870"/>
      <c r="HS13" s="870"/>
      <c r="HT13" s="870"/>
      <c r="HU13" s="870"/>
      <c r="HV13" s="870"/>
      <c r="HW13" s="870"/>
      <c r="HX13" s="870"/>
      <c r="HY13" s="870"/>
      <c r="HZ13" s="870"/>
      <c r="IA13" s="870"/>
      <c r="IB13" s="870"/>
      <c r="IC13" s="870"/>
      <c r="ID13" s="870"/>
      <c r="IE13" s="870"/>
      <c r="IF13" s="870"/>
      <c r="IG13" s="870"/>
      <c r="IH13" s="870"/>
      <c r="II13" s="870"/>
      <c r="IJ13" s="870"/>
      <c r="IK13" s="870"/>
      <c r="IL13" s="870"/>
      <c r="IM13" s="870"/>
      <c r="IN13" s="870"/>
      <c r="IO13" s="870"/>
      <c r="IP13" s="870"/>
      <c r="IQ13" s="870"/>
      <c r="IR13" s="870"/>
      <c r="IS13" s="870"/>
      <c r="IT13" s="870"/>
      <c r="IU13" s="870"/>
      <c r="IV13" s="870"/>
    </row>
    <row r="14" spans="1:256">
      <c r="A14" s="858" t="s">
        <v>508</v>
      </c>
      <c r="B14" s="872"/>
      <c r="C14" s="873" t="s">
        <v>465</v>
      </c>
      <c r="D14" s="858"/>
      <c r="E14" s="858"/>
      <c r="F14" s="858"/>
      <c r="G14" s="858"/>
      <c r="H14" s="858"/>
      <c r="I14" s="858"/>
      <c r="J14" s="858"/>
      <c r="K14" s="858"/>
      <c r="L14" s="858"/>
      <c r="M14" s="858"/>
      <c r="N14" s="858"/>
      <c r="O14" s="858"/>
      <c r="P14" s="858"/>
      <c r="Q14" s="858"/>
      <c r="R14" s="858"/>
      <c r="S14" s="858"/>
      <c r="T14" s="858"/>
      <c r="U14" s="858"/>
      <c r="V14" s="858"/>
      <c r="W14" s="858"/>
      <c r="X14" s="858"/>
      <c r="Y14" s="858"/>
      <c r="Z14" s="858"/>
      <c r="AA14" s="858"/>
      <c r="AB14" s="858"/>
      <c r="AC14" s="874" t="s">
        <v>510</v>
      </c>
      <c r="AD14" s="874" t="s">
        <v>509</v>
      </c>
      <c r="AE14" t="s">
        <v>511</v>
      </c>
      <c r="AF14" s="875"/>
      <c r="AG14" s="875"/>
      <c r="AH14" s="875"/>
      <c r="AI14" s="875"/>
      <c r="AJ14" s="875"/>
      <c r="AK14" s="875"/>
      <c r="AL14" s="875"/>
      <c r="AM14" s="875"/>
      <c r="AN14" s="875"/>
      <c r="AO14" s="875"/>
      <c r="AP14" s="875"/>
      <c r="AQ14" s="875"/>
      <c r="AR14" s="875"/>
      <c r="AS14" s="875"/>
      <c r="AT14" s="875"/>
      <c r="AU14" s="875"/>
      <c r="AV14" s="875"/>
      <c r="AW14" s="875"/>
      <c r="AX14" s="875"/>
      <c r="AY14" s="875"/>
      <c r="AZ14" s="875"/>
      <c r="BA14" s="875"/>
      <c r="BB14" s="875"/>
      <c r="BC14" s="875"/>
      <c r="BD14" s="875"/>
      <c r="BE14" s="875"/>
      <c r="BF14" s="875"/>
      <c r="BG14" s="875"/>
      <c r="BH14" s="875"/>
      <c r="BI14" s="875"/>
      <c r="BJ14" s="875"/>
      <c r="BK14" s="875"/>
      <c r="BL14" s="875"/>
      <c r="BM14" s="875"/>
      <c r="BN14" s="875"/>
      <c r="BO14" s="875"/>
      <c r="BP14" s="875"/>
      <c r="BQ14" s="875"/>
      <c r="BR14" s="875"/>
      <c r="BS14" s="875"/>
      <c r="BT14" s="875"/>
      <c r="BU14" s="875"/>
      <c r="BV14" s="875"/>
      <c r="BW14" s="875"/>
      <c r="BX14" s="875"/>
      <c r="BY14" s="875"/>
      <c r="BZ14" s="875"/>
      <c r="CA14" s="875"/>
      <c r="CB14" s="875"/>
      <c r="CC14" s="875"/>
      <c r="CD14" s="875"/>
      <c r="CE14" s="875"/>
      <c r="CF14" s="875"/>
      <c r="CG14" s="875"/>
      <c r="CH14" s="875"/>
      <c r="CI14" s="875"/>
      <c r="CJ14" s="875"/>
      <c r="CK14" s="875"/>
      <c r="CL14" s="875"/>
      <c r="CM14" s="875"/>
      <c r="CN14" s="875"/>
      <c r="CO14" s="875"/>
      <c r="CP14" s="875"/>
      <c r="CQ14" s="875"/>
      <c r="CR14" s="875"/>
      <c r="CS14" s="875"/>
      <c r="CT14" s="875"/>
      <c r="CU14" s="875"/>
      <c r="CV14" s="875"/>
      <c r="CW14" s="875"/>
      <c r="CX14" s="875"/>
      <c r="CY14" s="875"/>
      <c r="CZ14" s="875"/>
      <c r="DA14" s="875"/>
      <c r="DB14" s="875"/>
      <c r="DC14" s="875"/>
      <c r="DD14" s="875"/>
      <c r="DE14" s="875"/>
      <c r="DF14" s="875"/>
      <c r="DG14" s="875"/>
      <c r="DH14" s="875"/>
      <c r="DI14" s="875"/>
      <c r="DJ14" s="875"/>
      <c r="DK14" s="875"/>
      <c r="DL14" s="875"/>
      <c r="DM14" s="875"/>
      <c r="DN14" s="875"/>
      <c r="DO14" s="875"/>
      <c r="DP14" s="875"/>
      <c r="DQ14" s="875"/>
      <c r="DR14" s="875"/>
      <c r="DS14" s="875"/>
      <c r="DT14" s="875"/>
      <c r="DU14" s="875"/>
      <c r="DV14" s="875"/>
      <c r="DW14" s="875"/>
      <c r="DX14" s="875"/>
      <c r="DY14" s="875"/>
      <c r="DZ14" s="875"/>
      <c r="EA14" s="875"/>
      <c r="EB14" s="875"/>
      <c r="EC14" s="875"/>
      <c r="ED14" s="875"/>
      <c r="EE14" s="875"/>
      <c r="EF14" s="875"/>
      <c r="EG14" s="875"/>
      <c r="EH14" s="875"/>
      <c r="EI14" s="875"/>
      <c r="EJ14" s="875"/>
      <c r="EK14" s="875"/>
      <c r="EL14" s="875"/>
      <c r="EM14" s="875"/>
      <c r="EN14" s="875"/>
      <c r="EO14" s="875"/>
      <c r="EP14" s="875"/>
      <c r="EQ14" s="875"/>
      <c r="ER14" s="875"/>
      <c r="ES14" s="875"/>
      <c r="ET14" s="875"/>
      <c r="EU14" s="875"/>
      <c r="EV14" s="875"/>
      <c r="EW14" s="875"/>
      <c r="EX14" s="875"/>
      <c r="EY14" s="875"/>
      <c r="EZ14" s="875"/>
      <c r="FA14" s="875"/>
      <c r="FB14" s="875"/>
      <c r="FC14" s="875"/>
      <c r="FD14" s="875"/>
      <c r="FE14" s="875"/>
      <c r="FF14" s="875"/>
      <c r="FG14" s="875"/>
      <c r="FH14" s="875"/>
      <c r="FI14" s="875"/>
      <c r="FJ14" s="875"/>
      <c r="FK14" s="875"/>
      <c r="FL14" s="875"/>
      <c r="FM14" s="875"/>
      <c r="FN14" s="875"/>
      <c r="FO14" s="875"/>
      <c r="FP14" s="875"/>
      <c r="FQ14" s="875"/>
      <c r="FR14" s="875"/>
      <c r="FS14" s="875"/>
      <c r="FT14" s="875"/>
      <c r="FU14" s="875"/>
      <c r="FV14" s="875"/>
      <c r="FW14" s="875"/>
      <c r="FX14" s="875"/>
      <c r="FY14" s="875"/>
      <c r="FZ14" s="875"/>
      <c r="GA14" s="875"/>
      <c r="GB14" s="875"/>
      <c r="GC14" s="875"/>
      <c r="GD14" s="875"/>
      <c r="GE14" s="875"/>
      <c r="GF14" s="875"/>
      <c r="GG14" s="875"/>
      <c r="GH14" s="875"/>
      <c r="GI14" s="875"/>
      <c r="GJ14" s="875"/>
      <c r="GK14" s="875"/>
      <c r="GL14" s="875"/>
      <c r="GM14" s="875"/>
      <c r="GN14" s="875"/>
      <c r="GO14" s="875"/>
      <c r="GP14" s="875"/>
      <c r="GQ14" s="875"/>
      <c r="GR14" s="875"/>
      <c r="GS14" s="875"/>
      <c r="GT14" s="875"/>
      <c r="GU14" s="875"/>
      <c r="GV14" s="875"/>
      <c r="GW14" s="875"/>
      <c r="GX14" s="875"/>
      <c r="GY14" s="875"/>
      <c r="GZ14" s="875"/>
      <c r="HA14" s="875"/>
      <c r="HB14" s="875"/>
      <c r="HC14" s="875"/>
      <c r="HD14" s="875"/>
      <c r="HE14" s="875"/>
      <c r="HF14" s="875"/>
      <c r="HG14" s="875"/>
      <c r="HH14" s="875"/>
      <c r="HI14" s="875"/>
      <c r="HJ14" s="875"/>
      <c r="HK14" s="875"/>
      <c r="HL14" s="875"/>
      <c r="HM14" s="875"/>
      <c r="HN14" s="875"/>
      <c r="HO14" s="875"/>
      <c r="HP14" s="875"/>
      <c r="HQ14" s="875"/>
      <c r="HR14" s="875"/>
      <c r="HS14" s="875"/>
      <c r="HT14" s="875"/>
      <c r="HU14" s="875"/>
      <c r="HV14" s="875"/>
      <c r="HW14" s="875"/>
      <c r="HX14" s="875"/>
      <c r="HY14" s="875"/>
      <c r="HZ14" s="875"/>
      <c r="IA14" s="875"/>
      <c r="IB14" s="875"/>
      <c r="IC14" s="875"/>
      <c r="ID14" s="875"/>
      <c r="IE14" s="875"/>
      <c r="IF14" s="875"/>
      <c r="IG14" s="875"/>
      <c r="IH14" s="875"/>
      <c r="II14" s="875"/>
      <c r="IJ14" s="875"/>
      <c r="IK14" s="875"/>
      <c r="IL14" s="875"/>
      <c r="IM14" s="875"/>
      <c r="IN14" s="875"/>
      <c r="IO14" s="875"/>
      <c r="IP14" s="875"/>
      <c r="IQ14" s="875"/>
      <c r="IR14" s="875"/>
      <c r="IS14" s="875"/>
      <c r="IT14" s="875"/>
      <c r="IU14" s="875"/>
      <c r="IV14" s="875"/>
    </row>
    <row r="15" spans="1:256">
      <c r="A15" s="875"/>
      <c r="B15" s="876"/>
      <c r="C15" s="877"/>
      <c r="D15" s="858"/>
      <c r="E15" s="858"/>
      <c r="F15" s="858"/>
      <c r="G15" s="858"/>
      <c r="H15" s="858"/>
      <c r="I15" s="858"/>
      <c r="J15" s="858"/>
      <c r="K15" s="858"/>
      <c r="L15" s="858"/>
      <c r="M15" s="858"/>
      <c r="N15" s="858"/>
      <c r="O15" s="858"/>
      <c r="P15" s="858"/>
      <c r="Q15" s="858"/>
      <c r="R15" s="858"/>
      <c r="S15" s="858"/>
      <c r="T15" s="858"/>
      <c r="U15" s="858"/>
      <c r="V15" s="858"/>
      <c r="W15" s="858"/>
      <c r="X15" s="858"/>
      <c r="Y15" s="858"/>
      <c r="Z15" s="858"/>
      <c r="AA15" s="858"/>
      <c r="AB15" s="858"/>
      <c r="AC15" s="874" t="s">
        <v>509</v>
      </c>
      <c r="AD15" s="874" t="s">
        <v>510</v>
      </c>
      <c r="AE15" t="s">
        <v>512</v>
      </c>
      <c r="AF15" s="870"/>
      <c r="AG15" s="870"/>
      <c r="AH15" s="870"/>
      <c r="AI15" s="870"/>
      <c r="AJ15" s="870"/>
      <c r="AK15" s="870"/>
      <c r="AL15" s="870"/>
      <c r="AM15" s="870"/>
      <c r="AN15" s="870"/>
      <c r="AO15" s="870"/>
      <c r="AP15" s="870"/>
      <c r="AQ15" s="870"/>
      <c r="AR15" s="870"/>
      <c r="AS15" s="870"/>
      <c r="AT15" s="870"/>
      <c r="AU15" s="870"/>
      <c r="AV15" s="870"/>
      <c r="AW15" s="870"/>
      <c r="AX15" s="870"/>
      <c r="AY15" s="870"/>
      <c r="AZ15" s="870"/>
      <c r="BA15" s="870"/>
      <c r="BB15" s="870"/>
      <c r="BC15" s="870"/>
      <c r="BD15" s="870"/>
      <c r="BE15" s="870"/>
      <c r="BF15" s="870"/>
      <c r="BG15" s="870"/>
      <c r="BH15" s="870"/>
      <c r="BI15" s="870"/>
      <c r="BJ15" s="870"/>
      <c r="BK15" s="870"/>
      <c r="BL15" s="870"/>
      <c r="BM15" s="870"/>
      <c r="BN15" s="870"/>
      <c r="BO15" s="870"/>
      <c r="BP15" s="870"/>
      <c r="BQ15" s="870"/>
      <c r="BR15" s="870"/>
      <c r="BS15" s="870"/>
      <c r="BT15" s="870"/>
      <c r="BU15" s="870"/>
      <c r="BV15" s="870"/>
      <c r="BW15" s="870"/>
      <c r="BX15" s="870"/>
      <c r="BY15" s="870"/>
      <c r="BZ15" s="870"/>
      <c r="CA15" s="870"/>
      <c r="CB15" s="870"/>
      <c r="CC15" s="870"/>
      <c r="CD15" s="870"/>
      <c r="CE15" s="870"/>
      <c r="CF15" s="870"/>
      <c r="CG15" s="870"/>
      <c r="CH15" s="870"/>
      <c r="CI15" s="870"/>
      <c r="CJ15" s="870"/>
      <c r="CK15" s="870"/>
      <c r="CL15" s="870"/>
      <c r="CM15" s="870"/>
      <c r="CN15" s="870"/>
      <c r="CO15" s="870"/>
      <c r="CP15" s="870"/>
      <c r="CQ15" s="870"/>
      <c r="CR15" s="870"/>
      <c r="CS15" s="870"/>
      <c r="CT15" s="870"/>
      <c r="CU15" s="870"/>
      <c r="CV15" s="870"/>
      <c r="CW15" s="870"/>
      <c r="CX15" s="870"/>
      <c r="CY15" s="870"/>
      <c r="CZ15" s="870"/>
      <c r="DA15" s="870"/>
      <c r="DB15" s="870"/>
      <c r="DC15" s="870"/>
      <c r="DD15" s="870"/>
      <c r="DE15" s="870"/>
      <c r="DF15" s="870"/>
      <c r="DG15" s="870"/>
      <c r="DH15" s="870"/>
      <c r="DI15" s="870"/>
      <c r="DJ15" s="870"/>
      <c r="DK15" s="870"/>
      <c r="DL15" s="870"/>
      <c r="DM15" s="870"/>
      <c r="DN15" s="870"/>
      <c r="DO15" s="870"/>
      <c r="DP15" s="870"/>
      <c r="DQ15" s="870"/>
      <c r="DR15" s="870"/>
      <c r="DS15" s="870"/>
      <c r="DT15" s="870"/>
      <c r="DU15" s="870"/>
      <c r="DV15" s="870"/>
      <c r="DW15" s="870"/>
      <c r="DX15" s="870"/>
      <c r="DY15" s="870"/>
      <c r="DZ15" s="870"/>
      <c r="EA15" s="870"/>
      <c r="EB15" s="870"/>
      <c r="EC15" s="870"/>
      <c r="ED15" s="870"/>
      <c r="EE15" s="870"/>
      <c r="EF15" s="870"/>
      <c r="EG15" s="870"/>
      <c r="EH15" s="870"/>
      <c r="EI15" s="870"/>
      <c r="EJ15" s="870"/>
      <c r="EK15" s="870"/>
      <c r="EL15" s="870"/>
      <c r="EM15" s="870"/>
      <c r="EN15" s="870"/>
      <c r="EO15" s="870"/>
      <c r="EP15" s="870"/>
      <c r="EQ15" s="870"/>
      <c r="ER15" s="870"/>
      <c r="ES15" s="870"/>
      <c r="ET15" s="870"/>
      <c r="EU15" s="870"/>
      <c r="EV15" s="870"/>
      <c r="EW15" s="870"/>
      <c r="EX15" s="870"/>
      <c r="EY15" s="870"/>
      <c r="EZ15" s="870"/>
      <c r="FA15" s="870"/>
      <c r="FB15" s="870"/>
      <c r="FC15" s="870"/>
      <c r="FD15" s="870"/>
      <c r="FE15" s="870"/>
      <c r="FF15" s="870"/>
      <c r="FG15" s="870"/>
      <c r="FH15" s="870"/>
      <c r="FI15" s="870"/>
      <c r="FJ15" s="870"/>
      <c r="FK15" s="870"/>
      <c r="FL15" s="870"/>
      <c r="FM15" s="870"/>
      <c r="FN15" s="870"/>
      <c r="FO15" s="870"/>
      <c r="FP15" s="870"/>
      <c r="FQ15" s="870"/>
      <c r="FR15" s="870"/>
      <c r="FS15" s="870"/>
      <c r="FT15" s="870"/>
      <c r="FU15" s="870"/>
      <c r="FV15" s="870"/>
      <c r="FW15" s="870"/>
      <c r="FX15" s="870"/>
      <c r="FY15" s="870"/>
      <c r="FZ15" s="870"/>
      <c r="GA15" s="870"/>
      <c r="GB15" s="870"/>
      <c r="GC15" s="870"/>
      <c r="GD15" s="870"/>
      <c r="GE15" s="870"/>
      <c r="GF15" s="870"/>
      <c r="GG15" s="870"/>
      <c r="GH15" s="870"/>
      <c r="GI15" s="870"/>
      <c r="GJ15" s="870"/>
      <c r="GK15" s="870"/>
      <c r="GL15" s="870"/>
      <c r="GM15" s="870"/>
      <c r="GN15" s="870"/>
      <c r="GO15" s="870"/>
      <c r="GP15" s="870"/>
      <c r="GQ15" s="870"/>
      <c r="GR15" s="870"/>
      <c r="GS15" s="870"/>
      <c r="GT15" s="870"/>
      <c r="GU15" s="870"/>
      <c r="GV15" s="870"/>
      <c r="GW15" s="870"/>
      <c r="GX15" s="870"/>
      <c r="GY15" s="870"/>
      <c r="GZ15" s="870"/>
      <c r="HA15" s="870"/>
      <c r="HB15" s="870"/>
      <c r="HC15" s="870"/>
      <c r="HD15" s="870"/>
      <c r="HE15" s="870"/>
      <c r="HF15" s="870"/>
      <c r="HG15" s="870"/>
      <c r="HH15" s="870"/>
      <c r="HI15" s="870"/>
      <c r="HJ15" s="870"/>
      <c r="HK15" s="870"/>
      <c r="HL15" s="870"/>
      <c r="HM15" s="870"/>
      <c r="HN15" s="870"/>
      <c r="HO15" s="870"/>
      <c r="HP15" s="870"/>
      <c r="HQ15" s="870"/>
      <c r="HR15" s="870"/>
      <c r="HS15" s="870"/>
      <c r="HT15" s="870"/>
      <c r="HU15" s="870"/>
      <c r="HV15" s="870"/>
      <c r="HW15" s="870"/>
      <c r="HX15" s="870"/>
      <c r="HY15" s="870"/>
      <c r="HZ15" s="870"/>
      <c r="IA15" s="870"/>
      <c r="IB15" s="870"/>
      <c r="IC15" s="870"/>
      <c r="ID15" s="870"/>
      <c r="IE15" s="870"/>
      <c r="IF15" s="870"/>
      <c r="IG15" s="870"/>
      <c r="IH15" s="870"/>
      <c r="II15" s="870"/>
      <c r="IJ15" s="870"/>
      <c r="IK15" s="870"/>
      <c r="IL15" s="870"/>
      <c r="IM15" s="870"/>
      <c r="IN15" s="870"/>
      <c r="IO15" s="870"/>
      <c r="IP15" s="870"/>
      <c r="IQ15" s="870"/>
      <c r="IR15" s="870"/>
      <c r="IS15" s="870"/>
      <c r="IT15" s="870"/>
      <c r="IU15" s="870"/>
      <c r="IV15" s="870"/>
    </row>
    <row r="16" spans="1:256">
      <c r="B16" s="878"/>
      <c r="D16" s="880">
        <f>$B$17-1</f>
        <v>2023</v>
      </c>
      <c r="E16" s="880">
        <f>$B$17-1</f>
        <v>2023</v>
      </c>
      <c r="F16" s="880">
        <f>$B$17-1</f>
        <v>2023</v>
      </c>
      <c r="G16" s="880">
        <f>$B$17-1</f>
        <v>2023</v>
      </c>
      <c r="H16" s="880">
        <f>$B$17-1</f>
        <v>2023</v>
      </c>
      <c r="I16" s="881">
        <f>$B$17</f>
        <v>2024</v>
      </c>
      <c r="J16" s="880">
        <f>$B$17</f>
        <v>2024</v>
      </c>
      <c r="K16" s="880">
        <f>$B$17</f>
        <v>2024</v>
      </c>
      <c r="L16" s="880">
        <f>$B$17</f>
        <v>2024</v>
      </c>
      <c r="M16" s="880">
        <f>$B$17</f>
        <v>2024</v>
      </c>
      <c r="N16" s="881">
        <f>$B$17+1</f>
        <v>2025</v>
      </c>
      <c r="O16" s="880">
        <f>$B$17+1</f>
        <v>2025</v>
      </c>
      <c r="P16" s="880">
        <f>$B$17+1</f>
        <v>2025</v>
      </c>
      <c r="Q16" s="880">
        <f>$B$17+1</f>
        <v>2025</v>
      </c>
      <c r="R16" s="880">
        <f>$B$17+1</f>
        <v>2025</v>
      </c>
      <c r="S16" s="881">
        <f>$B$17+2</f>
        <v>2026</v>
      </c>
      <c r="T16" s="880">
        <f>$B$17+2</f>
        <v>2026</v>
      </c>
      <c r="U16" s="880">
        <f>$B$17+2</f>
        <v>2026</v>
      </c>
      <c r="V16" s="880">
        <f>$B$17+2</f>
        <v>2026</v>
      </c>
      <c r="W16" s="880">
        <f>$B$17+2</f>
        <v>2026</v>
      </c>
      <c r="X16" s="881">
        <v>2027</v>
      </c>
      <c r="Y16" s="880">
        <v>2027</v>
      </c>
      <c r="Z16" s="880">
        <v>2027</v>
      </c>
      <c r="AA16" s="880">
        <v>2027</v>
      </c>
      <c r="AB16" s="880">
        <v>2027</v>
      </c>
      <c r="AE16" t="s">
        <v>513</v>
      </c>
    </row>
    <row r="17" spans="1:256" ht="30.75">
      <c r="A17" s="882" t="s">
        <v>514</v>
      </c>
      <c r="B17" s="883">
        <v>2024</v>
      </c>
      <c r="D17" s="884" t="s">
        <v>510</v>
      </c>
      <c r="E17" s="884" t="s">
        <v>510</v>
      </c>
      <c r="F17" s="884" t="s">
        <v>510</v>
      </c>
      <c r="G17" s="884" t="s">
        <v>510</v>
      </c>
      <c r="H17" s="884" t="s">
        <v>510</v>
      </c>
      <c r="I17" s="885" t="s">
        <v>510</v>
      </c>
      <c r="J17" s="885" t="s">
        <v>510</v>
      </c>
      <c r="K17" s="885" t="s">
        <v>510</v>
      </c>
      <c r="L17" s="885" t="s">
        <v>510</v>
      </c>
      <c r="M17" s="884" t="s">
        <v>510</v>
      </c>
      <c r="N17" s="885" t="s">
        <v>510</v>
      </c>
      <c r="O17" s="884" t="s">
        <v>510</v>
      </c>
      <c r="P17" s="884" t="s">
        <v>510</v>
      </c>
      <c r="Q17" s="884" t="s">
        <v>510</v>
      </c>
      <c r="R17" s="884" t="s">
        <v>510</v>
      </c>
      <c r="S17" s="885" t="s">
        <v>510</v>
      </c>
      <c r="T17" s="884" t="s">
        <v>510</v>
      </c>
      <c r="U17" s="884" t="s">
        <v>510</v>
      </c>
      <c r="V17" s="884" t="s">
        <v>509</v>
      </c>
      <c r="W17" s="884" t="s">
        <v>509</v>
      </c>
      <c r="X17" s="885" t="s">
        <v>509</v>
      </c>
      <c r="Y17" s="884" t="s">
        <v>509</v>
      </c>
      <c r="Z17" s="884" t="s">
        <v>509</v>
      </c>
      <c r="AA17" s="884" t="s">
        <v>509</v>
      </c>
      <c r="AB17" s="884" t="s">
        <v>509</v>
      </c>
      <c r="AE17" t="s">
        <v>515</v>
      </c>
    </row>
    <row r="18" spans="1:256" ht="30.75">
      <c r="A18" s="882" t="s">
        <v>516</v>
      </c>
      <c r="B18" s="886" t="s">
        <v>517</v>
      </c>
      <c r="D18" s="887" t="str">
        <f>D16&amp;D19</f>
        <v>2023Q1</v>
      </c>
      <c r="E18" s="887" t="str">
        <f>E16&amp;E19</f>
        <v>2023Q2</v>
      </c>
      <c r="F18" s="887" t="str">
        <f>F16&amp;F19</f>
        <v>2023Q3</v>
      </c>
      <c r="G18" s="887" t="str">
        <f>G16&amp;G19</f>
        <v>2023Q4</v>
      </c>
      <c r="H18" s="887">
        <f>H16</f>
        <v>2023</v>
      </c>
      <c r="I18" s="888" t="str">
        <f>I16&amp;I19&amp;I17</f>
        <v>2024Q1A</v>
      </c>
      <c r="J18" s="887" t="str">
        <f>J16&amp;J19&amp;J17</f>
        <v>2024Q2A</v>
      </c>
      <c r="K18" s="887" t="str">
        <f>K16&amp;K19&amp;K17</f>
        <v>2024Q3A</v>
      </c>
      <c r="L18" s="887" t="str">
        <f>L16&amp;L19&amp;L17</f>
        <v>2024Q4A</v>
      </c>
      <c r="M18" s="887" t="str">
        <f>M16&amp;M17</f>
        <v>2024A</v>
      </c>
      <c r="N18" s="888" t="str">
        <f>N16&amp;N19&amp;N17</f>
        <v>2025Q1A</v>
      </c>
      <c r="O18" s="887" t="str">
        <f>O16&amp;O19&amp;O17</f>
        <v>2025Q2A</v>
      </c>
      <c r="P18" s="887" t="str">
        <f>P16&amp;P19&amp;P17</f>
        <v>2025Q3A</v>
      </c>
      <c r="Q18" s="887" t="str">
        <f>Q16&amp;Q19&amp;Q17</f>
        <v>2025Q4A</v>
      </c>
      <c r="R18" s="887" t="str">
        <f>R16&amp;R17</f>
        <v>2025A</v>
      </c>
      <c r="S18" s="888" t="str">
        <f>S16&amp;S19&amp;S17</f>
        <v>2026Q1A</v>
      </c>
      <c r="T18" s="887" t="str">
        <f>T16&amp;T19&amp;T17</f>
        <v>2026Q2A</v>
      </c>
      <c r="U18" s="887" t="str">
        <f>U16&amp;U19&amp;U17</f>
        <v>2026Q3A</v>
      </c>
      <c r="V18" s="887" t="str">
        <f>V16&amp;V19&amp;V17</f>
        <v>2026Q4E</v>
      </c>
      <c r="W18" s="887" t="str">
        <f>W16&amp;W17</f>
        <v>2026E</v>
      </c>
      <c r="X18" s="888" t="str">
        <f>X16&amp;X19&amp;X17</f>
        <v>2027Q1E</v>
      </c>
      <c r="Y18" s="887" t="str">
        <f>Y16&amp;Y19&amp;Y17</f>
        <v>2027Q2E</v>
      </c>
      <c r="Z18" s="887" t="str">
        <f>Z16&amp;Z19&amp;Z17</f>
        <v>2027Q3E</v>
      </c>
      <c r="AA18" s="887" t="str">
        <f>AA16&amp;AA19&amp;AA17</f>
        <v>2027Q4E</v>
      </c>
      <c r="AB18" s="887" t="str">
        <f>AB16&amp;AB17</f>
        <v>2027E</v>
      </c>
      <c r="AC18" s="889"/>
      <c r="AD18" s="889"/>
      <c r="AE18" t="s">
        <v>518</v>
      </c>
      <c r="AF18" s="889"/>
      <c r="AG18" s="889"/>
      <c r="AH18" s="889"/>
      <c r="AI18" s="889"/>
      <c r="AJ18" s="889"/>
      <c r="AK18" s="889"/>
      <c r="AL18" s="889"/>
      <c r="AM18" s="889"/>
      <c r="AN18" s="889"/>
      <c r="AO18" s="889"/>
      <c r="AP18" s="889"/>
      <c r="AQ18" s="889"/>
      <c r="AR18" s="889"/>
      <c r="AS18" s="889"/>
      <c r="AT18" s="889"/>
      <c r="AU18" s="889"/>
      <c r="AV18" s="889"/>
      <c r="AW18" s="889"/>
      <c r="AX18" s="889"/>
      <c r="AY18" s="889"/>
      <c r="AZ18" s="889"/>
      <c r="BA18" s="889"/>
      <c r="BB18" s="889"/>
      <c r="BC18" s="889"/>
      <c r="BD18" s="889"/>
      <c r="BE18" s="889"/>
      <c r="BF18" s="889"/>
      <c r="BG18" s="889"/>
      <c r="BH18" s="889"/>
      <c r="BI18" s="889"/>
      <c r="BJ18" s="889"/>
      <c r="BK18" s="889"/>
      <c r="BL18" s="889"/>
      <c r="BM18" s="889"/>
      <c r="BN18" s="889"/>
      <c r="BO18" s="889"/>
      <c r="BP18" s="889"/>
      <c r="BQ18" s="889"/>
      <c r="BR18" s="889"/>
      <c r="BS18" s="889"/>
      <c r="BT18" s="889"/>
      <c r="BU18" s="889"/>
      <c r="BV18" s="889"/>
      <c r="BW18" s="889"/>
      <c r="BX18" s="889"/>
      <c r="BY18" s="889"/>
      <c r="BZ18" s="889"/>
      <c r="CA18" s="889"/>
      <c r="CB18" s="889"/>
      <c r="CC18" s="889"/>
      <c r="CD18" s="889"/>
      <c r="CE18" s="889"/>
      <c r="CF18" s="889"/>
      <c r="CG18" s="889"/>
      <c r="CH18" s="889"/>
      <c r="CI18" s="889"/>
      <c r="CJ18" s="889"/>
      <c r="CK18" s="889"/>
      <c r="CL18" s="889"/>
      <c r="CM18" s="889"/>
      <c r="CN18" s="889"/>
      <c r="CO18" s="889"/>
      <c r="CP18" s="889"/>
      <c r="CQ18" s="889"/>
      <c r="CR18" s="889"/>
      <c r="CS18" s="889"/>
      <c r="CT18" s="889"/>
      <c r="CU18" s="889"/>
      <c r="CV18" s="889"/>
      <c r="CW18" s="889"/>
      <c r="CX18" s="889"/>
      <c r="CY18" s="889"/>
      <c r="CZ18" s="889"/>
      <c r="DA18" s="889"/>
      <c r="DB18" s="889"/>
      <c r="DC18" s="889"/>
      <c r="DD18" s="889"/>
      <c r="DE18" s="889"/>
      <c r="DF18" s="889"/>
      <c r="DG18" s="889"/>
      <c r="DH18" s="889"/>
      <c r="DI18" s="889"/>
      <c r="DJ18" s="889"/>
      <c r="DK18" s="889"/>
      <c r="DL18" s="889"/>
      <c r="DM18" s="889"/>
      <c r="DN18" s="889"/>
      <c r="DO18" s="889"/>
      <c r="DP18" s="889"/>
      <c r="DQ18" s="889"/>
      <c r="DR18" s="889"/>
      <c r="DS18" s="889"/>
      <c r="DT18" s="889"/>
      <c r="DU18" s="889"/>
      <c r="DV18" s="889"/>
      <c r="DW18" s="889"/>
      <c r="DX18" s="889"/>
      <c r="DY18" s="889"/>
      <c r="DZ18" s="889"/>
      <c r="EA18" s="889"/>
      <c r="EB18" s="889"/>
      <c r="EC18" s="889"/>
      <c r="ED18" s="889"/>
      <c r="EE18" s="889"/>
      <c r="EF18" s="889"/>
      <c r="EG18" s="889"/>
      <c r="EH18" s="889"/>
      <c r="EI18" s="889"/>
      <c r="EJ18" s="889"/>
      <c r="EK18" s="889"/>
      <c r="EL18" s="889"/>
      <c r="EM18" s="889"/>
      <c r="EN18" s="889"/>
      <c r="EO18" s="889"/>
      <c r="EP18" s="889"/>
      <c r="EQ18" s="889"/>
      <c r="ER18" s="889"/>
      <c r="ES18" s="889"/>
      <c r="ET18" s="889"/>
      <c r="EU18" s="889"/>
      <c r="EV18" s="889"/>
      <c r="EW18" s="889"/>
      <c r="EX18" s="889"/>
      <c r="EY18" s="889"/>
      <c r="EZ18" s="889"/>
      <c r="FA18" s="889"/>
      <c r="FB18" s="889"/>
      <c r="FC18" s="889"/>
      <c r="FD18" s="889"/>
      <c r="FE18" s="889"/>
      <c r="FF18" s="889"/>
      <c r="FG18" s="889"/>
      <c r="FH18" s="889"/>
      <c r="FI18" s="889"/>
      <c r="FJ18" s="889"/>
      <c r="FK18" s="889"/>
      <c r="FL18" s="889"/>
      <c r="FM18" s="889"/>
      <c r="FN18" s="889"/>
      <c r="FO18" s="889"/>
      <c r="FP18" s="889"/>
      <c r="FQ18" s="889"/>
      <c r="FR18" s="889"/>
      <c r="FS18" s="889"/>
      <c r="FT18" s="889"/>
      <c r="FU18" s="889"/>
      <c r="FV18" s="889"/>
      <c r="FW18" s="889"/>
      <c r="FX18" s="889"/>
      <c r="FY18" s="889"/>
      <c r="FZ18" s="889"/>
      <c r="GA18" s="889"/>
      <c r="GB18" s="889"/>
      <c r="GC18" s="889"/>
      <c r="GD18" s="889"/>
      <c r="GE18" s="889"/>
      <c r="GF18" s="889"/>
      <c r="GG18" s="889"/>
      <c r="GH18" s="889"/>
      <c r="GI18" s="889"/>
      <c r="GJ18" s="889"/>
      <c r="GK18" s="889"/>
      <c r="GL18" s="889"/>
      <c r="GM18" s="889"/>
      <c r="GN18" s="889"/>
      <c r="GO18" s="889"/>
      <c r="GP18" s="889"/>
      <c r="GQ18" s="889"/>
      <c r="GR18" s="889"/>
      <c r="GS18" s="889"/>
      <c r="GT18" s="889"/>
      <c r="GU18" s="889"/>
      <c r="GV18" s="889"/>
      <c r="GW18" s="889"/>
      <c r="GX18" s="889"/>
      <c r="GY18" s="889"/>
      <c r="GZ18" s="889"/>
      <c r="HA18" s="889"/>
      <c r="HB18" s="889"/>
      <c r="HC18" s="889"/>
      <c r="HD18" s="889"/>
      <c r="HE18" s="889"/>
      <c r="HF18" s="889"/>
      <c r="HG18" s="889"/>
      <c r="HH18" s="889"/>
      <c r="HI18" s="889"/>
      <c r="HJ18" s="889"/>
      <c r="HK18" s="889"/>
      <c r="HL18" s="889"/>
      <c r="HM18" s="889"/>
      <c r="HN18" s="889"/>
      <c r="HO18" s="889"/>
      <c r="HP18" s="889"/>
      <c r="HQ18" s="889"/>
      <c r="HR18" s="889"/>
      <c r="HS18" s="889"/>
      <c r="HT18" s="889"/>
      <c r="HU18" s="889"/>
      <c r="HV18" s="889"/>
      <c r="HW18" s="889"/>
      <c r="HX18" s="889"/>
      <c r="HY18" s="889"/>
      <c r="HZ18" s="889"/>
      <c r="IA18" s="889"/>
      <c r="IB18" s="889"/>
      <c r="IC18" s="889"/>
      <c r="ID18" s="889"/>
      <c r="IE18" s="889"/>
      <c r="IF18" s="889"/>
      <c r="IG18" s="889"/>
      <c r="IH18" s="889"/>
      <c r="II18" s="889"/>
      <c r="IJ18" s="889"/>
      <c r="IK18" s="889"/>
      <c r="IL18" s="889"/>
      <c r="IM18" s="889"/>
      <c r="IN18" s="889"/>
      <c r="IO18" s="889"/>
      <c r="IP18" s="889"/>
      <c r="IQ18" s="889"/>
      <c r="IR18" s="889"/>
      <c r="IS18" s="889"/>
      <c r="IT18" s="889"/>
      <c r="IU18" s="889"/>
      <c r="IV18" s="889"/>
    </row>
    <row r="19" spans="1:256">
      <c r="A19" s="890"/>
      <c r="B19" s="891"/>
      <c r="C19" s="892"/>
      <c r="D19" s="893" t="s">
        <v>517</v>
      </c>
      <c r="E19" s="893" t="s">
        <v>519</v>
      </c>
      <c r="F19" s="893" t="s">
        <v>520</v>
      </c>
      <c r="G19" s="893" t="s">
        <v>521</v>
      </c>
      <c r="H19" s="893" t="s">
        <v>522</v>
      </c>
      <c r="I19" s="894" t="s">
        <v>517</v>
      </c>
      <c r="J19" s="893" t="s">
        <v>519</v>
      </c>
      <c r="K19" s="893" t="s">
        <v>520</v>
      </c>
      <c r="L19" s="893" t="s">
        <v>521</v>
      </c>
      <c r="M19" s="893" t="s">
        <v>522</v>
      </c>
      <c r="N19" s="894" t="s">
        <v>517</v>
      </c>
      <c r="O19" s="893" t="s">
        <v>519</v>
      </c>
      <c r="P19" s="893" t="s">
        <v>520</v>
      </c>
      <c r="Q19" s="893" t="s">
        <v>521</v>
      </c>
      <c r="R19" s="893" t="s">
        <v>522</v>
      </c>
      <c r="S19" s="894" t="s">
        <v>517</v>
      </c>
      <c r="T19" s="893" t="s">
        <v>519</v>
      </c>
      <c r="U19" s="893" t="s">
        <v>520</v>
      </c>
      <c r="V19" s="893" t="s">
        <v>521</v>
      </c>
      <c r="W19" s="893" t="s">
        <v>522</v>
      </c>
      <c r="X19" s="894" t="s">
        <v>517</v>
      </c>
      <c r="Y19" s="893" t="s">
        <v>519</v>
      </c>
      <c r="Z19" s="893" t="s">
        <v>520</v>
      </c>
      <c r="AA19" s="893" t="s">
        <v>521</v>
      </c>
      <c r="AB19" s="893" t="s">
        <v>522</v>
      </c>
      <c r="AC19" s="895"/>
      <c r="AD19" s="895"/>
      <c r="AE19" t="s">
        <v>523</v>
      </c>
      <c r="AF19" s="895"/>
      <c r="AG19" s="895"/>
      <c r="AH19" s="895"/>
      <c r="AI19" s="895"/>
      <c r="AJ19" s="895"/>
      <c r="AK19" s="895"/>
      <c r="AL19" s="895"/>
      <c r="AM19" s="895"/>
      <c r="AN19" s="895"/>
      <c r="AO19" s="895"/>
      <c r="AP19" s="895"/>
      <c r="AQ19" s="895"/>
      <c r="AR19" s="895"/>
      <c r="AS19" s="895"/>
      <c r="AT19" s="895"/>
      <c r="AU19" s="895"/>
      <c r="AV19" s="895"/>
      <c r="AW19" s="895"/>
      <c r="AX19" s="895"/>
      <c r="AY19" s="895"/>
      <c r="AZ19" s="895"/>
      <c r="BA19" s="895"/>
      <c r="BB19" s="895"/>
      <c r="BC19" s="895"/>
      <c r="BD19" s="895"/>
      <c r="BE19" s="895"/>
      <c r="BF19" s="895"/>
      <c r="BG19" s="895"/>
      <c r="BH19" s="895"/>
      <c r="BI19" s="895"/>
      <c r="BJ19" s="895"/>
      <c r="BK19" s="895"/>
      <c r="BL19" s="895"/>
      <c r="BM19" s="895"/>
      <c r="BN19" s="895"/>
      <c r="BO19" s="895"/>
      <c r="BP19" s="895"/>
      <c r="BQ19" s="895"/>
      <c r="BR19" s="895"/>
      <c r="BS19" s="895"/>
      <c r="BT19" s="895"/>
      <c r="BU19" s="895"/>
      <c r="BV19" s="895"/>
      <c r="BW19" s="895"/>
      <c r="BX19" s="895"/>
      <c r="BY19" s="895"/>
      <c r="BZ19" s="895"/>
      <c r="CA19" s="895"/>
      <c r="CB19" s="895"/>
      <c r="CC19" s="895"/>
      <c r="CD19" s="895"/>
      <c r="CE19" s="895"/>
      <c r="CF19" s="895"/>
      <c r="CG19" s="895"/>
      <c r="CH19" s="895"/>
      <c r="CI19" s="895"/>
      <c r="CJ19" s="895"/>
      <c r="CK19" s="895"/>
      <c r="CL19" s="895"/>
      <c r="CM19" s="895"/>
      <c r="CN19" s="895"/>
      <c r="CO19" s="895"/>
      <c r="CP19" s="895"/>
      <c r="CQ19" s="895"/>
      <c r="CR19" s="895"/>
      <c r="CS19" s="895"/>
      <c r="CT19" s="895"/>
      <c r="CU19" s="895"/>
      <c r="CV19" s="895"/>
      <c r="CW19" s="895"/>
      <c r="CX19" s="895"/>
      <c r="CY19" s="895"/>
      <c r="CZ19" s="895"/>
      <c r="DA19" s="895"/>
      <c r="DB19" s="895"/>
      <c r="DC19" s="895"/>
      <c r="DD19" s="895"/>
      <c r="DE19" s="895"/>
      <c r="DF19" s="895"/>
      <c r="DG19" s="895"/>
      <c r="DH19" s="895"/>
      <c r="DI19" s="895"/>
      <c r="DJ19" s="895"/>
      <c r="DK19" s="895"/>
      <c r="DL19" s="895"/>
      <c r="DM19" s="895"/>
      <c r="DN19" s="895"/>
      <c r="DO19" s="895"/>
      <c r="DP19" s="895"/>
      <c r="DQ19" s="895"/>
      <c r="DR19" s="895"/>
      <c r="DS19" s="895"/>
      <c r="DT19" s="895"/>
      <c r="DU19" s="895"/>
      <c r="DV19" s="895"/>
      <c r="DW19" s="895"/>
      <c r="DX19" s="895"/>
      <c r="DY19" s="895"/>
      <c r="DZ19" s="895"/>
      <c r="EA19" s="895"/>
      <c r="EB19" s="895"/>
      <c r="EC19" s="895"/>
      <c r="ED19" s="895"/>
      <c r="EE19" s="895"/>
      <c r="EF19" s="895"/>
      <c r="EG19" s="895"/>
      <c r="EH19" s="895"/>
      <c r="EI19" s="895"/>
      <c r="EJ19" s="895"/>
      <c r="EK19" s="895"/>
      <c r="EL19" s="895"/>
      <c r="EM19" s="895"/>
      <c r="EN19" s="895"/>
      <c r="EO19" s="895"/>
      <c r="EP19" s="895"/>
      <c r="EQ19" s="895"/>
      <c r="ER19" s="895"/>
      <c r="ES19" s="895"/>
      <c r="ET19" s="895"/>
      <c r="EU19" s="895"/>
      <c r="EV19" s="895"/>
      <c r="EW19" s="895"/>
      <c r="EX19" s="895"/>
      <c r="EY19" s="895"/>
      <c r="EZ19" s="895"/>
      <c r="FA19" s="895"/>
      <c r="FB19" s="895"/>
      <c r="FC19" s="895"/>
      <c r="FD19" s="895"/>
      <c r="FE19" s="895"/>
      <c r="FF19" s="895"/>
      <c r="FG19" s="895"/>
      <c r="FH19" s="895"/>
      <c r="FI19" s="895"/>
      <c r="FJ19" s="895"/>
      <c r="FK19" s="895"/>
      <c r="FL19" s="895"/>
      <c r="FM19" s="895"/>
      <c r="FN19" s="895"/>
      <c r="FO19" s="895"/>
      <c r="FP19" s="895"/>
      <c r="FQ19" s="895"/>
      <c r="FR19" s="895"/>
      <c r="FS19" s="895"/>
      <c r="FT19" s="895"/>
      <c r="FU19" s="895"/>
      <c r="FV19" s="895"/>
      <c r="FW19" s="895"/>
      <c r="FX19" s="895"/>
      <c r="FY19" s="895"/>
      <c r="FZ19" s="895"/>
      <c r="GA19" s="895"/>
      <c r="GB19" s="895"/>
      <c r="GC19" s="895"/>
      <c r="GD19" s="895"/>
      <c r="GE19" s="895"/>
      <c r="GF19" s="895"/>
      <c r="GG19" s="895"/>
      <c r="GH19" s="895"/>
      <c r="GI19" s="895"/>
      <c r="GJ19" s="895"/>
      <c r="GK19" s="895"/>
      <c r="GL19" s="895"/>
      <c r="GM19" s="895"/>
      <c r="GN19" s="895"/>
      <c r="GO19" s="895"/>
      <c r="GP19" s="895"/>
      <c r="GQ19" s="895"/>
      <c r="GR19" s="895"/>
      <c r="GS19" s="895"/>
      <c r="GT19" s="895"/>
      <c r="GU19" s="895"/>
      <c r="GV19" s="895"/>
      <c r="GW19" s="895"/>
      <c r="GX19" s="895"/>
      <c r="GY19" s="895"/>
      <c r="GZ19" s="895"/>
      <c r="HA19" s="895"/>
      <c r="HB19" s="895"/>
      <c r="HC19" s="895"/>
      <c r="HD19" s="895"/>
      <c r="HE19" s="895"/>
      <c r="HF19" s="895"/>
      <c r="HG19" s="895"/>
      <c r="HH19" s="895"/>
      <c r="HI19" s="895"/>
      <c r="HJ19" s="895"/>
      <c r="HK19" s="895"/>
      <c r="HL19" s="895"/>
      <c r="HM19" s="895"/>
      <c r="HN19" s="895"/>
      <c r="HO19" s="895"/>
      <c r="HP19" s="895"/>
      <c r="HQ19" s="895"/>
      <c r="HR19" s="895"/>
      <c r="HS19" s="895"/>
      <c r="HT19" s="895"/>
      <c r="HU19" s="895"/>
      <c r="HV19" s="895"/>
      <c r="HW19" s="895"/>
      <c r="HX19" s="895"/>
      <c r="HY19" s="895"/>
      <c r="HZ19" s="895"/>
      <c r="IA19" s="895"/>
      <c r="IB19" s="895"/>
      <c r="IC19" s="895"/>
      <c r="ID19" s="895"/>
      <c r="IE19" s="895"/>
      <c r="IF19" s="895"/>
      <c r="IG19" s="895"/>
      <c r="IH19" s="895"/>
      <c r="II19" s="895"/>
      <c r="IJ19" s="895"/>
      <c r="IK19" s="895"/>
      <c r="IL19" s="895"/>
      <c r="IM19" s="895"/>
      <c r="IN19" s="895"/>
      <c r="IO19" s="895"/>
      <c r="IP19" s="895"/>
      <c r="IQ19" s="895"/>
      <c r="IR19" s="895"/>
      <c r="IS19" s="895"/>
      <c r="IT19" s="895"/>
      <c r="IU19" s="895"/>
      <c r="IV19" s="895"/>
    </row>
    <row r="20" spans="1:256">
      <c r="A20" s="896" t="s">
        <v>524</v>
      </c>
      <c r="B20" s="897"/>
      <c r="C20" s="898"/>
      <c r="D20" s="899" t="str">
        <f>($B$45&amp;"/"&amp;31&amp;"/"&amp;(D16+$D$45))</f>
        <v>3/31/2023</v>
      </c>
      <c r="E20" s="900" t="str">
        <f>$B$46&amp;"/"&amp;31&amp;"/"&amp;(E16+$D$46)</f>
        <v>6/31/2023</v>
      </c>
      <c r="F20" s="900" t="str">
        <f>$B$47&amp;"/"&amp;31&amp;"/"&amp;(F16+$D$47)</f>
        <v>9/31/2023</v>
      </c>
      <c r="G20" s="900" t="str">
        <f>$B$48&amp;"/"&amp;31&amp;"/"&amp;(G16+$D$48)</f>
        <v>12/31/2023</v>
      </c>
      <c r="H20" s="901" t="str">
        <f>G20</f>
        <v>12/31/2023</v>
      </c>
      <c r="I20" s="899" t="str">
        <f>($B$45&amp;"/"&amp;31&amp;"/"&amp;(I16+$D$45))</f>
        <v>3/31/2024</v>
      </c>
      <c r="J20" s="900" t="str">
        <f>$B$46&amp;"/"&amp;31&amp;"/"&amp;(J16+$D$46)</f>
        <v>6/31/2024</v>
      </c>
      <c r="K20" s="900" t="str">
        <f>$B$47&amp;"/"&amp;31&amp;"/"&amp;(K16+$D$47)</f>
        <v>9/31/2024</v>
      </c>
      <c r="L20" s="900" t="str">
        <f>$B$48&amp;"/"&amp;31&amp;"/"&amp;(L16+$D$48)</f>
        <v>12/31/2024</v>
      </c>
      <c r="M20" s="901" t="str">
        <f>L20</f>
        <v>12/31/2024</v>
      </c>
      <c r="N20" s="902" t="str">
        <f>($B$45&amp;"/"&amp;31&amp;"/"&amp;(N16+$D$45))</f>
        <v>3/31/2025</v>
      </c>
      <c r="O20" s="903" t="str">
        <f>$B$46&amp;"/"&amp;31&amp;"/"&amp;(O16+$D$46)</f>
        <v>6/31/2025</v>
      </c>
      <c r="P20" s="903" t="str">
        <f>$B$47&amp;"/"&amp;31&amp;"/"&amp;(P16+$D$47)</f>
        <v>9/31/2025</v>
      </c>
      <c r="Q20" s="903" t="str">
        <f>$B$48&amp;"/"&amp;31&amp;"/"&amp;(Q16+$D$48)</f>
        <v>12/31/2025</v>
      </c>
      <c r="R20" s="904" t="str">
        <f>Q20</f>
        <v>12/31/2025</v>
      </c>
      <c r="S20" s="902" t="str">
        <f>($B$45&amp;"/"&amp;31&amp;"/"&amp;(S16+$D$45))</f>
        <v>3/31/2026</v>
      </c>
      <c r="T20" s="903" t="str">
        <f>$B$46&amp;"/"&amp;31&amp;"/"&amp;(T16+$D$46)</f>
        <v>6/31/2026</v>
      </c>
      <c r="U20" s="903" t="str">
        <f>$B$47&amp;"/"&amp;31&amp;"/"&amp;(U16+$D$47)</f>
        <v>9/31/2026</v>
      </c>
      <c r="V20" s="903" t="str">
        <f>$B$48&amp;"/"&amp;31&amp;"/"&amp;(V16+$D$48)</f>
        <v>12/31/2026</v>
      </c>
      <c r="W20" s="904" t="str">
        <f>V20</f>
        <v>12/31/2026</v>
      </c>
      <c r="X20" s="902" t="str">
        <f>($B$45&amp;"/"&amp;31&amp;"/"&amp;(X16+$D$45))</f>
        <v>3/31/2027</v>
      </c>
      <c r="Y20" s="903" t="str">
        <f>$B$46&amp;"/"&amp;31&amp;"/"&amp;(Y16+$D$46)</f>
        <v>6/31/2027</v>
      </c>
      <c r="Z20" s="903" t="str">
        <f>$B$47&amp;"/"&amp;31&amp;"/"&amp;(Z16+$D$47)</f>
        <v>9/31/2027</v>
      </c>
      <c r="AA20" s="903" t="str">
        <f>$B$48&amp;"/"&amp;31&amp;"/"&amp;(AA16+$D$48)</f>
        <v>12/31/2027</v>
      </c>
      <c r="AB20" s="904" t="str">
        <f>AA20</f>
        <v>12/31/2027</v>
      </c>
      <c r="AE20" t="s">
        <v>525</v>
      </c>
    </row>
    <row r="21" spans="1:256" ht="17.649999999999999">
      <c r="A21" s="905" t="s">
        <v>526</v>
      </c>
      <c r="B21" s="906" t="s">
        <v>527</v>
      </c>
      <c r="C21" s="907"/>
      <c r="D21" s="908">
        <f>+IS!BC13/1000</f>
        <v>588.69200000000001</v>
      </c>
      <c r="E21" s="908">
        <f>+IS!BD13/1000</f>
        <v>622.18399999999997</v>
      </c>
      <c r="F21" s="908">
        <f>+IS!BE13/1000</f>
        <v>645.46299999999997</v>
      </c>
      <c r="G21" s="908">
        <f>+IS!BF13/1000</f>
        <v>659.57600000000002</v>
      </c>
      <c r="H21" s="908">
        <f>+IS!BG13/1000</f>
        <v>2515.915</v>
      </c>
      <c r="I21" s="908">
        <f>+IS!BH13/1000</f>
        <v>661.38800000000003</v>
      </c>
      <c r="J21" s="908">
        <f>+IS!BI13/1000</f>
        <v>687.68700000000001</v>
      </c>
      <c r="K21" s="908">
        <f>+IS!BJ13/1000</f>
        <v>700.42100000000005</v>
      </c>
      <c r="L21" s="908">
        <f>+IS!BK13/1000</f>
        <v>712.38599999999997</v>
      </c>
      <c r="M21" s="908">
        <f>+IS!BL13/1000</f>
        <v>2761.8820000000001</v>
      </c>
      <c r="N21" s="908">
        <f>+IS!BM13/1000</f>
        <v>709.64</v>
      </c>
      <c r="O21" s="908">
        <f>+IS!BN13/1000</f>
        <v>736.02700000000004</v>
      </c>
      <c r="P21" s="908">
        <f>+IS!BO13/1000</f>
        <v>754.82</v>
      </c>
      <c r="Q21" s="908">
        <f>+IS!BP13/1000</f>
        <v>776.25199999999995</v>
      </c>
      <c r="R21" s="908">
        <f>+IS!BQ13/1000</f>
        <v>2976.739</v>
      </c>
      <c r="S21" s="908">
        <f>+IS!BR13/1000</f>
        <v>763.654</v>
      </c>
      <c r="T21" s="908">
        <f>+IS!BS13/1000</f>
        <v>800.63599999999997</v>
      </c>
      <c r="U21" s="908">
        <f>+IS!BT13/1000</f>
        <v>818.35</v>
      </c>
      <c r="V21" s="908">
        <f>+IS!BU13/1000</f>
        <v>827.21251310000002</v>
      </c>
      <c r="W21" s="908">
        <f>+IS!BV13/1000</f>
        <v>3209.8525131000001</v>
      </c>
      <c r="X21" s="908">
        <f>+IS!BW13/1000</f>
        <v>806.33187999999996</v>
      </c>
      <c r="Y21" s="908">
        <f>+IS!BX13/1000</f>
        <v>845.74952000000008</v>
      </c>
      <c r="Z21" s="908">
        <f>+IS!BY13/1000</f>
        <v>864.32044000000008</v>
      </c>
      <c r="AA21" s="908">
        <f>+IS!BZ13/1000</f>
        <v>873.79745708600001</v>
      </c>
      <c r="AB21" s="908">
        <f>+IS!CA13/1000</f>
        <v>3390.1992970859997</v>
      </c>
      <c r="AE21" t="s">
        <v>528</v>
      </c>
    </row>
    <row r="22" spans="1:256" ht="17.649999999999999">
      <c r="A22" s="909"/>
      <c r="B22" s="910" t="s">
        <v>477</v>
      </c>
      <c r="C22" s="911"/>
      <c r="D22" s="912" t="e">
        <f ca="1">_xll.BLUEMATRIX2("/servlet/excelData",D21, $C$14,$B21&amp;":"&amp;D$16&amp;D$17&amp;":"&amp;D$19&amp;":"&amp;$B22)</f>
        <v>#NAME?</v>
      </c>
      <c r="E22" s="913" t="e">
        <f ca="1">_xll.BLUEMATRIX2("/servlet/excelData",E21, $C$14,$B21&amp;":"&amp;E$16&amp;E$17&amp;":"&amp;E$19&amp;":"&amp;$B22)</f>
        <v>#NAME?</v>
      </c>
      <c r="F22" s="913" t="e">
        <f ca="1">_xll.BLUEMATRIX2("/servlet/excelData",F21, $C$14,$B21&amp;":"&amp;F$16&amp;F$17&amp;":"&amp;F$19&amp;":"&amp;$B22)</f>
        <v>#NAME?</v>
      </c>
      <c r="G22" s="913" t="e">
        <f ca="1">_xll.BLUEMATRIX2("/servlet/excelData",G21, $C$14,$B21&amp;":"&amp;G$16&amp;G$17&amp;":"&amp;G$19&amp;":"&amp;$B22)</f>
        <v>#NAME?</v>
      </c>
      <c r="H22" s="914" t="e">
        <f ca="1">_xll.BLUEMATRIX2("/servlet/excelData",H21, $C$14,$B21&amp;":"&amp;H$16&amp;H$17&amp;":"&amp;H$19&amp;":"&amp;$B22)</f>
        <v>#NAME?</v>
      </c>
      <c r="I22" s="913" t="e">
        <f ca="1">_xll.BLUEMATRIX2("/servlet/excelData",I21, $C$14,$B21&amp;":"&amp;I$16&amp;I$17&amp;":"&amp;I$19&amp;":"&amp;$B22)</f>
        <v>#NAME?</v>
      </c>
      <c r="J22" s="913" t="e">
        <f ca="1">_xll.BLUEMATRIX2("/servlet/excelData",J21, $C$14,$B21&amp;":"&amp;J$16&amp;J$17&amp;":"&amp;J$19&amp;":"&amp;$B22)</f>
        <v>#NAME?</v>
      </c>
      <c r="K22" s="913" t="e">
        <f ca="1">_xll.BLUEMATRIX2("/servlet/excelData",K21, $C$14,$B21&amp;":"&amp;K$16&amp;K$17&amp;":"&amp;K$19&amp;":"&amp;$B22)</f>
        <v>#NAME?</v>
      </c>
      <c r="L22" s="913" t="e">
        <f ca="1">_xll.BLUEMATRIX2("/servlet/excelData",L21, $C$14,$B21&amp;":"&amp;L$16&amp;L$17&amp;":"&amp;L$19&amp;":"&amp;$B22)</f>
        <v>#NAME?</v>
      </c>
      <c r="M22" s="914" t="e">
        <f ca="1">_xll.BLUEMATRIX2("/servlet/excelData",M21, $C$14,$B21&amp;":"&amp;M$16&amp;M$17&amp;":"&amp;M$19&amp;":"&amp;$B22)</f>
        <v>#NAME?</v>
      </c>
      <c r="N22" s="913" t="e">
        <f ca="1">_xll.BLUEMATRIX2("/servlet/excelData",N21, $C$14,$B21&amp;":"&amp;N$16&amp;N$17&amp;":"&amp;N$19&amp;":"&amp;$B22)</f>
        <v>#NAME?</v>
      </c>
      <c r="O22" s="913" t="e">
        <f ca="1">_xll.BLUEMATRIX2("/servlet/excelData",O21, $C$14,$B21&amp;":"&amp;O$16&amp;O$17&amp;":"&amp;O$19&amp;":"&amp;$B22)</f>
        <v>#NAME?</v>
      </c>
      <c r="P22" s="913" t="e">
        <f ca="1">_xll.BLUEMATRIX2("/servlet/excelData",P21, $C$14,$B21&amp;":"&amp;P$16&amp;P$17&amp;":"&amp;P$19&amp;":"&amp;$B22)</f>
        <v>#NAME?</v>
      </c>
      <c r="Q22" s="913" t="e">
        <f ca="1">_xll.BLUEMATRIX2("/servlet/excelData",Q21, $C$14,$B21&amp;":"&amp;Q$16&amp;Q$17&amp;":"&amp;Q$19&amp;":"&amp;$B22)</f>
        <v>#NAME?</v>
      </c>
      <c r="R22" s="914" t="e">
        <f ca="1">_xll.BLUEMATRIX2("/servlet/excelData",R21, $C$14,$B21&amp;":"&amp;R$16&amp;R$17&amp;":"&amp;R$19&amp;":"&amp;$B22)</f>
        <v>#NAME?</v>
      </c>
      <c r="S22" s="913" t="e">
        <f ca="1">_xll.BLUEMATRIX2("/servlet/excelData",S21, $C$14,$B21&amp;":"&amp;S$16&amp;S$17&amp;":"&amp;S$19&amp;":"&amp;$B22)</f>
        <v>#NAME?</v>
      </c>
      <c r="T22" s="913" t="e">
        <f ca="1">_xll.BLUEMATRIX2("/servlet/excelData",T21, $C$14,$B21&amp;":"&amp;T$16&amp;T$17&amp;":"&amp;T$19&amp;":"&amp;$B22)</f>
        <v>#NAME?</v>
      </c>
      <c r="U22" s="913" t="e">
        <f ca="1">_xll.BLUEMATRIX2("/servlet/excelData",U21, $C$14,$B21&amp;":"&amp;U$16&amp;U$17&amp;":"&amp;U$19&amp;":"&amp;$B22)</f>
        <v>#NAME?</v>
      </c>
      <c r="V22" s="913" t="e">
        <f ca="1">_xll.BLUEMATRIX2("/servlet/excelData",V21, $C$14,$B21&amp;":"&amp;V$16&amp;V$17&amp;":"&amp;V$19&amp;":"&amp;$B22)</f>
        <v>#NAME?</v>
      </c>
      <c r="W22" s="914" t="e">
        <f ca="1">_xll.BLUEMATRIX2("/servlet/excelData",W21, $C$14,$B21&amp;":"&amp;W$16&amp;W$17&amp;":"&amp;W$19&amp;":"&amp;$B22)</f>
        <v>#NAME?</v>
      </c>
      <c r="X22" s="913" t="e">
        <f ca="1">_xll.BLUEMATRIX2("/servlet/excelData",X21, $C$14,$B21&amp;":"&amp;X$16&amp;X$17&amp;":"&amp;X$19&amp;":"&amp;$B22)</f>
        <v>#NAME?</v>
      </c>
      <c r="Y22" s="913" t="e">
        <f ca="1">_xll.BLUEMATRIX2("/servlet/excelData",Y21, $C$14,$B21&amp;":"&amp;Y$16&amp;Y$17&amp;":"&amp;Y$19&amp;":"&amp;$B22)</f>
        <v>#NAME?</v>
      </c>
      <c r="Z22" s="913" t="e">
        <f ca="1">_xll.BLUEMATRIX2("/servlet/excelData",Z21, $C$14,$B21&amp;":"&amp;Z$16&amp;Z$17&amp;":"&amp;Z$19&amp;":"&amp;$B22)</f>
        <v>#NAME?</v>
      </c>
      <c r="AA22" s="913" t="e">
        <f ca="1">_xll.BLUEMATRIX2("/servlet/excelData",AA21, $C$14,$B21&amp;":"&amp;AA$16&amp;AA$17&amp;":"&amp;AA$19&amp;":"&amp;$B22)</f>
        <v>#NAME?</v>
      </c>
      <c r="AB22" s="914" t="e">
        <f ca="1">_xll.BLUEMATRIX2("/servlet/excelData",AB21, $C$14,$B21&amp;":"&amp;AB$16&amp;AB$17&amp;":"&amp;AB$19&amp;":"&amp;$B22)</f>
        <v>#NAME?</v>
      </c>
      <c r="AC22" s="915"/>
      <c r="AD22" s="915"/>
      <c r="AE22" t="s">
        <v>529</v>
      </c>
      <c r="AF22" s="915"/>
      <c r="AG22" s="915"/>
      <c r="AH22" s="915"/>
      <c r="AI22" s="915"/>
      <c r="AJ22" s="915"/>
      <c r="AK22" s="915"/>
      <c r="AL22" s="915"/>
      <c r="AM22" s="915"/>
      <c r="AN22" s="915"/>
      <c r="AO22" s="915"/>
      <c r="AP22" s="915"/>
      <c r="AQ22" s="915"/>
      <c r="AR22" s="915"/>
      <c r="AS22" s="915"/>
      <c r="AT22" s="915"/>
      <c r="AU22" s="915"/>
      <c r="AV22" s="915"/>
      <c r="AW22" s="915"/>
      <c r="AX22" s="915"/>
      <c r="AY22" s="915"/>
      <c r="AZ22" s="915"/>
      <c r="BA22" s="915"/>
      <c r="BB22" s="915"/>
      <c r="BC22" s="915"/>
      <c r="BD22" s="915"/>
      <c r="BE22" s="915"/>
      <c r="BF22" s="915"/>
      <c r="BG22" s="915"/>
      <c r="BH22" s="915"/>
      <c r="BI22" s="915"/>
      <c r="BJ22" s="915"/>
      <c r="BK22" s="915"/>
      <c r="BL22" s="915"/>
      <c r="BM22" s="915"/>
      <c r="BN22" s="915"/>
      <c r="BO22" s="915"/>
      <c r="BP22" s="915"/>
      <c r="BQ22" s="915"/>
      <c r="BR22" s="915"/>
      <c r="BS22" s="915"/>
      <c r="BT22" s="915"/>
      <c r="BU22" s="915"/>
      <c r="BV22" s="915"/>
      <c r="BW22" s="915"/>
      <c r="BX22" s="915"/>
      <c r="BY22" s="915"/>
      <c r="BZ22" s="915"/>
      <c r="CA22" s="915"/>
      <c r="CB22" s="915"/>
      <c r="CC22" s="915"/>
      <c r="CD22" s="915"/>
      <c r="CE22" s="915"/>
      <c r="CF22" s="915"/>
      <c r="CG22" s="915"/>
      <c r="CH22" s="915"/>
      <c r="CI22" s="915"/>
      <c r="CJ22" s="915"/>
      <c r="CK22" s="915"/>
      <c r="CL22" s="915"/>
      <c r="CM22" s="915"/>
      <c r="CN22" s="915"/>
      <c r="CO22" s="915"/>
      <c r="CP22" s="915"/>
      <c r="CQ22" s="915"/>
      <c r="CR22" s="915"/>
      <c r="CS22" s="915"/>
      <c r="CT22" s="915"/>
      <c r="CU22" s="915"/>
      <c r="CV22" s="915"/>
      <c r="CW22" s="915"/>
      <c r="CX22" s="915"/>
      <c r="CY22" s="915"/>
      <c r="CZ22" s="915"/>
      <c r="DA22" s="915"/>
      <c r="DB22" s="915"/>
      <c r="DC22" s="915"/>
      <c r="DD22" s="915"/>
      <c r="DE22" s="915"/>
      <c r="DF22" s="915"/>
      <c r="DG22" s="915"/>
      <c r="DH22" s="915"/>
      <c r="DI22" s="915"/>
      <c r="DJ22" s="915"/>
      <c r="DK22" s="915"/>
      <c r="DL22" s="915"/>
      <c r="DM22" s="915"/>
      <c r="DN22" s="915"/>
      <c r="DO22" s="915"/>
      <c r="DP22" s="915"/>
      <c r="DQ22" s="915"/>
      <c r="DR22" s="915"/>
      <c r="DS22" s="915"/>
      <c r="DT22" s="915"/>
      <c r="DU22" s="915"/>
      <c r="DV22" s="915"/>
      <c r="DW22" s="915"/>
      <c r="DX22" s="915"/>
      <c r="DY22" s="915"/>
      <c r="DZ22" s="915"/>
      <c r="EA22" s="915"/>
      <c r="EB22" s="915"/>
      <c r="EC22" s="915"/>
      <c r="ED22" s="915"/>
      <c r="EE22" s="915"/>
      <c r="EF22" s="915"/>
      <c r="EG22" s="915"/>
      <c r="EH22" s="915"/>
      <c r="EI22" s="915"/>
      <c r="EJ22" s="915"/>
      <c r="EK22" s="915"/>
      <c r="EL22" s="915"/>
      <c r="EM22" s="915"/>
      <c r="EN22" s="915"/>
      <c r="EO22" s="915"/>
      <c r="EP22" s="915"/>
      <c r="EQ22" s="915"/>
      <c r="ER22" s="915"/>
      <c r="ES22" s="915"/>
      <c r="ET22" s="915"/>
      <c r="EU22" s="915"/>
      <c r="EV22" s="915"/>
      <c r="EW22" s="915"/>
      <c r="EX22" s="915"/>
      <c r="EY22" s="915"/>
      <c r="EZ22" s="915"/>
      <c r="FA22" s="915"/>
      <c r="FB22" s="915"/>
      <c r="FC22" s="915"/>
      <c r="FD22" s="915"/>
      <c r="FE22" s="915"/>
      <c r="FF22" s="915"/>
      <c r="FG22" s="915"/>
      <c r="FH22" s="915"/>
      <c r="FI22" s="915"/>
      <c r="FJ22" s="915"/>
      <c r="FK22" s="915"/>
      <c r="FL22" s="915"/>
      <c r="FM22" s="915"/>
      <c r="FN22" s="915"/>
      <c r="FO22" s="915"/>
      <c r="FP22" s="915"/>
      <c r="FQ22" s="915"/>
      <c r="FR22" s="915"/>
      <c r="FS22" s="915"/>
      <c r="FT22" s="915"/>
      <c r="FU22" s="915"/>
      <c r="FV22" s="915"/>
      <c r="FW22" s="915"/>
      <c r="FX22" s="915"/>
      <c r="FY22" s="915"/>
      <c r="FZ22" s="915"/>
      <c r="GA22" s="915"/>
      <c r="GB22" s="915"/>
      <c r="GC22" s="915"/>
      <c r="GD22" s="915"/>
      <c r="GE22" s="915"/>
      <c r="GF22" s="915"/>
      <c r="GG22" s="915"/>
      <c r="GH22" s="915"/>
      <c r="GI22" s="915"/>
      <c r="GJ22" s="915"/>
      <c r="GK22" s="915"/>
      <c r="GL22" s="915"/>
      <c r="GM22" s="915"/>
      <c r="GN22" s="915"/>
      <c r="GO22" s="915"/>
      <c r="GP22" s="915"/>
      <c r="GQ22" s="915"/>
      <c r="GR22" s="915"/>
      <c r="GS22" s="915"/>
      <c r="GT22" s="915"/>
      <c r="GU22" s="915"/>
      <c r="GV22" s="915"/>
      <c r="GW22" s="915"/>
      <c r="GX22" s="915"/>
      <c r="GY22" s="915"/>
      <c r="GZ22" s="915"/>
      <c r="HA22" s="915"/>
      <c r="HB22" s="915"/>
      <c r="HC22" s="915"/>
      <c r="HD22" s="915"/>
      <c r="HE22" s="915"/>
      <c r="HF22" s="915"/>
      <c r="HG22" s="915"/>
      <c r="HH22" s="915"/>
      <c r="HI22" s="915"/>
      <c r="HJ22" s="915"/>
      <c r="HK22" s="915"/>
      <c r="HL22" s="915"/>
      <c r="HM22" s="915"/>
      <c r="HN22" s="915"/>
      <c r="HO22" s="915"/>
      <c r="HP22" s="915"/>
      <c r="HQ22" s="915"/>
      <c r="HR22" s="915"/>
      <c r="HS22" s="915"/>
      <c r="HT22" s="915"/>
      <c r="HU22" s="915"/>
      <c r="HV22" s="915"/>
      <c r="HW22" s="915"/>
      <c r="HX22" s="915"/>
      <c r="HY22" s="915"/>
      <c r="HZ22" s="915"/>
      <c r="IA22" s="915"/>
      <c r="IB22" s="915"/>
      <c r="IC22" s="915"/>
      <c r="ID22" s="915"/>
      <c r="IE22" s="915"/>
      <c r="IF22" s="915"/>
      <c r="IG22" s="915"/>
      <c r="IH22" s="915"/>
      <c r="II22" s="915"/>
      <c r="IJ22" s="915"/>
      <c r="IK22" s="915"/>
      <c r="IL22" s="915"/>
      <c r="IM22" s="915"/>
      <c r="IN22" s="915"/>
      <c r="IO22" s="915"/>
      <c r="IP22" s="915"/>
      <c r="IQ22" s="915"/>
      <c r="IR22" s="915"/>
      <c r="IS22" s="915"/>
      <c r="IT22" s="915"/>
      <c r="IU22" s="915"/>
      <c r="IV22" s="915"/>
    </row>
    <row r="23" spans="1:256" ht="17.649999999999999">
      <c r="A23" s="916" t="s">
        <v>13</v>
      </c>
      <c r="B23" s="917" t="s">
        <v>13</v>
      </c>
      <c r="C23" s="918"/>
      <c r="D23" s="919">
        <f>+IS!BC74</f>
        <v>0.37615730064328196</v>
      </c>
      <c r="E23" s="919">
        <f>+IS!BD74</f>
        <v>0.43822273660049987</v>
      </c>
      <c r="F23" s="919">
        <f>+IS!BE74</f>
        <v>0.57441842371430796</v>
      </c>
      <c r="G23" s="919">
        <f>+IS!BF74</f>
        <v>0.645951711432173</v>
      </c>
      <c r="H23" s="919">
        <f>+IS!BG74</f>
        <v>2.0349497586594212</v>
      </c>
      <c r="I23" s="919">
        <f>+IS!BH74</f>
        <v>0.72193626214128837</v>
      </c>
      <c r="J23" s="919">
        <f>+IS!BI74</f>
        <v>0.71845700122963418</v>
      </c>
      <c r="K23" s="919">
        <f>+IS!BJ74</f>
        <v>0.78742057350495542</v>
      </c>
      <c r="L23" s="919">
        <f>+IS!BK74</f>
        <v>0.75983987098067096</v>
      </c>
      <c r="M23" s="919">
        <f>+IS!BL74</f>
        <v>2.9877275158352701</v>
      </c>
      <c r="N23" s="919">
        <f>+IS!BM74</f>
        <v>0.82346971833670013</v>
      </c>
      <c r="O23" s="919">
        <f>+IS!BN74</f>
        <v>0.96504604511364833</v>
      </c>
      <c r="P23" s="919">
        <f>+IS!BO74</f>
        <v>0.90316521805793792</v>
      </c>
      <c r="Q23" s="919">
        <f>+IS!BP74</f>
        <v>0.86186464777373228</v>
      </c>
      <c r="R23" s="919">
        <f>+IS!BQ74</f>
        <v>3.5522895043042229</v>
      </c>
      <c r="S23" s="919">
        <f>+IS!BR74</f>
        <v>0.89680563126139501</v>
      </c>
      <c r="T23" s="919">
        <f>+IS!BS74</f>
        <v>0.92476630197766363</v>
      </c>
      <c r="U23" s="919">
        <f>+IS!BT74</f>
        <v>1.0146105378504247</v>
      </c>
      <c r="V23" s="919">
        <f>+IS!BU74</f>
        <v>0.9567650090552563</v>
      </c>
      <c r="W23" s="919">
        <f>+IS!BV74</f>
        <v>3.7913567667128265</v>
      </c>
      <c r="X23" s="919">
        <f>+IS!BW74</f>
        <v>0.93764396474539136</v>
      </c>
      <c r="Y23" s="919">
        <f>+IS!BX74</f>
        <v>1.0084839101916709</v>
      </c>
      <c r="Z23" s="919">
        <f>+IS!BY74</f>
        <v>1.0517348994226885</v>
      </c>
      <c r="AA23" s="919">
        <f>+IS!BZ74</f>
        <v>1.0639836195415331</v>
      </c>
      <c r="AB23" s="919">
        <f>+IS!CA74</f>
        <v>4.0618463939012805</v>
      </c>
      <c r="AE23" t="s">
        <v>530</v>
      </c>
    </row>
    <row r="24" spans="1:256" ht="17.649999999999999">
      <c r="A24" s="920"/>
      <c r="B24" s="921" t="s">
        <v>491</v>
      </c>
      <c r="C24" s="922"/>
      <c r="D24" s="912" t="e">
        <f ca="1">_xll.BLUEMATRIX2("/servlet/excelData",D23, $C$14,$B23&amp;":"&amp;D$16&amp;D$17&amp;":"&amp;D$19&amp;":"&amp;$B24)</f>
        <v>#NAME?</v>
      </c>
      <c r="E24" s="913" t="e">
        <f ca="1">_xll.BLUEMATRIX2("/servlet/excelData",E23, $C$14,$B23&amp;":"&amp;E$16&amp;E$17&amp;":"&amp;E$19&amp;":"&amp;$B24)</f>
        <v>#NAME?</v>
      </c>
      <c r="F24" s="913" t="e">
        <f ca="1">_xll.BLUEMATRIX2("/servlet/excelData",F23, $C$14,$B23&amp;":"&amp;F$16&amp;F$17&amp;":"&amp;F$19&amp;":"&amp;$B24)</f>
        <v>#NAME?</v>
      </c>
      <c r="G24" s="913" t="e">
        <f ca="1">_xll.BLUEMATRIX2("/servlet/excelData",G23, $C$14,$B23&amp;":"&amp;G$16&amp;G$17&amp;":"&amp;G$19&amp;":"&amp;$B24)</f>
        <v>#NAME?</v>
      </c>
      <c r="H24" s="914" t="e">
        <f ca="1">_xll.BLUEMATRIX2("/servlet/excelData",H23, $C$14,$B23&amp;":"&amp;H$16&amp;H$17&amp;":"&amp;H$19&amp;":"&amp;$B24)</f>
        <v>#NAME?</v>
      </c>
      <c r="I24" s="913" t="e">
        <f ca="1">_xll.BLUEMATRIX2("/servlet/excelData",I23, $C$14,$B23&amp;":"&amp;I$16&amp;I$17&amp;":"&amp;I$19&amp;":"&amp;$B24)</f>
        <v>#NAME?</v>
      </c>
      <c r="J24" s="913" t="e">
        <f ca="1">_xll.BLUEMATRIX2("/servlet/excelData",J23, $C$14,$B23&amp;":"&amp;J$16&amp;J$17&amp;":"&amp;J$19&amp;":"&amp;$B24)</f>
        <v>#NAME?</v>
      </c>
      <c r="K24" s="913" t="e">
        <f ca="1">_xll.BLUEMATRIX2("/servlet/excelData",K23, $C$14,$B23&amp;":"&amp;K$16&amp;K$17&amp;":"&amp;K$19&amp;":"&amp;$B24)</f>
        <v>#NAME?</v>
      </c>
      <c r="L24" s="913" t="e">
        <f ca="1">_xll.BLUEMATRIX2("/servlet/excelData",L23, $C$14,$B23&amp;":"&amp;L$16&amp;L$17&amp;":"&amp;L$19&amp;":"&amp;$B24)</f>
        <v>#NAME?</v>
      </c>
      <c r="M24" s="914" t="e">
        <f ca="1">_xll.BLUEMATRIX2("/servlet/excelData",M23, $C$14,$B23&amp;":"&amp;M$16&amp;M$17&amp;":"&amp;M$19&amp;":"&amp;$B24)</f>
        <v>#NAME?</v>
      </c>
      <c r="N24" s="913" t="e">
        <f ca="1">_xll.BLUEMATRIX2("/servlet/excelData",N23, $C$14,$B23&amp;":"&amp;N$16&amp;N$17&amp;":"&amp;N$19&amp;":"&amp;$B24)</f>
        <v>#NAME?</v>
      </c>
      <c r="O24" s="913" t="e">
        <f ca="1">_xll.BLUEMATRIX2("/servlet/excelData",O23, $C$14,$B23&amp;":"&amp;O$16&amp;O$17&amp;":"&amp;O$19&amp;":"&amp;$B24)</f>
        <v>#NAME?</v>
      </c>
      <c r="P24" s="913" t="e">
        <f ca="1">_xll.BLUEMATRIX2("/servlet/excelData",P23, $C$14,$B23&amp;":"&amp;P$16&amp;P$17&amp;":"&amp;P$19&amp;":"&amp;$B24)</f>
        <v>#NAME?</v>
      </c>
      <c r="Q24" s="913" t="e">
        <f ca="1">_xll.BLUEMATRIX2("/servlet/excelData",Q23, $C$14,$B23&amp;":"&amp;Q$16&amp;Q$17&amp;":"&amp;Q$19&amp;":"&amp;$B24)</f>
        <v>#NAME?</v>
      </c>
      <c r="R24" s="914" t="e">
        <f ca="1">_xll.BLUEMATRIX2("/servlet/excelData",R23, $C$14,$B23&amp;":"&amp;R$16&amp;R$17&amp;":"&amp;R$19&amp;":"&amp;$B24)</f>
        <v>#NAME?</v>
      </c>
      <c r="S24" s="913" t="e">
        <f ca="1">_xll.BLUEMATRIX2("/servlet/excelData",S23, $C$14,$B23&amp;":"&amp;S$16&amp;S$17&amp;":"&amp;S$19&amp;":"&amp;$B24)</f>
        <v>#NAME?</v>
      </c>
      <c r="T24" s="913" t="e">
        <f ca="1">_xll.BLUEMATRIX2("/servlet/excelData",T23, $C$14,$B23&amp;":"&amp;T$16&amp;T$17&amp;":"&amp;T$19&amp;":"&amp;$B24)</f>
        <v>#NAME?</v>
      </c>
      <c r="U24" s="913" t="e">
        <f ca="1">_xll.BLUEMATRIX2("/servlet/excelData",U23, $C$14,$B23&amp;":"&amp;U$16&amp;U$17&amp;":"&amp;U$19&amp;":"&amp;$B24)</f>
        <v>#NAME?</v>
      </c>
      <c r="V24" s="913" t="e">
        <f ca="1">_xll.BLUEMATRIX2("/servlet/excelData",V23, $C$14,$B23&amp;":"&amp;V$16&amp;V$17&amp;":"&amp;V$19&amp;":"&amp;$B24)</f>
        <v>#NAME?</v>
      </c>
      <c r="W24" s="914" t="e">
        <f ca="1">_xll.BLUEMATRIX2("/servlet/excelData",W23, $C$14,$B23&amp;":"&amp;W$16&amp;W$17&amp;":"&amp;W$19&amp;":"&amp;$B24)</f>
        <v>#NAME?</v>
      </c>
      <c r="X24" s="913" t="e">
        <f ca="1">_xll.BLUEMATRIX2("/servlet/excelData",X23, $C$14,$B23&amp;":"&amp;X$16&amp;X$17&amp;":"&amp;X$19&amp;":"&amp;$B24)</f>
        <v>#NAME?</v>
      </c>
      <c r="Y24" s="913" t="e">
        <f ca="1">_xll.BLUEMATRIX2("/servlet/excelData",Y23, $C$14,$B23&amp;":"&amp;Y$16&amp;Y$17&amp;":"&amp;Y$19&amp;":"&amp;$B24)</f>
        <v>#NAME?</v>
      </c>
      <c r="Z24" s="913" t="e">
        <f ca="1">_xll.BLUEMATRIX2("/servlet/excelData",Z23, $C$14,$B23&amp;":"&amp;Z$16&amp;Z$17&amp;":"&amp;Z$19&amp;":"&amp;$B24)</f>
        <v>#NAME?</v>
      </c>
      <c r="AA24" s="913" t="e">
        <f ca="1">_xll.BLUEMATRIX2("/servlet/excelData",AA23, $C$14,$B23&amp;":"&amp;AA$16&amp;AA$17&amp;":"&amp;AA$19&amp;":"&amp;$B24)</f>
        <v>#NAME?</v>
      </c>
      <c r="AB24" s="914" t="e">
        <f ca="1">_xll.BLUEMATRIX2("/servlet/excelData",AB23, $C$14,$B23&amp;":"&amp;AB$16&amp;AB$17&amp;":"&amp;AB$19&amp;":"&amp;$B24)</f>
        <v>#NAME?</v>
      </c>
      <c r="AC24" s="915"/>
      <c r="AD24" s="915"/>
      <c r="AE24" t="s">
        <v>531</v>
      </c>
      <c r="AF24" s="915"/>
      <c r="AG24" s="915"/>
      <c r="AH24" s="915"/>
      <c r="AI24" s="915"/>
      <c r="AJ24" s="915"/>
      <c r="AK24" s="915"/>
      <c r="AL24" s="915"/>
      <c r="AM24" s="915"/>
      <c r="AN24" s="915"/>
      <c r="AO24" s="915"/>
      <c r="AP24" s="915"/>
      <c r="AQ24" s="915"/>
      <c r="AR24" s="915"/>
      <c r="AS24" s="915"/>
      <c r="AT24" s="915"/>
      <c r="AU24" s="915"/>
      <c r="AV24" s="915"/>
      <c r="AW24" s="915"/>
      <c r="AX24" s="915"/>
      <c r="AY24" s="915"/>
      <c r="AZ24" s="915"/>
      <c r="BA24" s="915"/>
      <c r="BB24" s="915"/>
      <c r="BC24" s="915"/>
      <c r="BD24" s="915"/>
      <c r="BE24" s="915"/>
      <c r="BF24" s="915"/>
      <c r="BG24" s="915"/>
      <c r="BH24" s="915"/>
      <c r="BI24" s="915"/>
      <c r="BJ24" s="915"/>
      <c r="BK24" s="915"/>
      <c r="BL24" s="915"/>
      <c r="BM24" s="915"/>
      <c r="BN24" s="915"/>
      <c r="BO24" s="915"/>
      <c r="BP24" s="915"/>
      <c r="BQ24" s="915"/>
      <c r="BR24" s="915"/>
      <c r="BS24" s="915"/>
      <c r="BT24" s="915"/>
      <c r="BU24" s="915"/>
      <c r="BV24" s="915"/>
      <c r="BW24" s="915"/>
      <c r="BX24" s="915"/>
      <c r="BY24" s="915"/>
      <c r="BZ24" s="915"/>
      <c r="CA24" s="915"/>
      <c r="CB24" s="915"/>
      <c r="CC24" s="915"/>
      <c r="CD24" s="915"/>
      <c r="CE24" s="915"/>
      <c r="CF24" s="915"/>
      <c r="CG24" s="915"/>
      <c r="CH24" s="915"/>
      <c r="CI24" s="915"/>
      <c r="CJ24" s="915"/>
      <c r="CK24" s="915"/>
      <c r="CL24" s="915"/>
      <c r="CM24" s="915"/>
      <c r="CN24" s="915"/>
      <c r="CO24" s="915"/>
      <c r="CP24" s="915"/>
      <c r="CQ24" s="915"/>
      <c r="CR24" s="915"/>
      <c r="CS24" s="915"/>
      <c r="CT24" s="915"/>
      <c r="CU24" s="915"/>
      <c r="CV24" s="915"/>
      <c r="CW24" s="915"/>
      <c r="CX24" s="915"/>
      <c r="CY24" s="915"/>
      <c r="CZ24" s="915"/>
      <c r="DA24" s="915"/>
      <c r="DB24" s="915"/>
      <c r="DC24" s="915"/>
      <c r="DD24" s="915"/>
      <c r="DE24" s="915"/>
      <c r="DF24" s="915"/>
      <c r="DG24" s="915"/>
      <c r="DH24" s="915"/>
      <c r="DI24" s="915"/>
      <c r="DJ24" s="915"/>
      <c r="DK24" s="915"/>
      <c r="DL24" s="915"/>
      <c r="DM24" s="915"/>
      <c r="DN24" s="915"/>
      <c r="DO24" s="915"/>
      <c r="DP24" s="915"/>
      <c r="DQ24" s="915"/>
      <c r="DR24" s="915"/>
      <c r="DS24" s="915"/>
      <c r="DT24" s="915"/>
      <c r="DU24" s="915"/>
      <c r="DV24" s="915"/>
      <c r="DW24" s="915"/>
      <c r="DX24" s="915"/>
      <c r="DY24" s="915"/>
      <c r="DZ24" s="915"/>
      <c r="EA24" s="915"/>
      <c r="EB24" s="915"/>
      <c r="EC24" s="915"/>
      <c r="ED24" s="915"/>
      <c r="EE24" s="915"/>
      <c r="EF24" s="915"/>
      <c r="EG24" s="915"/>
      <c r="EH24" s="915"/>
      <c r="EI24" s="915"/>
      <c r="EJ24" s="915"/>
      <c r="EK24" s="915"/>
      <c r="EL24" s="915"/>
      <c r="EM24" s="915"/>
      <c r="EN24" s="915"/>
      <c r="EO24" s="915"/>
      <c r="EP24" s="915"/>
      <c r="EQ24" s="915"/>
      <c r="ER24" s="915"/>
      <c r="ES24" s="915"/>
      <c r="ET24" s="915"/>
      <c r="EU24" s="915"/>
      <c r="EV24" s="915"/>
      <c r="EW24" s="915"/>
      <c r="EX24" s="915"/>
      <c r="EY24" s="915"/>
      <c r="EZ24" s="915"/>
      <c r="FA24" s="915"/>
      <c r="FB24" s="915"/>
      <c r="FC24" s="915"/>
      <c r="FD24" s="915"/>
      <c r="FE24" s="915"/>
      <c r="FF24" s="915"/>
      <c r="FG24" s="915"/>
      <c r="FH24" s="915"/>
      <c r="FI24" s="915"/>
      <c r="FJ24" s="915"/>
      <c r="FK24" s="915"/>
      <c r="FL24" s="915"/>
      <c r="FM24" s="915"/>
      <c r="FN24" s="915"/>
      <c r="FO24" s="915"/>
      <c r="FP24" s="915"/>
      <c r="FQ24" s="915"/>
      <c r="FR24" s="915"/>
      <c r="FS24" s="915"/>
      <c r="FT24" s="915"/>
      <c r="FU24" s="915"/>
      <c r="FV24" s="915"/>
      <c r="FW24" s="915"/>
      <c r="FX24" s="915"/>
      <c r="FY24" s="915"/>
      <c r="FZ24" s="915"/>
      <c r="GA24" s="915"/>
      <c r="GB24" s="915"/>
      <c r="GC24" s="915"/>
      <c r="GD24" s="915"/>
      <c r="GE24" s="915"/>
      <c r="GF24" s="915"/>
      <c r="GG24" s="915"/>
      <c r="GH24" s="915"/>
      <c r="GI24" s="915"/>
      <c r="GJ24" s="915"/>
      <c r="GK24" s="915"/>
      <c r="GL24" s="915"/>
      <c r="GM24" s="915"/>
      <c r="GN24" s="915"/>
      <c r="GO24" s="915"/>
      <c r="GP24" s="915"/>
      <c r="GQ24" s="915"/>
      <c r="GR24" s="915"/>
      <c r="GS24" s="915"/>
      <c r="GT24" s="915"/>
      <c r="GU24" s="915"/>
      <c r="GV24" s="915"/>
      <c r="GW24" s="915"/>
      <c r="GX24" s="915"/>
      <c r="GY24" s="915"/>
      <c r="GZ24" s="915"/>
      <c r="HA24" s="915"/>
      <c r="HB24" s="915"/>
      <c r="HC24" s="915"/>
      <c r="HD24" s="915"/>
      <c r="HE24" s="915"/>
      <c r="HF24" s="915"/>
      <c r="HG24" s="915"/>
      <c r="HH24" s="915"/>
      <c r="HI24" s="915"/>
      <c r="HJ24" s="915"/>
      <c r="HK24" s="915"/>
      <c r="HL24" s="915"/>
      <c r="HM24" s="915"/>
      <c r="HN24" s="915"/>
      <c r="HO24" s="915"/>
      <c r="HP24" s="915"/>
      <c r="HQ24" s="915"/>
      <c r="HR24" s="915"/>
      <c r="HS24" s="915"/>
      <c r="HT24" s="915"/>
      <c r="HU24" s="915"/>
      <c r="HV24" s="915"/>
      <c r="HW24" s="915"/>
      <c r="HX24" s="915"/>
      <c r="HY24" s="915"/>
      <c r="HZ24" s="915"/>
      <c r="IA24" s="915"/>
      <c r="IB24" s="915"/>
      <c r="IC24" s="915"/>
      <c r="ID24" s="915"/>
      <c r="IE24" s="915"/>
      <c r="IF24" s="915"/>
      <c r="IG24" s="915"/>
      <c r="IH24" s="915"/>
      <c r="II24" s="915"/>
      <c r="IJ24" s="915"/>
      <c r="IK24" s="915"/>
      <c r="IL24" s="915"/>
      <c r="IM24" s="915"/>
      <c r="IN24" s="915"/>
      <c r="IO24" s="915"/>
      <c r="IP24" s="915"/>
      <c r="IQ24" s="915"/>
      <c r="IR24" s="915"/>
      <c r="IS24" s="915"/>
      <c r="IT24" s="915"/>
      <c r="IU24" s="915"/>
      <c r="IV24" s="915"/>
    </row>
    <row r="25" spans="1:256">
      <c r="A25" s="923" t="s">
        <v>6</v>
      </c>
      <c r="B25" s="906" t="s">
        <v>6</v>
      </c>
      <c r="C25" s="907"/>
      <c r="D25" s="924"/>
      <c r="E25" s="925"/>
      <c r="F25" s="925"/>
      <c r="G25" s="925"/>
      <c r="H25" s="926"/>
      <c r="I25" s="925"/>
      <c r="J25" s="925"/>
      <c r="K25" s="925"/>
      <c r="L25" s="925"/>
      <c r="M25" s="926"/>
      <c r="N25" s="925"/>
      <c r="O25" s="925"/>
      <c r="P25" s="925"/>
      <c r="Q25" s="925"/>
      <c r="R25" s="926"/>
      <c r="S25" s="925"/>
      <c r="T25" s="925"/>
      <c r="U25" s="925"/>
      <c r="V25" s="925"/>
      <c r="W25" s="926"/>
      <c r="X25" s="925"/>
      <c r="Y25" s="925"/>
      <c r="Z25" s="925"/>
      <c r="AA25" s="925"/>
      <c r="AB25" s="926"/>
      <c r="AE25" t="s">
        <v>532</v>
      </c>
    </row>
    <row r="26" spans="1:256">
      <c r="A26" s="927"/>
      <c r="B26" s="910"/>
      <c r="C26" s="911"/>
      <c r="D26" s="912" t="e">
        <f ca="1">_xll.BLUEMATRIX2("/servlet/excelData",D25, $C$14,$B25&amp;":"&amp;D$16&amp;D$17&amp;":"&amp;D$19&amp;":"&amp;$B26)</f>
        <v>#NAME?</v>
      </c>
      <c r="E26" s="913" t="e">
        <f ca="1">_xll.BLUEMATRIX2("/servlet/excelData",E25, $C$14,$B25&amp;":"&amp;E$16&amp;E$17&amp;":"&amp;E$19&amp;":"&amp;$B26)</f>
        <v>#NAME?</v>
      </c>
      <c r="F26" s="913" t="e">
        <f ca="1">_xll.BLUEMATRIX2("/servlet/excelData",F25, $C$14,$B25&amp;":"&amp;F$16&amp;F$17&amp;":"&amp;F$19&amp;":"&amp;$B26)</f>
        <v>#NAME?</v>
      </c>
      <c r="G26" s="913" t="e">
        <f ca="1">_xll.BLUEMATRIX2("/servlet/excelData",G25, $C$14,$B25&amp;":"&amp;G$16&amp;G$17&amp;":"&amp;G$19&amp;":"&amp;$B26)</f>
        <v>#NAME?</v>
      </c>
      <c r="H26" s="914" t="e">
        <f ca="1">_xll.BLUEMATRIX2("/servlet/excelData",H25, $C$14,$B25&amp;":"&amp;H$16&amp;H$17&amp;":"&amp;H$19&amp;":"&amp;$B26)</f>
        <v>#NAME?</v>
      </c>
      <c r="I26" s="913" t="e">
        <f ca="1">_xll.BLUEMATRIX2("/servlet/excelData",I25, $C$14,$B25&amp;":"&amp;I$16&amp;I$17&amp;":"&amp;I$19&amp;":"&amp;$B26)</f>
        <v>#NAME?</v>
      </c>
      <c r="J26" s="913" t="e">
        <f ca="1">_xll.BLUEMATRIX2("/servlet/excelData",J25, $C$14,$B25&amp;":"&amp;J$16&amp;J$17&amp;":"&amp;J$19&amp;":"&amp;$B26)</f>
        <v>#NAME?</v>
      </c>
      <c r="K26" s="913" t="e">
        <f ca="1">_xll.BLUEMATRIX2("/servlet/excelData",K25, $C$14,$B25&amp;":"&amp;K$16&amp;K$17&amp;":"&amp;K$19&amp;":"&amp;$B26)</f>
        <v>#NAME?</v>
      </c>
      <c r="L26" s="913" t="e">
        <f ca="1">_xll.BLUEMATRIX2("/servlet/excelData",L25, $C$14,$B25&amp;":"&amp;L$16&amp;L$17&amp;":"&amp;L$19&amp;":"&amp;$B26)</f>
        <v>#NAME?</v>
      </c>
      <c r="M26" s="914" t="e">
        <f ca="1">_xll.BLUEMATRIX2("/servlet/excelData",M25, $C$14,$B25&amp;":"&amp;M$16&amp;M$17&amp;":"&amp;M$19&amp;":"&amp;$B26)</f>
        <v>#NAME?</v>
      </c>
      <c r="N26" s="913" t="e">
        <f ca="1">_xll.BLUEMATRIX2("/servlet/excelData",N25, $C$14,$B25&amp;":"&amp;N$16&amp;N$17&amp;":"&amp;N$19&amp;":"&amp;$B26)</f>
        <v>#NAME?</v>
      </c>
      <c r="O26" s="913" t="e">
        <f ca="1">_xll.BLUEMATRIX2("/servlet/excelData",O25, $C$14,$B25&amp;":"&amp;O$16&amp;O$17&amp;":"&amp;O$19&amp;":"&amp;$B26)</f>
        <v>#NAME?</v>
      </c>
      <c r="P26" s="913" t="e">
        <f ca="1">_xll.BLUEMATRIX2("/servlet/excelData",P25, $C$14,$B25&amp;":"&amp;P$16&amp;P$17&amp;":"&amp;P$19&amp;":"&amp;$B26)</f>
        <v>#NAME?</v>
      </c>
      <c r="Q26" s="913" t="e">
        <f ca="1">_xll.BLUEMATRIX2("/servlet/excelData",Q25, $C$14,$B25&amp;":"&amp;Q$16&amp;Q$17&amp;":"&amp;Q$19&amp;":"&amp;$B26)</f>
        <v>#NAME?</v>
      </c>
      <c r="R26" s="914" t="e">
        <f ca="1">_xll.BLUEMATRIX2("/servlet/excelData",R25, $C$14,$B25&amp;":"&amp;R$16&amp;R$17&amp;":"&amp;R$19&amp;":"&amp;$B26)</f>
        <v>#NAME?</v>
      </c>
      <c r="S26" s="913" t="e">
        <f ca="1">_xll.BLUEMATRIX2("/servlet/excelData",S25, $C$14,$B25&amp;":"&amp;S$16&amp;S$17&amp;":"&amp;S$19&amp;":"&amp;$B26)</f>
        <v>#NAME?</v>
      </c>
      <c r="T26" s="913" t="e">
        <f ca="1">_xll.BLUEMATRIX2("/servlet/excelData",T25, $C$14,$B25&amp;":"&amp;T$16&amp;T$17&amp;":"&amp;T$19&amp;":"&amp;$B26)</f>
        <v>#NAME?</v>
      </c>
      <c r="U26" s="913" t="e">
        <f ca="1">_xll.BLUEMATRIX2("/servlet/excelData",U25, $C$14,$B25&amp;":"&amp;U$16&amp;U$17&amp;":"&amp;U$19&amp;":"&amp;$B26)</f>
        <v>#NAME?</v>
      </c>
      <c r="V26" s="913" t="e">
        <f ca="1">_xll.BLUEMATRIX2("/servlet/excelData",V25, $C$14,$B25&amp;":"&amp;V$16&amp;V$17&amp;":"&amp;V$19&amp;":"&amp;$B26)</f>
        <v>#NAME?</v>
      </c>
      <c r="W26" s="914" t="e">
        <f ca="1">_xll.BLUEMATRIX2("/servlet/excelData",W25, $C$14,$B25&amp;":"&amp;W$16&amp;W$17&amp;":"&amp;W$19&amp;":"&amp;$B26)</f>
        <v>#NAME?</v>
      </c>
      <c r="X26" s="913" t="e">
        <f ca="1">_xll.BLUEMATRIX2("/servlet/excelData",X25, $C$14,$B25&amp;":"&amp;X$16&amp;X$17&amp;":"&amp;X$19&amp;":"&amp;$B26)</f>
        <v>#NAME?</v>
      </c>
      <c r="Y26" s="913" t="e">
        <f ca="1">_xll.BLUEMATRIX2("/servlet/excelData",Y25, $C$14,$B25&amp;":"&amp;Y$16&amp;Y$17&amp;":"&amp;Y$19&amp;":"&amp;$B26)</f>
        <v>#NAME?</v>
      </c>
      <c r="Z26" s="913" t="e">
        <f ca="1">_xll.BLUEMATRIX2("/servlet/excelData",Z25, $C$14,$B25&amp;":"&amp;Z$16&amp;Z$17&amp;":"&amp;Z$19&amp;":"&amp;$B26)</f>
        <v>#NAME?</v>
      </c>
      <c r="AA26" s="913" t="e">
        <f ca="1">_xll.BLUEMATRIX2("/servlet/excelData",AA25, $C$14,$B25&amp;":"&amp;AA$16&amp;AA$17&amp;":"&amp;AA$19&amp;":"&amp;$B26)</f>
        <v>#NAME?</v>
      </c>
      <c r="AB26" s="914" t="e">
        <f ca="1">_xll.BLUEMATRIX2("/servlet/excelData",AB25, $C$14,$B25&amp;":"&amp;AB$16&amp;AB$17&amp;":"&amp;AB$19&amp;":"&amp;$B26)</f>
        <v>#NAME?</v>
      </c>
      <c r="AC26" s="915"/>
      <c r="AD26" s="915"/>
      <c r="AE26" t="s">
        <v>533</v>
      </c>
      <c r="AF26" s="915"/>
      <c r="AG26" s="915"/>
      <c r="AH26" s="915"/>
      <c r="AI26" s="915"/>
      <c r="AJ26" s="915"/>
      <c r="AK26" s="915"/>
      <c r="AL26" s="915"/>
      <c r="AM26" s="915"/>
      <c r="AN26" s="915"/>
      <c r="AO26" s="915"/>
      <c r="AP26" s="915"/>
      <c r="AQ26" s="915"/>
      <c r="AR26" s="915"/>
      <c r="AS26" s="915"/>
      <c r="AT26" s="915"/>
      <c r="AU26" s="915"/>
      <c r="AV26" s="915"/>
      <c r="AW26" s="915"/>
      <c r="AX26" s="915"/>
      <c r="AY26" s="915"/>
      <c r="AZ26" s="915"/>
      <c r="BA26" s="915"/>
      <c r="BB26" s="915"/>
      <c r="BC26" s="915"/>
      <c r="BD26" s="915"/>
      <c r="BE26" s="915"/>
      <c r="BF26" s="915"/>
      <c r="BG26" s="915"/>
      <c r="BH26" s="915"/>
      <c r="BI26" s="915"/>
      <c r="BJ26" s="915"/>
      <c r="BK26" s="915"/>
      <c r="BL26" s="915"/>
      <c r="BM26" s="915"/>
      <c r="BN26" s="915"/>
      <c r="BO26" s="915"/>
      <c r="BP26" s="915"/>
      <c r="BQ26" s="915"/>
      <c r="BR26" s="915"/>
      <c r="BS26" s="915"/>
      <c r="BT26" s="915"/>
      <c r="BU26" s="915"/>
      <c r="BV26" s="915"/>
      <c r="BW26" s="915"/>
      <c r="BX26" s="915"/>
      <c r="BY26" s="915"/>
      <c r="BZ26" s="915"/>
      <c r="CA26" s="915"/>
      <c r="CB26" s="915"/>
      <c r="CC26" s="915"/>
      <c r="CD26" s="915"/>
      <c r="CE26" s="915"/>
      <c r="CF26" s="915"/>
      <c r="CG26" s="915"/>
      <c r="CH26" s="915"/>
      <c r="CI26" s="915"/>
      <c r="CJ26" s="915"/>
      <c r="CK26" s="915"/>
      <c r="CL26" s="915"/>
      <c r="CM26" s="915"/>
      <c r="CN26" s="915"/>
      <c r="CO26" s="915"/>
      <c r="CP26" s="915"/>
      <c r="CQ26" s="915"/>
      <c r="CR26" s="915"/>
      <c r="CS26" s="915"/>
      <c r="CT26" s="915"/>
      <c r="CU26" s="915"/>
      <c r="CV26" s="915"/>
      <c r="CW26" s="915"/>
      <c r="CX26" s="915"/>
      <c r="CY26" s="915"/>
      <c r="CZ26" s="915"/>
      <c r="DA26" s="915"/>
      <c r="DB26" s="915"/>
      <c r="DC26" s="915"/>
      <c r="DD26" s="915"/>
      <c r="DE26" s="915"/>
      <c r="DF26" s="915"/>
      <c r="DG26" s="915"/>
      <c r="DH26" s="915"/>
      <c r="DI26" s="915"/>
      <c r="DJ26" s="915"/>
      <c r="DK26" s="915"/>
      <c r="DL26" s="915"/>
      <c r="DM26" s="915"/>
      <c r="DN26" s="915"/>
      <c r="DO26" s="915"/>
      <c r="DP26" s="915"/>
      <c r="DQ26" s="915"/>
      <c r="DR26" s="915"/>
      <c r="DS26" s="915"/>
      <c r="DT26" s="915"/>
      <c r="DU26" s="915"/>
      <c r="DV26" s="915"/>
      <c r="DW26" s="915"/>
      <c r="DX26" s="915"/>
      <c r="DY26" s="915"/>
      <c r="DZ26" s="915"/>
      <c r="EA26" s="915"/>
      <c r="EB26" s="915"/>
      <c r="EC26" s="915"/>
      <c r="ED26" s="915"/>
      <c r="EE26" s="915"/>
      <c r="EF26" s="915"/>
      <c r="EG26" s="915"/>
      <c r="EH26" s="915"/>
      <c r="EI26" s="915"/>
      <c r="EJ26" s="915"/>
      <c r="EK26" s="915"/>
      <c r="EL26" s="915"/>
      <c r="EM26" s="915"/>
      <c r="EN26" s="915"/>
      <c r="EO26" s="915"/>
      <c r="EP26" s="915"/>
      <c r="EQ26" s="915"/>
      <c r="ER26" s="915"/>
      <c r="ES26" s="915"/>
      <c r="ET26" s="915"/>
      <c r="EU26" s="915"/>
      <c r="EV26" s="915"/>
      <c r="EW26" s="915"/>
      <c r="EX26" s="915"/>
      <c r="EY26" s="915"/>
      <c r="EZ26" s="915"/>
      <c r="FA26" s="915"/>
      <c r="FB26" s="915"/>
      <c r="FC26" s="915"/>
      <c r="FD26" s="915"/>
      <c r="FE26" s="915"/>
      <c r="FF26" s="915"/>
      <c r="FG26" s="915"/>
      <c r="FH26" s="915"/>
      <c r="FI26" s="915"/>
      <c r="FJ26" s="915"/>
      <c r="FK26" s="915"/>
      <c r="FL26" s="915"/>
      <c r="FM26" s="915"/>
      <c r="FN26" s="915"/>
      <c r="FO26" s="915"/>
      <c r="FP26" s="915"/>
      <c r="FQ26" s="915"/>
      <c r="FR26" s="915"/>
      <c r="FS26" s="915"/>
      <c r="FT26" s="915"/>
      <c r="FU26" s="915"/>
      <c r="FV26" s="915"/>
      <c r="FW26" s="915"/>
      <c r="FX26" s="915"/>
      <c r="FY26" s="915"/>
      <c r="FZ26" s="915"/>
      <c r="GA26" s="915"/>
      <c r="GB26" s="915"/>
      <c r="GC26" s="915"/>
      <c r="GD26" s="915"/>
      <c r="GE26" s="915"/>
      <c r="GF26" s="915"/>
      <c r="GG26" s="915"/>
      <c r="GH26" s="915"/>
      <c r="GI26" s="915"/>
      <c r="GJ26" s="915"/>
      <c r="GK26" s="915"/>
      <c r="GL26" s="915"/>
      <c r="GM26" s="915"/>
      <c r="GN26" s="915"/>
      <c r="GO26" s="915"/>
      <c r="GP26" s="915"/>
      <c r="GQ26" s="915"/>
      <c r="GR26" s="915"/>
      <c r="GS26" s="915"/>
      <c r="GT26" s="915"/>
      <c r="GU26" s="915"/>
      <c r="GV26" s="915"/>
      <c r="GW26" s="915"/>
      <c r="GX26" s="915"/>
      <c r="GY26" s="915"/>
      <c r="GZ26" s="915"/>
      <c r="HA26" s="915"/>
      <c r="HB26" s="915"/>
      <c r="HC26" s="915"/>
      <c r="HD26" s="915"/>
      <c r="HE26" s="915"/>
      <c r="HF26" s="915"/>
      <c r="HG26" s="915"/>
      <c r="HH26" s="915"/>
      <c r="HI26" s="915"/>
      <c r="HJ26" s="915"/>
      <c r="HK26" s="915"/>
      <c r="HL26" s="915"/>
      <c r="HM26" s="915"/>
      <c r="HN26" s="915"/>
      <c r="HO26" s="915"/>
      <c r="HP26" s="915"/>
      <c r="HQ26" s="915"/>
      <c r="HR26" s="915"/>
      <c r="HS26" s="915"/>
      <c r="HT26" s="915"/>
      <c r="HU26" s="915"/>
      <c r="HV26" s="915"/>
      <c r="HW26" s="915"/>
      <c r="HX26" s="915"/>
      <c r="HY26" s="915"/>
      <c r="HZ26" s="915"/>
      <c r="IA26" s="915"/>
      <c r="IB26" s="915"/>
      <c r="IC26" s="915"/>
      <c r="ID26" s="915"/>
      <c r="IE26" s="915"/>
      <c r="IF26" s="915"/>
      <c r="IG26" s="915"/>
      <c r="IH26" s="915"/>
      <c r="II26" s="915"/>
      <c r="IJ26" s="915"/>
      <c r="IK26" s="915"/>
      <c r="IL26" s="915"/>
      <c r="IM26" s="915"/>
      <c r="IN26" s="915"/>
      <c r="IO26" s="915"/>
      <c r="IP26" s="915"/>
      <c r="IQ26" s="915"/>
      <c r="IR26" s="915"/>
      <c r="IS26" s="915"/>
      <c r="IT26" s="915"/>
      <c r="IU26" s="915"/>
      <c r="IV26" s="915"/>
    </row>
    <row r="27" spans="1:256">
      <c r="A27" s="928" t="s">
        <v>534</v>
      </c>
      <c r="B27" s="917" t="s">
        <v>534</v>
      </c>
      <c r="C27" s="918"/>
      <c r="D27" s="929"/>
      <c r="E27" s="915"/>
      <c r="F27" s="915"/>
      <c r="G27" s="915"/>
      <c r="H27" s="930"/>
      <c r="I27" s="915"/>
      <c r="J27" s="915"/>
      <c r="K27" s="915"/>
      <c r="L27" s="915"/>
      <c r="M27" s="930"/>
      <c r="N27" s="915"/>
      <c r="O27" s="915"/>
      <c r="P27" s="915"/>
      <c r="Q27" s="915"/>
      <c r="R27" s="930"/>
      <c r="S27" s="915"/>
      <c r="T27" s="915"/>
      <c r="U27" s="915"/>
      <c r="V27" s="915"/>
      <c r="W27" s="930"/>
      <c r="X27" s="915"/>
      <c r="Y27" s="915"/>
      <c r="Z27" s="915"/>
      <c r="AA27" s="915"/>
      <c r="AB27" s="930"/>
      <c r="AE27" s="859"/>
    </row>
    <row r="28" spans="1:256">
      <c r="A28" s="931"/>
      <c r="B28" s="921"/>
      <c r="C28" s="922"/>
      <c r="D28" s="932" t="e">
        <f ca="1">_xll.BLUEMATRIX2("/servlet/excelData",D27, $C$14,$B27&amp;":"&amp;D$16&amp;D$17&amp;":"&amp;D$19&amp;":"&amp;$B28)</f>
        <v>#NAME?</v>
      </c>
      <c r="E28" s="933" t="e">
        <f ca="1">_xll.BLUEMATRIX2("/servlet/excelData",E27, $C$14,$B27&amp;":"&amp;E$16&amp;E$17&amp;":"&amp;E$19&amp;":"&amp;$B28)</f>
        <v>#NAME?</v>
      </c>
      <c r="F28" s="933" t="e">
        <f ca="1">_xll.BLUEMATRIX2("/servlet/excelData",F27, $C$14,$B27&amp;":"&amp;F$16&amp;F$17&amp;":"&amp;F$19&amp;":"&amp;$B28)</f>
        <v>#NAME?</v>
      </c>
      <c r="G28" s="933" t="e">
        <f ca="1">_xll.BLUEMATRIX2("/servlet/excelData",G27, $C$14,$B27&amp;":"&amp;G$16&amp;G$17&amp;":"&amp;G$19&amp;":"&amp;$B28)</f>
        <v>#NAME?</v>
      </c>
      <c r="H28" s="868" t="e">
        <f ca="1">_xll.BLUEMATRIX2("/servlet/excelData",H27, $C$14,$B27&amp;":"&amp;H$16&amp;H$17&amp;":"&amp;H$19&amp;":"&amp;$B28)</f>
        <v>#NAME?</v>
      </c>
      <c r="I28" s="933" t="e">
        <f ca="1">_xll.BLUEMATRIX2("/servlet/excelData",I27, $C$14,$B27&amp;":"&amp;I$16&amp;I$17&amp;":"&amp;I$19&amp;":"&amp;$B28)</f>
        <v>#NAME?</v>
      </c>
      <c r="J28" s="933" t="e">
        <f ca="1">_xll.BLUEMATRIX2("/servlet/excelData",J27, $C$14,$B27&amp;":"&amp;J$16&amp;J$17&amp;":"&amp;J$19&amp;":"&amp;$B28)</f>
        <v>#NAME?</v>
      </c>
      <c r="K28" s="933" t="e">
        <f ca="1">_xll.BLUEMATRIX2("/servlet/excelData",K27, $C$14,$B27&amp;":"&amp;K$16&amp;K$17&amp;":"&amp;K$19&amp;":"&amp;$B28)</f>
        <v>#NAME?</v>
      </c>
      <c r="L28" s="933" t="e">
        <f ca="1">_xll.BLUEMATRIX2("/servlet/excelData",L27, $C$14,$B27&amp;":"&amp;L$16&amp;L$17&amp;":"&amp;L$19&amp;":"&amp;$B28)</f>
        <v>#NAME?</v>
      </c>
      <c r="M28" s="868" t="e">
        <f ca="1">_xll.BLUEMATRIX2("/servlet/excelData",M27, $C$14,$B27&amp;":"&amp;M$16&amp;M$17&amp;":"&amp;M$19&amp;":"&amp;$B28)</f>
        <v>#NAME?</v>
      </c>
      <c r="N28" s="933" t="e">
        <f ca="1">_xll.BLUEMATRIX2("/servlet/excelData",N27, $C$14,$B27&amp;":"&amp;N$16&amp;N$17&amp;":"&amp;N$19&amp;":"&amp;$B28)</f>
        <v>#NAME?</v>
      </c>
      <c r="O28" s="933" t="e">
        <f ca="1">_xll.BLUEMATRIX2("/servlet/excelData",O27, $C$14,$B27&amp;":"&amp;O$16&amp;O$17&amp;":"&amp;O$19&amp;":"&amp;$B28)</f>
        <v>#NAME?</v>
      </c>
      <c r="P28" s="933" t="e">
        <f ca="1">_xll.BLUEMATRIX2("/servlet/excelData",P27, $C$14,$B27&amp;":"&amp;P$16&amp;P$17&amp;":"&amp;P$19&amp;":"&amp;$B28)</f>
        <v>#NAME?</v>
      </c>
      <c r="Q28" s="933" t="e">
        <f ca="1">_xll.BLUEMATRIX2("/servlet/excelData",Q27, $C$14,$B27&amp;":"&amp;Q$16&amp;Q$17&amp;":"&amp;Q$19&amp;":"&amp;$B28)</f>
        <v>#NAME?</v>
      </c>
      <c r="R28" s="868" t="e">
        <f ca="1">_xll.BLUEMATRIX2("/servlet/excelData",R27, $C$14,$B27&amp;":"&amp;R$16&amp;R$17&amp;":"&amp;R$19&amp;":"&amp;$B28)</f>
        <v>#NAME?</v>
      </c>
      <c r="S28" s="933" t="e">
        <f ca="1">_xll.BLUEMATRIX2("/servlet/excelData",S27, $C$14,$B27&amp;":"&amp;S$16&amp;S$17&amp;":"&amp;S$19&amp;":"&amp;$B28)</f>
        <v>#NAME?</v>
      </c>
      <c r="T28" s="933" t="e">
        <f ca="1">_xll.BLUEMATRIX2("/servlet/excelData",T27, $C$14,$B27&amp;":"&amp;T$16&amp;T$17&amp;":"&amp;T$19&amp;":"&amp;$B28)</f>
        <v>#NAME?</v>
      </c>
      <c r="U28" s="933" t="e">
        <f ca="1">_xll.BLUEMATRIX2("/servlet/excelData",U27, $C$14,$B27&amp;":"&amp;U$16&amp;U$17&amp;":"&amp;U$19&amp;":"&amp;$B28)</f>
        <v>#NAME?</v>
      </c>
      <c r="V28" s="933" t="e">
        <f ca="1">_xll.BLUEMATRIX2("/servlet/excelData",V27, $C$14,$B27&amp;":"&amp;V$16&amp;V$17&amp;":"&amp;V$19&amp;":"&amp;$B28)</f>
        <v>#NAME?</v>
      </c>
      <c r="W28" s="868" t="e">
        <f ca="1">_xll.BLUEMATRIX2("/servlet/excelData",W27, $C$14,$B27&amp;":"&amp;W$16&amp;W$17&amp;":"&amp;W$19&amp;":"&amp;$B28)</f>
        <v>#NAME?</v>
      </c>
      <c r="X28" s="933" t="e">
        <f ca="1">_xll.BLUEMATRIX2("/servlet/excelData",X27, $C$14,$B27&amp;":"&amp;X$16&amp;X$17&amp;":"&amp;X$19&amp;":"&amp;$B28)</f>
        <v>#NAME?</v>
      </c>
      <c r="Y28" s="933" t="e">
        <f ca="1">_xll.BLUEMATRIX2("/servlet/excelData",Y27, $C$14,$B27&amp;":"&amp;Y$16&amp;Y$17&amp;":"&amp;Y$19&amp;":"&amp;$B28)</f>
        <v>#NAME?</v>
      </c>
      <c r="Z28" s="933" t="e">
        <f ca="1">_xll.BLUEMATRIX2("/servlet/excelData",Z27, $C$14,$B27&amp;":"&amp;Z$16&amp;Z$17&amp;":"&amp;Z$19&amp;":"&amp;$B28)</f>
        <v>#NAME?</v>
      </c>
      <c r="AA28" s="933" t="e">
        <f ca="1">_xll.BLUEMATRIX2("/servlet/excelData",AA27, $C$14,$B27&amp;":"&amp;AA$16&amp;AA$17&amp;":"&amp;AA$19&amp;":"&amp;$B28)</f>
        <v>#NAME?</v>
      </c>
      <c r="AB28" s="868" t="e">
        <f ca="1">_xll.BLUEMATRIX2("/servlet/excelData",AB27, $C$14,$B27&amp;":"&amp;AB$16&amp;AB$17&amp;":"&amp;AB$19&amp;":"&amp;$B28)</f>
        <v>#NAME?</v>
      </c>
      <c r="AC28" s="915"/>
      <c r="AD28" s="915"/>
      <c r="AE28" s="859"/>
      <c r="AF28" s="915"/>
      <c r="AG28" s="915"/>
      <c r="AH28" s="915"/>
      <c r="AI28" s="915"/>
      <c r="AJ28" s="915"/>
      <c r="AK28" s="915"/>
      <c r="AL28" s="915"/>
      <c r="AM28" s="915"/>
      <c r="AN28" s="915"/>
      <c r="AO28" s="915"/>
      <c r="AP28" s="915"/>
      <c r="AQ28" s="915"/>
      <c r="AR28" s="915"/>
      <c r="AS28" s="915"/>
      <c r="AT28" s="915"/>
      <c r="AU28" s="915"/>
      <c r="AV28" s="915"/>
      <c r="AW28" s="915"/>
      <c r="AX28" s="915"/>
      <c r="AY28" s="915"/>
      <c r="AZ28" s="915"/>
      <c r="BA28" s="915"/>
      <c r="BB28" s="915"/>
      <c r="BC28" s="915"/>
      <c r="BD28" s="915"/>
      <c r="BE28" s="915"/>
      <c r="BF28" s="915"/>
      <c r="BG28" s="915"/>
      <c r="BH28" s="915"/>
      <c r="BI28" s="915"/>
      <c r="BJ28" s="915"/>
      <c r="BK28" s="915"/>
      <c r="BL28" s="915"/>
      <c r="BM28" s="915"/>
      <c r="BN28" s="915"/>
      <c r="BO28" s="915"/>
      <c r="BP28" s="915"/>
      <c r="BQ28" s="915"/>
      <c r="BR28" s="915"/>
      <c r="BS28" s="915"/>
      <c r="BT28" s="915"/>
      <c r="BU28" s="915"/>
      <c r="BV28" s="915"/>
      <c r="BW28" s="915"/>
      <c r="BX28" s="915"/>
      <c r="BY28" s="915"/>
      <c r="BZ28" s="915"/>
      <c r="CA28" s="915"/>
      <c r="CB28" s="915"/>
      <c r="CC28" s="915"/>
      <c r="CD28" s="915"/>
      <c r="CE28" s="915"/>
      <c r="CF28" s="915"/>
      <c r="CG28" s="915"/>
      <c r="CH28" s="915"/>
      <c r="CI28" s="915"/>
      <c r="CJ28" s="915"/>
      <c r="CK28" s="915"/>
      <c r="CL28" s="915"/>
      <c r="CM28" s="915"/>
      <c r="CN28" s="915"/>
      <c r="CO28" s="915"/>
      <c r="CP28" s="915"/>
      <c r="CQ28" s="915"/>
      <c r="CR28" s="915"/>
      <c r="CS28" s="915"/>
      <c r="CT28" s="915"/>
      <c r="CU28" s="915"/>
      <c r="CV28" s="915"/>
      <c r="CW28" s="915"/>
      <c r="CX28" s="915"/>
      <c r="CY28" s="915"/>
      <c r="CZ28" s="915"/>
      <c r="DA28" s="915"/>
      <c r="DB28" s="915"/>
      <c r="DC28" s="915"/>
      <c r="DD28" s="915"/>
      <c r="DE28" s="915"/>
      <c r="DF28" s="915"/>
      <c r="DG28" s="915"/>
      <c r="DH28" s="915"/>
      <c r="DI28" s="915"/>
      <c r="DJ28" s="915"/>
      <c r="DK28" s="915"/>
      <c r="DL28" s="915"/>
      <c r="DM28" s="915"/>
      <c r="DN28" s="915"/>
      <c r="DO28" s="915"/>
      <c r="DP28" s="915"/>
      <c r="DQ28" s="915"/>
      <c r="DR28" s="915"/>
      <c r="DS28" s="915"/>
      <c r="DT28" s="915"/>
      <c r="DU28" s="915"/>
      <c r="DV28" s="915"/>
      <c r="DW28" s="915"/>
      <c r="DX28" s="915"/>
      <c r="DY28" s="915"/>
      <c r="DZ28" s="915"/>
      <c r="EA28" s="915"/>
      <c r="EB28" s="915"/>
      <c r="EC28" s="915"/>
      <c r="ED28" s="915"/>
      <c r="EE28" s="915"/>
      <c r="EF28" s="915"/>
      <c r="EG28" s="915"/>
      <c r="EH28" s="915"/>
      <c r="EI28" s="915"/>
      <c r="EJ28" s="915"/>
      <c r="EK28" s="915"/>
      <c r="EL28" s="915"/>
      <c r="EM28" s="915"/>
      <c r="EN28" s="915"/>
      <c r="EO28" s="915"/>
      <c r="EP28" s="915"/>
      <c r="EQ28" s="915"/>
      <c r="ER28" s="915"/>
      <c r="ES28" s="915"/>
      <c r="ET28" s="915"/>
      <c r="EU28" s="915"/>
      <c r="EV28" s="915"/>
      <c r="EW28" s="915"/>
      <c r="EX28" s="915"/>
      <c r="EY28" s="915"/>
      <c r="EZ28" s="915"/>
      <c r="FA28" s="915"/>
      <c r="FB28" s="915"/>
      <c r="FC28" s="915"/>
      <c r="FD28" s="915"/>
      <c r="FE28" s="915"/>
      <c r="FF28" s="915"/>
      <c r="FG28" s="915"/>
      <c r="FH28" s="915"/>
      <c r="FI28" s="915"/>
      <c r="FJ28" s="915"/>
      <c r="FK28" s="915"/>
      <c r="FL28" s="915"/>
      <c r="FM28" s="915"/>
      <c r="FN28" s="915"/>
      <c r="FO28" s="915"/>
      <c r="FP28" s="915"/>
      <c r="FQ28" s="915"/>
      <c r="FR28" s="915"/>
      <c r="FS28" s="915"/>
      <c r="FT28" s="915"/>
      <c r="FU28" s="915"/>
      <c r="FV28" s="915"/>
      <c r="FW28" s="915"/>
      <c r="FX28" s="915"/>
      <c r="FY28" s="915"/>
      <c r="FZ28" s="915"/>
      <c r="GA28" s="915"/>
      <c r="GB28" s="915"/>
      <c r="GC28" s="915"/>
      <c r="GD28" s="915"/>
      <c r="GE28" s="915"/>
      <c r="GF28" s="915"/>
      <c r="GG28" s="915"/>
      <c r="GH28" s="915"/>
      <c r="GI28" s="915"/>
      <c r="GJ28" s="915"/>
      <c r="GK28" s="915"/>
      <c r="GL28" s="915"/>
      <c r="GM28" s="915"/>
      <c r="GN28" s="915"/>
      <c r="GO28" s="915"/>
      <c r="GP28" s="915"/>
      <c r="GQ28" s="915"/>
      <c r="GR28" s="915"/>
      <c r="GS28" s="915"/>
      <c r="GT28" s="915"/>
      <c r="GU28" s="915"/>
      <c r="GV28" s="915"/>
      <c r="GW28" s="915"/>
      <c r="GX28" s="915"/>
      <c r="GY28" s="915"/>
      <c r="GZ28" s="915"/>
      <c r="HA28" s="915"/>
      <c r="HB28" s="915"/>
      <c r="HC28" s="915"/>
      <c r="HD28" s="915"/>
      <c r="HE28" s="915"/>
      <c r="HF28" s="915"/>
      <c r="HG28" s="915"/>
      <c r="HH28" s="915"/>
      <c r="HI28" s="915"/>
      <c r="HJ28" s="915"/>
      <c r="HK28" s="915"/>
      <c r="HL28" s="915"/>
      <c r="HM28" s="915"/>
      <c r="HN28" s="915"/>
      <c r="HO28" s="915"/>
      <c r="HP28" s="915"/>
      <c r="HQ28" s="915"/>
      <c r="HR28" s="915"/>
      <c r="HS28" s="915"/>
      <c r="HT28" s="915"/>
      <c r="HU28" s="915"/>
      <c r="HV28" s="915"/>
      <c r="HW28" s="915"/>
      <c r="HX28" s="915"/>
      <c r="HY28" s="915"/>
      <c r="HZ28" s="915"/>
      <c r="IA28" s="915"/>
      <c r="IB28" s="915"/>
      <c r="IC28" s="915"/>
      <c r="ID28" s="915"/>
      <c r="IE28" s="915"/>
      <c r="IF28" s="915"/>
      <c r="IG28" s="915"/>
      <c r="IH28" s="915"/>
      <c r="II28" s="915"/>
      <c r="IJ28" s="915"/>
      <c r="IK28" s="915"/>
      <c r="IL28" s="915"/>
      <c r="IM28" s="915"/>
      <c r="IN28" s="915"/>
      <c r="IO28" s="915"/>
      <c r="IP28" s="915"/>
      <c r="IQ28" s="915"/>
      <c r="IR28" s="915"/>
      <c r="IS28" s="915"/>
      <c r="IT28" s="915"/>
      <c r="IU28" s="915"/>
      <c r="IV28" s="915"/>
    </row>
    <row r="29" spans="1:256">
      <c r="A29" s="923" t="s">
        <v>535</v>
      </c>
      <c r="B29" s="906" t="s">
        <v>536</v>
      </c>
      <c r="C29" s="907"/>
      <c r="D29" s="924"/>
      <c r="E29" s="925"/>
      <c r="F29" s="925"/>
      <c r="G29" s="925"/>
      <c r="H29" s="926"/>
      <c r="I29" s="925"/>
      <c r="J29" s="925"/>
      <c r="K29" s="925"/>
      <c r="L29" s="925"/>
      <c r="M29" s="926"/>
      <c r="N29" s="925"/>
      <c r="O29" s="925"/>
      <c r="P29" s="925"/>
      <c r="Q29" s="925"/>
      <c r="R29" s="926"/>
      <c r="S29" s="925"/>
      <c r="T29" s="925"/>
      <c r="U29" s="925"/>
      <c r="V29" s="925"/>
      <c r="W29" s="926"/>
      <c r="X29" s="925"/>
      <c r="Y29" s="925"/>
      <c r="Z29" s="925"/>
      <c r="AA29" s="925"/>
      <c r="AB29" s="926"/>
      <c r="AE29" s="859"/>
    </row>
    <row r="30" spans="1:256">
      <c r="A30" s="927"/>
      <c r="B30" s="910"/>
      <c r="C30" s="911"/>
      <c r="D30" s="912" t="e">
        <f ca="1">_xll.BLUEMATRIX2("/servlet/excelData",D29, $C$14,$B29&amp;":"&amp;D$16&amp;D$17&amp;":"&amp;D$19&amp;":"&amp;$B30)</f>
        <v>#NAME?</v>
      </c>
      <c r="E30" s="913" t="e">
        <f ca="1">_xll.BLUEMATRIX2("/servlet/excelData",E29, $C$14,$B29&amp;":"&amp;E$16&amp;E$17&amp;":"&amp;E$19&amp;":"&amp;$B30)</f>
        <v>#NAME?</v>
      </c>
      <c r="F30" s="913" t="e">
        <f ca="1">_xll.BLUEMATRIX2("/servlet/excelData",F29, $C$14,$B29&amp;":"&amp;F$16&amp;F$17&amp;":"&amp;F$19&amp;":"&amp;$B30)</f>
        <v>#NAME?</v>
      </c>
      <c r="G30" s="913" t="e">
        <f ca="1">_xll.BLUEMATRIX2("/servlet/excelData",G29, $C$14,$B29&amp;":"&amp;G$16&amp;G$17&amp;":"&amp;G$19&amp;":"&amp;$B30)</f>
        <v>#NAME?</v>
      </c>
      <c r="H30" s="914" t="e">
        <f ca="1">_xll.BLUEMATRIX2("/servlet/excelData",H29, $C$14,$B29&amp;":"&amp;H$16&amp;H$17&amp;":"&amp;H$19&amp;":"&amp;$B30)</f>
        <v>#NAME?</v>
      </c>
      <c r="I30" s="913" t="e">
        <f ca="1">_xll.BLUEMATRIX2("/servlet/excelData",I29, $C$14,$B29&amp;":"&amp;I$16&amp;I$17&amp;":"&amp;I$19&amp;":"&amp;$B30)</f>
        <v>#NAME?</v>
      </c>
      <c r="J30" s="913" t="e">
        <f ca="1">_xll.BLUEMATRIX2("/servlet/excelData",J29, $C$14,$B29&amp;":"&amp;J$16&amp;J$17&amp;":"&amp;J$19&amp;":"&amp;$B30)</f>
        <v>#NAME?</v>
      </c>
      <c r="K30" s="913" t="e">
        <f ca="1">_xll.BLUEMATRIX2("/servlet/excelData",K29, $C$14,$B29&amp;":"&amp;K$16&amp;K$17&amp;":"&amp;K$19&amp;":"&amp;$B30)</f>
        <v>#NAME?</v>
      </c>
      <c r="L30" s="913" t="e">
        <f ca="1">_xll.BLUEMATRIX2("/servlet/excelData",L29, $C$14,$B29&amp;":"&amp;L$16&amp;L$17&amp;":"&amp;L$19&amp;":"&amp;$B30)</f>
        <v>#NAME?</v>
      </c>
      <c r="M30" s="914" t="e">
        <f ca="1">_xll.BLUEMATRIX2("/servlet/excelData",M29, $C$14,$B29&amp;":"&amp;M$16&amp;M$17&amp;":"&amp;M$19&amp;":"&amp;$B30)</f>
        <v>#NAME?</v>
      </c>
      <c r="N30" s="913" t="e">
        <f ca="1">_xll.BLUEMATRIX2("/servlet/excelData",N29, $C$14,$B29&amp;":"&amp;N$16&amp;N$17&amp;":"&amp;N$19&amp;":"&amp;$B30)</f>
        <v>#NAME?</v>
      </c>
      <c r="O30" s="913" t="e">
        <f ca="1">_xll.BLUEMATRIX2("/servlet/excelData",O29, $C$14,$B29&amp;":"&amp;O$16&amp;O$17&amp;":"&amp;O$19&amp;":"&amp;$B30)</f>
        <v>#NAME?</v>
      </c>
      <c r="P30" s="913" t="e">
        <f ca="1">_xll.BLUEMATRIX2("/servlet/excelData",P29, $C$14,$B29&amp;":"&amp;P$16&amp;P$17&amp;":"&amp;P$19&amp;":"&amp;$B30)</f>
        <v>#NAME?</v>
      </c>
      <c r="Q30" s="913" t="e">
        <f ca="1">_xll.BLUEMATRIX2("/servlet/excelData",Q29, $C$14,$B29&amp;":"&amp;Q$16&amp;Q$17&amp;":"&amp;Q$19&amp;":"&amp;$B30)</f>
        <v>#NAME?</v>
      </c>
      <c r="R30" s="914" t="e">
        <f ca="1">_xll.BLUEMATRIX2("/servlet/excelData",R29, $C$14,$B29&amp;":"&amp;R$16&amp;R$17&amp;":"&amp;R$19&amp;":"&amp;$B30)</f>
        <v>#NAME?</v>
      </c>
      <c r="S30" s="913" t="e">
        <f ca="1">_xll.BLUEMATRIX2("/servlet/excelData",S29, $C$14,$B29&amp;":"&amp;S$16&amp;S$17&amp;":"&amp;S$19&amp;":"&amp;$B30)</f>
        <v>#NAME?</v>
      </c>
      <c r="T30" s="913" t="e">
        <f ca="1">_xll.BLUEMATRIX2("/servlet/excelData",T29, $C$14,$B29&amp;":"&amp;T$16&amp;T$17&amp;":"&amp;T$19&amp;":"&amp;$B30)</f>
        <v>#NAME?</v>
      </c>
      <c r="U30" s="913" t="e">
        <f ca="1">_xll.BLUEMATRIX2("/servlet/excelData",U29, $C$14,$B29&amp;":"&amp;U$16&amp;U$17&amp;":"&amp;U$19&amp;":"&amp;$B30)</f>
        <v>#NAME?</v>
      </c>
      <c r="V30" s="913" t="e">
        <f ca="1">_xll.BLUEMATRIX2("/servlet/excelData",V29, $C$14,$B29&amp;":"&amp;V$16&amp;V$17&amp;":"&amp;V$19&amp;":"&amp;$B30)</f>
        <v>#NAME?</v>
      </c>
      <c r="W30" s="914" t="e">
        <f ca="1">_xll.BLUEMATRIX2("/servlet/excelData",W29, $C$14,$B29&amp;":"&amp;W$16&amp;W$17&amp;":"&amp;W$19&amp;":"&amp;$B30)</f>
        <v>#NAME?</v>
      </c>
      <c r="X30" s="913" t="e">
        <f ca="1">_xll.BLUEMATRIX2("/servlet/excelData",X29, $C$14,$B29&amp;":"&amp;X$16&amp;X$17&amp;":"&amp;X$19&amp;":"&amp;$B30)</f>
        <v>#NAME?</v>
      </c>
      <c r="Y30" s="913" t="e">
        <f ca="1">_xll.BLUEMATRIX2("/servlet/excelData",Y29, $C$14,$B29&amp;":"&amp;Y$16&amp;Y$17&amp;":"&amp;Y$19&amp;":"&amp;$B30)</f>
        <v>#NAME?</v>
      </c>
      <c r="Z30" s="913" t="e">
        <f ca="1">_xll.BLUEMATRIX2("/servlet/excelData",Z29, $C$14,$B29&amp;":"&amp;Z$16&amp;Z$17&amp;":"&amp;Z$19&amp;":"&amp;$B30)</f>
        <v>#NAME?</v>
      </c>
      <c r="AA30" s="913" t="e">
        <f ca="1">_xll.BLUEMATRIX2("/servlet/excelData",AA29, $C$14,$B29&amp;":"&amp;AA$16&amp;AA$17&amp;":"&amp;AA$19&amp;":"&amp;$B30)</f>
        <v>#NAME?</v>
      </c>
      <c r="AB30" s="914" t="e">
        <f ca="1">_xll.BLUEMATRIX2("/servlet/excelData",AB29, $C$14,$B29&amp;":"&amp;AB$16&amp;AB$17&amp;":"&amp;AB$19&amp;":"&amp;$B30)</f>
        <v>#NAME?</v>
      </c>
      <c r="AC30" s="915"/>
      <c r="AD30" s="915"/>
      <c r="AF30" s="915"/>
      <c r="AG30" s="915"/>
      <c r="AH30" s="915"/>
      <c r="AI30" s="915"/>
      <c r="AJ30" s="915"/>
      <c r="AK30" s="915"/>
      <c r="AL30" s="915"/>
      <c r="AM30" s="915"/>
      <c r="AN30" s="915"/>
      <c r="AO30" s="915"/>
      <c r="AP30" s="915"/>
      <c r="AQ30" s="915"/>
      <c r="AR30" s="915"/>
      <c r="AS30" s="915"/>
      <c r="AT30" s="915"/>
      <c r="AU30" s="915"/>
      <c r="AV30" s="915"/>
      <c r="AW30" s="915"/>
      <c r="AX30" s="915"/>
      <c r="AY30" s="915"/>
      <c r="AZ30" s="915"/>
      <c r="BA30" s="915"/>
      <c r="BB30" s="915"/>
      <c r="BC30" s="915"/>
      <c r="BD30" s="915"/>
      <c r="BE30" s="915"/>
      <c r="BF30" s="915"/>
      <c r="BG30" s="915"/>
      <c r="BH30" s="915"/>
      <c r="BI30" s="915"/>
      <c r="BJ30" s="915"/>
      <c r="BK30" s="915"/>
      <c r="BL30" s="915"/>
      <c r="BM30" s="915"/>
      <c r="BN30" s="915"/>
      <c r="BO30" s="915"/>
      <c r="BP30" s="915"/>
      <c r="BQ30" s="915"/>
      <c r="BR30" s="915"/>
      <c r="BS30" s="915"/>
      <c r="BT30" s="915"/>
      <c r="BU30" s="915"/>
      <c r="BV30" s="915"/>
      <c r="BW30" s="915"/>
      <c r="BX30" s="915"/>
      <c r="BY30" s="915"/>
      <c r="BZ30" s="915"/>
      <c r="CA30" s="915"/>
      <c r="CB30" s="915"/>
      <c r="CC30" s="915"/>
      <c r="CD30" s="915"/>
      <c r="CE30" s="915"/>
      <c r="CF30" s="915"/>
      <c r="CG30" s="915"/>
      <c r="CH30" s="915"/>
      <c r="CI30" s="915"/>
      <c r="CJ30" s="915"/>
      <c r="CK30" s="915"/>
      <c r="CL30" s="915"/>
      <c r="CM30" s="915"/>
      <c r="CN30" s="915"/>
      <c r="CO30" s="915"/>
      <c r="CP30" s="915"/>
      <c r="CQ30" s="915"/>
      <c r="CR30" s="915"/>
      <c r="CS30" s="915"/>
      <c r="CT30" s="915"/>
      <c r="CU30" s="915"/>
      <c r="CV30" s="915"/>
      <c r="CW30" s="915"/>
      <c r="CX30" s="915"/>
      <c r="CY30" s="915"/>
      <c r="CZ30" s="915"/>
      <c r="DA30" s="915"/>
      <c r="DB30" s="915"/>
      <c r="DC30" s="915"/>
      <c r="DD30" s="915"/>
      <c r="DE30" s="915"/>
      <c r="DF30" s="915"/>
      <c r="DG30" s="915"/>
      <c r="DH30" s="915"/>
      <c r="DI30" s="915"/>
      <c r="DJ30" s="915"/>
      <c r="DK30" s="915"/>
      <c r="DL30" s="915"/>
      <c r="DM30" s="915"/>
      <c r="DN30" s="915"/>
      <c r="DO30" s="915"/>
      <c r="DP30" s="915"/>
      <c r="DQ30" s="915"/>
      <c r="DR30" s="915"/>
      <c r="DS30" s="915"/>
      <c r="DT30" s="915"/>
      <c r="DU30" s="915"/>
      <c r="DV30" s="915"/>
      <c r="DW30" s="915"/>
      <c r="DX30" s="915"/>
      <c r="DY30" s="915"/>
      <c r="DZ30" s="915"/>
      <c r="EA30" s="915"/>
      <c r="EB30" s="915"/>
      <c r="EC30" s="915"/>
      <c r="ED30" s="915"/>
      <c r="EE30" s="915"/>
      <c r="EF30" s="915"/>
      <c r="EG30" s="915"/>
      <c r="EH30" s="915"/>
      <c r="EI30" s="915"/>
      <c r="EJ30" s="915"/>
      <c r="EK30" s="915"/>
      <c r="EL30" s="915"/>
      <c r="EM30" s="915"/>
      <c r="EN30" s="915"/>
      <c r="EO30" s="915"/>
      <c r="EP30" s="915"/>
      <c r="EQ30" s="915"/>
      <c r="ER30" s="915"/>
      <c r="ES30" s="915"/>
      <c r="ET30" s="915"/>
      <c r="EU30" s="915"/>
      <c r="EV30" s="915"/>
      <c r="EW30" s="915"/>
      <c r="EX30" s="915"/>
      <c r="EY30" s="915"/>
      <c r="EZ30" s="915"/>
      <c r="FA30" s="915"/>
      <c r="FB30" s="915"/>
      <c r="FC30" s="915"/>
      <c r="FD30" s="915"/>
      <c r="FE30" s="915"/>
      <c r="FF30" s="915"/>
      <c r="FG30" s="915"/>
      <c r="FH30" s="915"/>
      <c r="FI30" s="915"/>
      <c r="FJ30" s="915"/>
      <c r="FK30" s="915"/>
      <c r="FL30" s="915"/>
      <c r="FM30" s="915"/>
      <c r="FN30" s="915"/>
      <c r="FO30" s="915"/>
      <c r="FP30" s="915"/>
      <c r="FQ30" s="915"/>
      <c r="FR30" s="915"/>
      <c r="FS30" s="915"/>
      <c r="FT30" s="915"/>
      <c r="FU30" s="915"/>
      <c r="FV30" s="915"/>
      <c r="FW30" s="915"/>
      <c r="FX30" s="915"/>
      <c r="FY30" s="915"/>
      <c r="FZ30" s="915"/>
      <c r="GA30" s="915"/>
      <c r="GB30" s="915"/>
      <c r="GC30" s="915"/>
      <c r="GD30" s="915"/>
      <c r="GE30" s="915"/>
      <c r="GF30" s="915"/>
      <c r="GG30" s="915"/>
      <c r="GH30" s="915"/>
      <c r="GI30" s="915"/>
      <c r="GJ30" s="915"/>
      <c r="GK30" s="915"/>
      <c r="GL30" s="915"/>
      <c r="GM30" s="915"/>
      <c r="GN30" s="915"/>
      <c r="GO30" s="915"/>
      <c r="GP30" s="915"/>
      <c r="GQ30" s="915"/>
      <c r="GR30" s="915"/>
      <c r="GS30" s="915"/>
      <c r="GT30" s="915"/>
      <c r="GU30" s="915"/>
      <c r="GV30" s="915"/>
      <c r="GW30" s="915"/>
      <c r="GX30" s="915"/>
      <c r="GY30" s="915"/>
      <c r="GZ30" s="915"/>
      <c r="HA30" s="915"/>
      <c r="HB30" s="915"/>
      <c r="HC30" s="915"/>
      <c r="HD30" s="915"/>
      <c r="HE30" s="915"/>
      <c r="HF30" s="915"/>
      <c r="HG30" s="915"/>
      <c r="HH30" s="915"/>
      <c r="HI30" s="915"/>
      <c r="HJ30" s="915"/>
      <c r="HK30" s="915"/>
      <c r="HL30" s="915"/>
      <c r="HM30" s="915"/>
      <c r="HN30" s="915"/>
      <c r="HO30" s="915"/>
      <c r="HP30" s="915"/>
      <c r="HQ30" s="915"/>
      <c r="HR30" s="915"/>
      <c r="HS30" s="915"/>
      <c r="HT30" s="915"/>
      <c r="HU30" s="915"/>
      <c r="HV30" s="915"/>
      <c r="HW30" s="915"/>
      <c r="HX30" s="915"/>
      <c r="HY30" s="915"/>
      <c r="HZ30" s="915"/>
      <c r="IA30" s="915"/>
      <c r="IB30" s="915"/>
      <c r="IC30" s="915"/>
      <c r="ID30" s="915"/>
      <c r="IE30" s="915"/>
      <c r="IF30" s="915"/>
      <c r="IG30" s="915"/>
      <c r="IH30" s="915"/>
      <c r="II30" s="915"/>
      <c r="IJ30" s="915"/>
      <c r="IK30" s="915"/>
      <c r="IL30" s="915"/>
      <c r="IM30" s="915"/>
      <c r="IN30" s="915"/>
      <c r="IO30" s="915"/>
      <c r="IP30" s="915"/>
      <c r="IQ30" s="915"/>
      <c r="IR30" s="915"/>
      <c r="IS30" s="915"/>
      <c r="IT30" s="915"/>
      <c r="IU30" s="915"/>
      <c r="IV30" s="915"/>
    </row>
    <row r="31" spans="1:256">
      <c r="A31" s="928" t="s">
        <v>14</v>
      </c>
      <c r="B31" s="917" t="s">
        <v>537</v>
      </c>
      <c r="C31" s="918"/>
      <c r="D31" s="929">
        <f>+IS!BC36</f>
        <v>0.17361200763727042</v>
      </c>
      <c r="E31" s="929">
        <f>+IS!BD36</f>
        <v>0.18027946716726884</v>
      </c>
      <c r="F31" s="929">
        <f>+IS!BE36</f>
        <v>0.22782715663020189</v>
      </c>
      <c r="G31" s="929">
        <f>+IS!BF36</f>
        <v>0.23570445255740052</v>
      </c>
      <c r="H31" s="929">
        <f>+IS!BG36</f>
        <v>0.20544811728536139</v>
      </c>
      <c r="I31" s="929">
        <f>+IS!BH36</f>
        <v>0.26575172213587184</v>
      </c>
      <c r="J31" s="929">
        <f>+IS!BI36</f>
        <v>0.24701644788981034</v>
      </c>
      <c r="K31" s="929">
        <f>+IS!BJ36</f>
        <v>0.26756622088715215</v>
      </c>
      <c r="L31" s="929">
        <f>+IS!BK36</f>
        <v>0.25031934934150868</v>
      </c>
      <c r="M31" s="929">
        <f>+IS!BL36</f>
        <v>0.25756639856445712</v>
      </c>
      <c r="N31" s="929">
        <f>+IS!BM36</f>
        <v>0.28477678823065217</v>
      </c>
      <c r="O31" s="929">
        <f>+IS!BN36</f>
        <v>0.3222110058462529</v>
      </c>
      <c r="P31" s="929">
        <f>+IS!BO36</f>
        <v>0.29553535942343873</v>
      </c>
      <c r="Q31" s="929">
        <f>+IS!BP36</f>
        <v>0.28814998222226801</v>
      </c>
      <c r="R31" s="929">
        <f>+IS!BQ36</f>
        <v>0.29764047167050922</v>
      </c>
      <c r="S31" s="929">
        <f>+IS!BR36</f>
        <v>0.29467402776650159</v>
      </c>
      <c r="T31" s="929">
        <f>+IS!BS36</f>
        <v>0.29817420150979973</v>
      </c>
      <c r="U31" s="929">
        <f>+IS!BT36</f>
        <v>0.31411009959063968</v>
      </c>
      <c r="V31" s="929">
        <f>+IS!BU36</f>
        <v>0.28511601184469554</v>
      </c>
      <c r="W31" s="929">
        <f>+IS!BV36</f>
        <v>0.2980390933162157</v>
      </c>
      <c r="X31" s="929">
        <f>+IS!BW36</f>
        <v>0.28557237533507912</v>
      </c>
      <c r="Y31" s="929">
        <f>+IS!BX36</f>
        <v>0.29427232932984687</v>
      </c>
      <c r="Z31" s="929">
        <f>+IS!BY36</f>
        <v>0.30074545708996536</v>
      </c>
      <c r="AA31" s="929">
        <f>+IS!BZ36</f>
        <v>0.30106814708502633</v>
      </c>
      <c r="AB31" s="929">
        <f>+IS!CA36</f>
        <v>0.2956049868672565</v>
      </c>
    </row>
    <row r="32" spans="1:256">
      <c r="A32" s="931"/>
      <c r="B32" s="921" t="s">
        <v>491</v>
      </c>
      <c r="C32" s="922"/>
      <c r="D32" s="933" t="e">
        <f ca="1">_xll.BLUEMATRIX2("/servlet/excelData",D31, $C$14,$B31&amp;":"&amp;D$16&amp;D$17&amp;":"&amp;D$19&amp;":"&amp;$B32)</f>
        <v>#NAME?</v>
      </c>
      <c r="E32" s="933" t="e">
        <f ca="1">_xll.BLUEMATRIX2("/servlet/excelData",E31, $C$14,$B31&amp;":"&amp;E$16&amp;E$17&amp;":"&amp;E$19&amp;":"&amp;$B32)</f>
        <v>#NAME?</v>
      </c>
      <c r="F32" s="933" t="e">
        <f ca="1">_xll.BLUEMATRIX2("/servlet/excelData",F31, $C$14,$B31&amp;":"&amp;F$16&amp;F$17&amp;":"&amp;F$19&amp;":"&amp;$B32)</f>
        <v>#NAME?</v>
      </c>
      <c r="G32" s="933" t="e">
        <f ca="1">_xll.BLUEMATRIX2("/servlet/excelData",G31, $C$14,$B31&amp;":"&amp;G$16&amp;G$17&amp;":"&amp;G$19&amp;":"&amp;$B32)</f>
        <v>#NAME?</v>
      </c>
      <c r="H32" s="868" t="e">
        <f ca="1">_xll.BLUEMATRIX2("/servlet/excelData",H31, $C$14,$B31&amp;":"&amp;H$16&amp;H$17&amp;":"&amp;H$19&amp;":"&amp;$B32)</f>
        <v>#NAME?</v>
      </c>
      <c r="I32" s="933" t="e">
        <f ca="1">_xll.BLUEMATRIX2("/servlet/excelData",I31, $C$14,$B31&amp;":"&amp;I$16&amp;I$17&amp;":"&amp;I$19&amp;":"&amp;$B32)</f>
        <v>#NAME?</v>
      </c>
      <c r="J32" s="933" t="e">
        <f ca="1">_xll.BLUEMATRIX2("/servlet/excelData",J31, $C$14,$B31&amp;":"&amp;J$16&amp;J$17&amp;":"&amp;J$19&amp;":"&amp;$B32)</f>
        <v>#NAME?</v>
      </c>
      <c r="K32" s="933" t="e">
        <f ca="1">_xll.BLUEMATRIX2("/servlet/excelData",K31, $C$14,$B31&amp;":"&amp;K$16&amp;K$17&amp;":"&amp;K$19&amp;":"&amp;$B32)</f>
        <v>#NAME?</v>
      </c>
      <c r="L32" s="933" t="e">
        <f ca="1">_xll.BLUEMATRIX2("/servlet/excelData",L31, $C$14,$B31&amp;":"&amp;L$16&amp;L$17&amp;":"&amp;L$19&amp;":"&amp;$B32)</f>
        <v>#NAME?</v>
      </c>
      <c r="M32" s="868" t="e">
        <f ca="1">_xll.BLUEMATRIX2("/servlet/excelData",M31, $C$14,$B31&amp;":"&amp;M$16&amp;M$17&amp;":"&amp;M$19&amp;":"&amp;$B32)</f>
        <v>#NAME?</v>
      </c>
      <c r="N32" s="933" t="e">
        <f ca="1">_xll.BLUEMATRIX2("/servlet/excelData",N31, $C$14,$B31&amp;":"&amp;N$16&amp;N$17&amp;":"&amp;N$19&amp;":"&amp;$B32)</f>
        <v>#NAME?</v>
      </c>
      <c r="O32" s="933" t="e">
        <f ca="1">_xll.BLUEMATRIX2("/servlet/excelData",O31, $C$14,$B31&amp;":"&amp;O$16&amp;O$17&amp;":"&amp;O$19&amp;":"&amp;$B32)</f>
        <v>#NAME?</v>
      </c>
      <c r="P32" s="933" t="e">
        <f ca="1">_xll.BLUEMATRIX2("/servlet/excelData",P31, $C$14,$B31&amp;":"&amp;P$16&amp;P$17&amp;":"&amp;P$19&amp;":"&amp;$B32)</f>
        <v>#NAME?</v>
      </c>
      <c r="Q32" s="933" t="e">
        <f ca="1">_xll.BLUEMATRIX2("/servlet/excelData",Q31, $C$14,$B31&amp;":"&amp;Q$16&amp;Q$17&amp;":"&amp;Q$19&amp;":"&amp;$B32)</f>
        <v>#NAME?</v>
      </c>
      <c r="R32" s="868" t="e">
        <f ca="1">_xll.BLUEMATRIX2("/servlet/excelData",R31, $C$14,$B31&amp;":"&amp;R$16&amp;R$17&amp;":"&amp;R$19&amp;":"&amp;$B32)</f>
        <v>#NAME?</v>
      </c>
      <c r="S32" s="933" t="e">
        <f ca="1">_xll.BLUEMATRIX2("/servlet/excelData",S31, $C$14,$B31&amp;":"&amp;S$16&amp;S$17&amp;":"&amp;S$19&amp;":"&amp;$B32)</f>
        <v>#NAME?</v>
      </c>
      <c r="T32" s="933" t="e">
        <f ca="1">_xll.BLUEMATRIX2("/servlet/excelData",T31, $C$14,$B31&amp;":"&amp;T$16&amp;T$17&amp;":"&amp;T$19&amp;":"&amp;$B32)</f>
        <v>#NAME?</v>
      </c>
      <c r="U32" s="933" t="e">
        <f ca="1">_xll.BLUEMATRIX2("/servlet/excelData",U31, $C$14,$B31&amp;":"&amp;U$16&amp;U$17&amp;":"&amp;U$19&amp;":"&amp;$B32)</f>
        <v>#NAME?</v>
      </c>
      <c r="V32" s="933" t="e">
        <f ca="1">_xll.BLUEMATRIX2("/servlet/excelData",V31, $C$14,$B31&amp;":"&amp;V$16&amp;V$17&amp;":"&amp;V$19&amp;":"&amp;$B32)</f>
        <v>#NAME?</v>
      </c>
      <c r="W32" s="868" t="e">
        <f ca="1">_xll.BLUEMATRIX2("/servlet/excelData",W31, $C$14,$B31&amp;":"&amp;W$16&amp;W$17&amp;":"&amp;W$19&amp;":"&amp;$B32)</f>
        <v>#NAME?</v>
      </c>
      <c r="X32" s="933" t="e">
        <f ca="1">_xll.BLUEMATRIX2("/servlet/excelData",X31, $C$14,$B31&amp;":"&amp;X$16&amp;X$17&amp;":"&amp;X$19&amp;":"&amp;$B32)</f>
        <v>#NAME?</v>
      </c>
      <c r="Y32" s="933" t="e">
        <f ca="1">_xll.BLUEMATRIX2("/servlet/excelData",Y31, $C$14,$B31&amp;":"&amp;Y$16&amp;Y$17&amp;":"&amp;Y$19&amp;":"&amp;$B32)</f>
        <v>#NAME?</v>
      </c>
      <c r="Z32" s="933" t="e">
        <f ca="1">_xll.BLUEMATRIX2("/servlet/excelData",Z31, $C$14,$B31&amp;":"&amp;Z$16&amp;Z$17&amp;":"&amp;Z$19&amp;":"&amp;$B32)</f>
        <v>#NAME?</v>
      </c>
      <c r="AA32" s="933" t="e">
        <f ca="1">_xll.BLUEMATRIX2("/servlet/excelData",AA31, $C$14,$B31&amp;":"&amp;AA$16&amp;AA$17&amp;":"&amp;AA$19&amp;":"&amp;$B32)</f>
        <v>#NAME?</v>
      </c>
      <c r="AB32" s="868" t="e">
        <f ca="1">_xll.BLUEMATRIX2("/servlet/excelData",AB31, $C$14,$B31&amp;":"&amp;AB$16&amp;AB$17&amp;":"&amp;AB$19&amp;":"&amp;$B32)</f>
        <v>#NAME?</v>
      </c>
      <c r="AC32" s="915"/>
      <c r="AD32" s="915"/>
      <c r="AF32" s="915"/>
      <c r="AG32" s="915"/>
      <c r="AH32" s="915"/>
      <c r="AI32" s="915"/>
      <c r="AJ32" s="915"/>
      <c r="AK32" s="915"/>
      <c r="AL32" s="915"/>
      <c r="AM32" s="915"/>
      <c r="AN32" s="915"/>
      <c r="AO32" s="915"/>
      <c r="AP32" s="915"/>
      <c r="AQ32" s="915"/>
      <c r="AR32" s="915"/>
      <c r="AS32" s="915"/>
      <c r="AT32" s="915"/>
      <c r="AU32" s="915"/>
      <c r="AV32" s="915"/>
      <c r="AW32" s="915"/>
      <c r="AX32" s="915"/>
      <c r="AY32" s="915"/>
      <c r="AZ32" s="915"/>
      <c r="BA32" s="915"/>
      <c r="BB32" s="915"/>
      <c r="BC32" s="915"/>
      <c r="BD32" s="915"/>
      <c r="BE32" s="915"/>
      <c r="BF32" s="915"/>
      <c r="BG32" s="915"/>
      <c r="BH32" s="915"/>
      <c r="BI32" s="915"/>
      <c r="BJ32" s="915"/>
      <c r="BK32" s="915"/>
      <c r="BL32" s="915"/>
      <c r="BM32" s="915"/>
      <c r="BN32" s="915"/>
      <c r="BO32" s="915"/>
      <c r="BP32" s="915"/>
      <c r="BQ32" s="915"/>
      <c r="BR32" s="915"/>
      <c r="BS32" s="915"/>
      <c r="BT32" s="915"/>
      <c r="BU32" s="915"/>
      <c r="BV32" s="915"/>
      <c r="BW32" s="915"/>
      <c r="BX32" s="915"/>
      <c r="BY32" s="915"/>
      <c r="BZ32" s="915"/>
      <c r="CA32" s="915"/>
      <c r="CB32" s="915"/>
      <c r="CC32" s="915"/>
      <c r="CD32" s="915"/>
      <c r="CE32" s="915"/>
      <c r="CF32" s="915"/>
      <c r="CG32" s="915"/>
      <c r="CH32" s="915"/>
      <c r="CI32" s="915"/>
      <c r="CJ32" s="915"/>
      <c r="CK32" s="915"/>
      <c r="CL32" s="915"/>
      <c r="CM32" s="915"/>
      <c r="CN32" s="915"/>
      <c r="CO32" s="915"/>
      <c r="CP32" s="915"/>
      <c r="CQ32" s="915"/>
      <c r="CR32" s="915"/>
      <c r="CS32" s="915"/>
      <c r="CT32" s="915"/>
      <c r="CU32" s="915"/>
      <c r="CV32" s="915"/>
      <c r="CW32" s="915"/>
      <c r="CX32" s="915"/>
      <c r="CY32" s="915"/>
      <c r="CZ32" s="915"/>
      <c r="DA32" s="915"/>
      <c r="DB32" s="915"/>
      <c r="DC32" s="915"/>
      <c r="DD32" s="915"/>
      <c r="DE32" s="915"/>
      <c r="DF32" s="915"/>
      <c r="DG32" s="915"/>
      <c r="DH32" s="915"/>
      <c r="DI32" s="915"/>
      <c r="DJ32" s="915"/>
      <c r="DK32" s="915"/>
      <c r="DL32" s="915"/>
      <c r="DM32" s="915"/>
      <c r="DN32" s="915"/>
      <c r="DO32" s="915"/>
      <c r="DP32" s="915"/>
      <c r="DQ32" s="915"/>
      <c r="DR32" s="915"/>
      <c r="DS32" s="915"/>
      <c r="DT32" s="915"/>
      <c r="DU32" s="915"/>
      <c r="DV32" s="915"/>
      <c r="DW32" s="915"/>
      <c r="DX32" s="915"/>
      <c r="DY32" s="915"/>
      <c r="DZ32" s="915"/>
      <c r="EA32" s="915"/>
      <c r="EB32" s="915"/>
      <c r="EC32" s="915"/>
      <c r="ED32" s="915"/>
      <c r="EE32" s="915"/>
      <c r="EF32" s="915"/>
      <c r="EG32" s="915"/>
      <c r="EH32" s="915"/>
      <c r="EI32" s="915"/>
      <c r="EJ32" s="915"/>
      <c r="EK32" s="915"/>
      <c r="EL32" s="915"/>
      <c r="EM32" s="915"/>
      <c r="EN32" s="915"/>
      <c r="EO32" s="915"/>
      <c r="EP32" s="915"/>
      <c r="EQ32" s="915"/>
      <c r="ER32" s="915"/>
      <c r="ES32" s="915"/>
      <c r="ET32" s="915"/>
      <c r="EU32" s="915"/>
      <c r="EV32" s="915"/>
      <c r="EW32" s="915"/>
      <c r="EX32" s="915"/>
      <c r="EY32" s="915"/>
      <c r="EZ32" s="915"/>
      <c r="FA32" s="915"/>
      <c r="FB32" s="915"/>
      <c r="FC32" s="915"/>
      <c r="FD32" s="915"/>
      <c r="FE32" s="915"/>
      <c r="FF32" s="915"/>
      <c r="FG32" s="915"/>
      <c r="FH32" s="915"/>
      <c r="FI32" s="915"/>
      <c r="FJ32" s="915"/>
      <c r="FK32" s="915"/>
      <c r="FL32" s="915"/>
      <c r="FM32" s="915"/>
      <c r="FN32" s="915"/>
      <c r="FO32" s="915"/>
      <c r="FP32" s="915"/>
      <c r="FQ32" s="915"/>
      <c r="FR32" s="915"/>
      <c r="FS32" s="915"/>
      <c r="FT32" s="915"/>
      <c r="FU32" s="915"/>
      <c r="FV32" s="915"/>
      <c r="FW32" s="915"/>
      <c r="FX32" s="915"/>
      <c r="FY32" s="915"/>
      <c r="FZ32" s="915"/>
      <c r="GA32" s="915"/>
      <c r="GB32" s="915"/>
      <c r="GC32" s="915"/>
      <c r="GD32" s="915"/>
      <c r="GE32" s="915"/>
      <c r="GF32" s="915"/>
      <c r="GG32" s="915"/>
      <c r="GH32" s="915"/>
      <c r="GI32" s="915"/>
      <c r="GJ32" s="915"/>
      <c r="GK32" s="915"/>
      <c r="GL32" s="915"/>
      <c r="GM32" s="915"/>
      <c r="GN32" s="915"/>
      <c r="GO32" s="915"/>
      <c r="GP32" s="915"/>
      <c r="GQ32" s="915"/>
      <c r="GR32" s="915"/>
      <c r="GS32" s="915"/>
      <c r="GT32" s="915"/>
      <c r="GU32" s="915"/>
      <c r="GV32" s="915"/>
      <c r="GW32" s="915"/>
      <c r="GX32" s="915"/>
      <c r="GY32" s="915"/>
      <c r="GZ32" s="915"/>
      <c r="HA32" s="915"/>
      <c r="HB32" s="915"/>
      <c r="HC32" s="915"/>
      <c r="HD32" s="915"/>
      <c r="HE32" s="915"/>
      <c r="HF32" s="915"/>
      <c r="HG32" s="915"/>
      <c r="HH32" s="915"/>
      <c r="HI32" s="915"/>
      <c r="HJ32" s="915"/>
      <c r="HK32" s="915"/>
      <c r="HL32" s="915"/>
      <c r="HM32" s="915"/>
      <c r="HN32" s="915"/>
      <c r="HO32" s="915"/>
      <c r="HP32" s="915"/>
      <c r="HQ32" s="915"/>
      <c r="HR32" s="915"/>
      <c r="HS32" s="915"/>
      <c r="HT32" s="915"/>
      <c r="HU32" s="915"/>
      <c r="HV32" s="915"/>
      <c r="HW32" s="915"/>
      <c r="HX32" s="915"/>
      <c r="HY32" s="915"/>
      <c r="HZ32" s="915"/>
      <c r="IA32" s="915"/>
      <c r="IB32" s="915"/>
      <c r="IC32" s="915"/>
      <c r="ID32" s="915"/>
      <c r="IE32" s="915"/>
      <c r="IF32" s="915"/>
      <c r="IG32" s="915"/>
      <c r="IH32" s="915"/>
      <c r="II32" s="915"/>
      <c r="IJ32" s="915"/>
      <c r="IK32" s="915"/>
      <c r="IL32" s="915"/>
      <c r="IM32" s="915"/>
      <c r="IN32" s="915"/>
      <c r="IO32" s="915"/>
      <c r="IP32" s="915"/>
      <c r="IQ32" s="915"/>
      <c r="IR32" s="915"/>
      <c r="IS32" s="915"/>
      <c r="IT32" s="915"/>
      <c r="IU32" s="915"/>
      <c r="IV32" s="915"/>
    </row>
    <row r="33" spans="1:256">
      <c r="A33" s="923" t="s">
        <v>526</v>
      </c>
      <c r="B33" s="906" t="s">
        <v>527</v>
      </c>
      <c r="C33" s="907"/>
      <c r="D33" s="924"/>
      <c r="E33" s="925"/>
      <c r="F33" s="925"/>
      <c r="G33" s="925"/>
      <c r="H33" s="926"/>
      <c r="I33" s="925"/>
      <c r="J33" s="925"/>
      <c r="K33" s="925"/>
      <c r="L33" s="925"/>
      <c r="M33" s="926"/>
      <c r="N33" s="925"/>
      <c r="O33" s="925"/>
      <c r="P33" s="925"/>
      <c r="Q33" s="925"/>
      <c r="R33" s="926"/>
      <c r="S33" s="925"/>
      <c r="T33" s="925"/>
      <c r="U33" s="925"/>
      <c r="V33" s="925"/>
      <c r="W33" s="926"/>
      <c r="X33" s="925"/>
      <c r="Y33" s="925"/>
      <c r="Z33" s="925"/>
      <c r="AA33" s="925"/>
      <c r="AB33" s="926"/>
    </row>
    <row r="34" spans="1:256">
      <c r="A34" s="927"/>
      <c r="B34" s="910"/>
      <c r="C34" s="911"/>
      <c r="D34" s="912" t="e">
        <f ca="1">_xll.BLUEMATRIX2("/servlet/excelData",D33, $C$14,$B33&amp;":"&amp;D$16&amp;D$17&amp;":"&amp;D$19&amp;":"&amp;$B34)</f>
        <v>#NAME?</v>
      </c>
      <c r="E34" s="913" t="e">
        <f ca="1">_xll.BLUEMATRIX2("/servlet/excelData",E33, $C$14,$B33&amp;":"&amp;E$16&amp;E$17&amp;":"&amp;E$19&amp;":"&amp;$B34)</f>
        <v>#NAME?</v>
      </c>
      <c r="F34" s="913" t="e">
        <f ca="1">_xll.BLUEMATRIX2("/servlet/excelData",F33, $C$14,$B33&amp;":"&amp;F$16&amp;F$17&amp;":"&amp;F$19&amp;":"&amp;$B34)</f>
        <v>#NAME?</v>
      </c>
      <c r="G34" s="913" t="e">
        <f ca="1">_xll.BLUEMATRIX2("/servlet/excelData",G33, $C$14,$B33&amp;":"&amp;G$16&amp;G$17&amp;":"&amp;G$19&amp;":"&amp;$B34)</f>
        <v>#NAME?</v>
      </c>
      <c r="H34" s="914" t="e">
        <f ca="1">_xll.BLUEMATRIX2("/servlet/excelData",H33, $C$14,$B33&amp;":"&amp;H$16&amp;H$17&amp;":"&amp;H$19&amp;":"&amp;$B34)</f>
        <v>#NAME?</v>
      </c>
      <c r="I34" s="913" t="e">
        <f ca="1">_xll.BLUEMATRIX2("/servlet/excelData",I33, $C$14,$B33&amp;":"&amp;I$16&amp;I$17&amp;":"&amp;I$19&amp;":"&amp;$B34)</f>
        <v>#NAME?</v>
      </c>
      <c r="J34" s="913" t="e">
        <f ca="1">_xll.BLUEMATRIX2("/servlet/excelData",J33, $C$14,$B33&amp;":"&amp;J$16&amp;J$17&amp;":"&amp;J$19&amp;":"&amp;$B34)</f>
        <v>#NAME?</v>
      </c>
      <c r="K34" s="913" t="e">
        <f ca="1">_xll.BLUEMATRIX2("/servlet/excelData",K33, $C$14,$B33&amp;":"&amp;K$16&amp;K$17&amp;":"&amp;K$19&amp;":"&amp;$B34)</f>
        <v>#NAME?</v>
      </c>
      <c r="L34" s="913" t="e">
        <f ca="1">_xll.BLUEMATRIX2("/servlet/excelData",L33, $C$14,$B33&amp;":"&amp;L$16&amp;L$17&amp;":"&amp;L$19&amp;":"&amp;$B34)</f>
        <v>#NAME?</v>
      </c>
      <c r="M34" s="914" t="e">
        <f ca="1">_xll.BLUEMATRIX2("/servlet/excelData",M33, $C$14,$B33&amp;":"&amp;M$16&amp;M$17&amp;":"&amp;M$19&amp;":"&amp;$B34)</f>
        <v>#NAME?</v>
      </c>
      <c r="N34" s="913" t="e">
        <f ca="1">_xll.BLUEMATRIX2("/servlet/excelData",N33, $C$14,$B33&amp;":"&amp;N$16&amp;N$17&amp;":"&amp;N$19&amp;":"&amp;$B34)</f>
        <v>#NAME?</v>
      </c>
      <c r="O34" s="913" t="e">
        <f ca="1">_xll.BLUEMATRIX2("/servlet/excelData",O33, $C$14,$B33&amp;":"&amp;O$16&amp;O$17&amp;":"&amp;O$19&amp;":"&amp;$B34)</f>
        <v>#NAME?</v>
      </c>
      <c r="P34" s="913" t="e">
        <f ca="1">_xll.BLUEMATRIX2("/servlet/excelData",P33, $C$14,$B33&amp;":"&amp;P$16&amp;P$17&amp;":"&amp;P$19&amp;":"&amp;$B34)</f>
        <v>#NAME?</v>
      </c>
      <c r="Q34" s="913" t="e">
        <f ca="1">_xll.BLUEMATRIX2("/servlet/excelData",Q33, $C$14,$B33&amp;":"&amp;Q$16&amp;Q$17&amp;":"&amp;Q$19&amp;":"&amp;$B34)</f>
        <v>#NAME?</v>
      </c>
      <c r="R34" s="914" t="e">
        <f ca="1">_xll.BLUEMATRIX2("/servlet/excelData",R33, $C$14,$B33&amp;":"&amp;R$16&amp;R$17&amp;":"&amp;R$19&amp;":"&amp;$B34)</f>
        <v>#NAME?</v>
      </c>
      <c r="S34" s="913" t="e">
        <f ca="1">_xll.BLUEMATRIX2("/servlet/excelData",S33, $C$14,$B33&amp;":"&amp;S$16&amp;S$17&amp;":"&amp;S$19&amp;":"&amp;$B34)</f>
        <v>#NAME?</v>
      </c>
      <c r="T34" s="913" t="e">
        <f ca="1">_xll.BLUEMATRIX2("/servlet/excelData",T33, $C$14,$B33&amp;":"&amp;T$16&amp;T$17&amp;":"&amp;T$19&amp;":"&amp;$B34)</f>
        <v>#NAME?</v>
      </c>
      <c r="U34" s="913" t="e">
        <f ca="1">_xll.BLUEMATRIX2("/servlet/excelData",U33, $C$14,$B33&amp;":"&amp;U$16&amp;U$17&amp;":"&amp;U$19&amp;":"&amp;$B34)</f>
        <v>#NAME?</v>
      </c>
      <c r="V34" s="913" t="e">
        <f ca="1">_xll.BLUEMATRIX2("/servlet/excelData",V33, $C$14,$B33&amp;":"&amp;V$16&amp;V$17&amp;":"&amp;V$19&amp;":"&amp;$B34)</f>
        <v>#NAME?</v>
      </c>
      <c r="W34" s="914" t="e">
        <f ca="1">_xll.BLUEMATRIX2("/servlet/excelData",W33, $C$14,$B33&amp;":"&amp;W$16&amp;W$17&amp;":"&amp;W$19&amp;":"&amp;$B34)</f>
        <v>#NAME?</v>
      </c>
      <c r="X34" s="913" t="e">
        <f ca="1">_xll.BLUEMATRIX2("/servlet/excelData",X33, $C$14,$B33&amp;":"&amp;X$16&amp;X$17&amp;":"&amp;X$19&amp;":"&amp;$B34)</f>
        <v>#NAME?</v>
      </c>
      <c r="Y34" s="913" t="e">
        <f ca="1">_xll.BLUEMATRIX2("/servlet/excelData",Y33, $C$14,$B33&amp;":"&amp;Y$16&amp;Y$17&amp;":"&amp;Y$19&amp;":"&amp;$B34)</f>
        <v>#NAME?</v>
      </c>
      <c r="Z34" s="913" t="e">
        <f ca="1">_xll.BLUEMATRIX2("/servlet/excelData",Z33, $C$14,$B33&amp;":"&amp;Z$16&amp;Z$17&amp;":"&amp;Z$19&amp;":"&amp;$B34)</f>
        <v>#NAME?</v>
      </c>
      <c r="AA34" s="913" t="e">
        <f ca="1">_xll.BLUEMATRIX2("/servlet/excelData",AA33, $C$14,$B33&amp;":"&amp;AA$16&amp;AA$17&amp;":"&amp;AA$19&amp;":"&amp;$B34)</f>
        <v>#NAME?</v>
      </c>
      <c r="AB34" s="914" t="e">
        <f ca="1">_xll.BLUEMATRIX2("/servlet/excelData",AB33, $C$14,$B33&amp;":"&amp;AB$16&amp;AB$17&amp;":"&amp;AB$19&amp;":"&amp;$B34)</f>
        <v>#NAME?</v>
      </c>
      <c r="AC34" s="915"/>
      <c r="AD34" s="915"/>
      <c r="AF34" s="915"/>
      <c r="AG34" s="915"/>
      <c r="AH34" s="915"/>
      <c r="AI34" s="915"/>
      <c r="AJ34" s="915"/>
      <c r="AK34" s="915"/>
      <c r="AL34" s="915"/>
      <c r="AM34" s="915"/>
      <c r="AN34" s="915"/>
      <c r="AO34" s="915"/>
      <c r="AP34" s="915"/>
      <c r="AQ34" s="915"/>
      <c r="AR34" s="915"/>
      <c r="AS34" s="915"/>
      <c r="AT34" s="915"/>
      <c r="AU34" s="915"/>
      <c r="AV34" s="915"/>
      <c r="AW34" s="915"/>
      <c r="AX34" s="915"/>
      <c r="AY34" s="915"/>
      <c r="AZ34" s="915"/>
      <c r="BA34" s="915"/>
      <c r="BB34" s="915"/>
      <c r="BC34" s="915"/>
      <c r="BD34" s="915"/>
      <c r="BE34" s="915"/>
      <c r="BF34" s="915"/>
      <c r="BG34" s="915"/>
      <c r="BH34" s="915"/>
      <c r="BI34" s="915"/>
      <c r="BJ34" s="915"/>
      <c r="BK34" s="915"/>
      <c r="BL34" s="915"/>
      <c r="BM34" s="915"/>
      <c r="BN34" s="915"/>
      <c r="BO34" s="915"/>
      <c r="BP34" s="915"/>
      <c r="BQ34" s="915"/>
      <c r="BR34" s="915"/>
      <c r="BS34" s="915"/>
      <c r="BT34" s="915"/>
      <c r="BU34" s="915"/>
      <c r="BV34" s="915"/>
      <c r="BW34" s="915"/>
      <c r="BX34" s="915"/>
      <c r="BY34" s="915"/>
      <c r="BZ34" s="915"/>
      <c r="CA34" s="915"/>
      <c r="CB34" s="915"/>
      <c r="CC34" s="915"/>
      <c r="CD34" s="915"/>
      <c r="CE34" s="915"/>
      <c r="CF34" s="915"/>
      <c r="CG34" s="915"/>
      <c r="CH34" s="915"/>
      <c r="CI34" s="915"/>
      <c r="CJ34" s="915"/>
      <c r="CK34" s="915"/>
      <c r="CL34" s="915"/>
      <c r="CM34" s="915"/>
      <c r="CN34" s="915"/>
      <c r="CO34" s="915"/>
      <c r="CP34" s="915"/>
      <c r="CQ34" s="915"/>
      <c r="CR34" s="915"/>
      <c r="CS34" s="915"/>
      <c r="CT34" s="915"/>
      <c r="CU34" s="915"/>
      <c r="CV34" s="915"/>
      <c r="CW34" s="915"/>
      <c r="CX34" s="915"/>
      <c r="CY34" s="915"/>
      <c r="CZ34" s="915"/>
      <c r="DA34" s="915"/>
      <c r="DB34" s="915"/>
      <c r="DC34" s="915"/>
      <c r="DD34" s="915"/>
      <c r="DE34" s="915"/>
      <c r="DF34" s="915"/>
      <c r="DG34" s="915"/>
      <c r="DH34" s="915"/>
      <c r="DI34" s="915"/>
      <c r="DJ34" s="915"/>
      <c r="DK34" s="915"/>
      <c r="DL34" s="915"/>
      <c r="DM34" s="915"/>
      <c r="DN34" s="915"/>
      <c r="DO34" s="915"/>
      <c r="DP34" s="915"/>
      <c r="DQ34" s="915"/>
      <c r="DR34" s="915"/>
      <c r="DS34" s="915"/>
      <c r="DT34" s="915"/>
      <c r="DU34" s="915"/>
      <c r="DV34" s="915"/>
      <c r="DW34" s="915"/>
      <c r="DX34" s="915"/>
      <c r="DY34" s="915"/>
      <c r="DZ34" s="915"/>
      <c r="EA34" s="915"/>
      <c r="EB34" s="915"/>
      <c r="EC34" s="915"/>
      <c r="ED34" s="915"/>
      <c r="EE34" s="915"/>
      <c r="EF34" s="915"/>
      <c r="EG34" s="915"/>
      <c r="EH34" s="915"/>
      <c r="EI34" s="915"/>
      <c r="EJ34" s="915"/>
      <c r="EK34" s="915"/>
      <c r="EL34" s="915"/>
      <c r="EM34" s="915"/>
      <c r="EN34" s="915"/>
      <c r="EO34" s="915"/>
      <c r="EP34" s="915"/>
      <c r="EQ34" s="915"/>
      <c r="ER34" s="915"/>
      <c r="ES34" s="915"/>
      <c r="ET34" s="915"/>
      <c r="EU34" s="915"/>
      <c r="EV34" s="915"/>
      <c r="EW34" s="915"/>
      <c r="EX34" s="915"/>
      <c r="EY34" s="915"/>
      <c r="EZ34" s="915"/>
      <c r="FA34" s="915"/>
      <c r="FB34" s="915"/>
      <c r="FC34" s="915"/>
      <c r="FD34" s="915"/>
      <c r="FE34" s="915"/>
      <c r="FF34" s="915"/>
      <c r="FG34" s="915"/>
      <c r="FH34" s="915"/>
      <c r="FI34" s="915"/>
      <c r="FJ34" s="915"/>
      <c r="FK34" s="915"/>
      <c r="FL34" s="915"/>
      <c r="FM34" s="915"/>
      <c r="FN34" s="915"/>
      <c r="FO34" s="915"/>
      <c r="FP34" s="915"/>
      <c r="FQ34" s="915"/>
      <c r="FR34" s="915"/>
      <c r="FS34" s="915"/>
      <c r="FT34" s="915"/>
      <c r="FU34" s="915"/>
      <c r="FV34" s="915"/>
      <c r="FW34" s="915"/>
      <c r="FX34" s="915"/>
      <c r="FY34" s="915"/>
      <c r="FZ34" s="915"/>
      <c r="GA34" s="915"/>
      <c r="GB34" s="915"/>
      <c r="GC34" s="915"/>
      <c r="GD34" s="915"/>
      <c r="GE34" s="915"/>
      <c r="GF34" s="915"/>
      <c r="GG34" s="915"/>
      <c r="GH34" s="915"/>
      <c r="GI34" s="915"/>
      <c r="GJ34" s="915"/>
      <c r="GK34" s="915"/>
      <c r="GL34" s="915"/>
      <c r="GM34" s="915"/>
      <c r="GN34" s="915"/>
      <c r="GO34" s="915"/>
      <c r="GP34" s="915"/>
      <c r="GQ34" s="915"/>
      <c r="GR34" s="915"/>
      <c r="GS34" s="915"/>
      <c r="GT34" s="915"/>
      <c r="GU34" s="915"/>
      <c r="GV34" s="915"/>
      <c r="GW34" s="915"/>
      <c r="GX34" s="915"/>
      <c r="GY34" s="915"/>
      <c r="GZ34" s="915"/>
      <c r="HA34" s="915"/>
      <c r="HB34" s="915"/>
      <c r="HC34" s="915"/>
      <c r="HD34" s="915"/>
      <c r="HE34" s="915"/>
      <c r="HF34" s="915"/>
      <c r="HG34" s="915"/>
      <c r="HH34" s="915"/>
      <c r="HI34" s="915"/>
      <c r="HJ34" s="915"/>
      <c r="HK34" s="915"/>
      <c r="HL34" s="915"/>
      <c r="HM34" s="915"/>
      <c r="HN34" s="915"/>
      <c r="HO34" s="915"/>
      <c r="HP34" s="915"/>
      <c r="HQ34" s="915"/>
      <c r="HR34" s="915"/>
      <c r="HS34" s="915"/>
      <c r="HT34" s="915"/>
      <c r="HU34" s="915"/>
      <c r="HV34" s="915"/>
      <c r="HW34" s="915"/>
      <c r="HX34" s="915"/>
      <c r="HY34" s="915"/>
      <c r="HZ34" s="915"/>
      <c r="IA34" s="915"/>
      <c r="IB34" s="915"/>
      <c r="IC34" s="915"/>
      <c r="ID34" s="915"/>
      <c r="IE34" s="915"/>
      <c r="IF34" s="915"/>
      <c r="IG34" s="915"/>
      <c r="IH34" s="915"/>
      <c r="II34" s="915"/>
      <c r="IJ34" s="915"/>
      <c r="IK34" s="915"/>
      <c r="IL34" s="915"/>
      <c r="IM34" s="915"/>
      <c r="IN34" s="915"/>
      <c r="IO34" s="915"/>
      <c r="IP34" s="915"/>
      <c r="IQ34" s="915"/>
      <c r="IR34" s="915"/>
      <c r="IS34" s="915"/>
      <c r="IT34" s="915"/>
      <c r="IU34" s="915"/>
      <c r="IV34" s="915"/>
    </row>
    <row r="35" spans="1:256">
      <c r="A35" s="934" t="s">
        <v>538</v>
      </c>
      <c r="B35" s="935" t="s">
        <v>538</v>
      </c>
      <c r="C35" s="936"/>
      <c r="D35" s="924"/>
      <c r="E35" s="925"/>
      <c r="F35" s="925"/>
      <c r="G35" s="925"/>
      <c r="H35" s="926"/>
      <c r="I35" s="925"/>
      <c r="J35" s="925"/>
      <c r="K35" s="925"/>
      <c r="L35" s="925"/>
      <c r="M35" s="926"/>
      <c r="N35" s="925"/>
      <c r="O35" s="925"/>
      <c r="P35" s="925"/>
      <c r="Q35" s="925"/>
      <c r="R35" s="926"/>
      <c r="S35" s="925"/>
      <c r="T35" s="925"/>
      <c r="U35" s="925"/>
      <c r="V35" s="925"/>
      <c r="W35" s="926"/>
      <c r="X35" s="925"/>
      <c r="Y35" s="925"/>
      <c r="Z35" s="925"/>
      <c r="AA35" s="925"/>
      <c r="AB35" s="926"/>
    </row>
    <row r="36" spans="1:256">
      <c r="A36" s="937"/>
      <c r="B36" s="910"/>
      <c r="C36" s="938"/>
      <c r="D36" s="912" t="e">
        <f ca="1">_xll.BLUEMATRIX2("/servlet/excelData",D35, $C$14,$B35&amp;":"&amp;D$16&amp;D$17&amp;":"&amp;D$19&amp;":"&amp;$B36)</f>
        <v>#NAME?</v>
      </c>
      <c r="E36" s="913" t="e">
        <f ca="1">_xll.BLUEMATRIX2("/servlet/excelData",E35, $C$14,$B35&amp;":"&amp;E$16&amp;E$17&amp;":"&amp;E$19&amp;":"&amp;$B36)</f>
        <v>#NAME?</v>
      </c>
      <c r="F36" s="913" t="e">
        <f ca="1">_xll.BLUEMATRIX2("/servlet/excelData",F35, $C$14,$B35&amp;":"&amp;F$16&amp;F$17&amp;":"&amp;F$19&amp;":"&amp;$B36)</f>
        <v>#NAME?</v>
      </c>
      <c r="G36" s="913" t="e">
        <f ca="1">_xll.BLUEMATRIX2("/servlet/excelData",G35, $C$14,$B35&amp;":"&amp;G$16&amp;G$17&amp;":"&amp;G$19&amp;":"&amp;$B36)</f>
        <v>#NAME?</v>
      </c>
      <c r="H36" s="914" t="e">
        <f ca="1">_xll.BLUEMATRIX2("/servlet/excelData",H35, $C$14,$B35&amp;":"&amp;H$16&amp;H$17&amp;":"&amp;H$19&amp;":"&amp;$B36)</f>
        <v>#NAME?</v>
      </c>
      <c r="I36" s="913" t="e">
        <f ca="1">_xll.BLUEMATRIX2("/servlet/excelData",I35, $C$14,$B35&amp;":"&amp;I$16&amp;I$17&amp;":"&amp;I$19&amp;":"&amp;$B36)</f>
        <v>#NAME?</v>
      </c>
      <c r="J36" s="913" t="e">
        <f ca="1">_xll.BLUEMATRIX2("/servlet/excelData",J35, $C$14,$B35&amp;":"&amp;J$16&amp;J$17&amp;":"&amp;J$19&amp;":"&amp;$B36)</f>
        <v>#NAME?</v>
      </c>
      <c r="K36" s="913" t="e">
        <f ca="1">_xll.BLUEMATRIX2("/servlet/excelData",K35, $C$14,$B35&amp;":"&amp;K$16&amp;K$17&amp;":"&amp;K$19&amp;":"&amp;$B36)</f>
        <v>#NAME?</v>
      </c>
      <c r="L36" s="913" t="e">
        <f ca="1">_xll.BLUEMATRIX2("/servlet/excelData",L35, $C$14,$B35&amp;":"&amp;L$16&amp;L$17&amp;":"&amp;L$19&amp;":"&amp;$B36)</f>
        <v>#NAME?</v>
      </c>
      <c r="M36" s="914" t="e">
        <f ca="1">_xll.BLUEMATRIX2("/servlet/excelData",M35, $C$14,$B35&amp;":"&amp;M$16&amp;M$17&amp;":"&amp;M$19&amp;":"&amp;$B36)</f>
        <v>#NAME?</v>
      </c>
      <c r="N36" s="913" t="e">
        <f ca="1">_xll.BLUEMATRIX2("/servlet/excelData",N35, $C$14,$B35&amp;":"&amp;N$16&amp;N$17&amp;":"&amp;N$19&amp;":"&amp;$B36)</f>
        <v>#NAME?</v>
      </c>
      <c r="O36" s="913" t="e">
        <f ca="1">_xll.BLUEMATRIX2("/servlet/excelData",O35, $C$14,$B35&amp;":"&amp;O$16&amp;O$17&amp;":"&amp;O$19&amp;":"&amp;$B36)</f>
        <v>#NAME?</v>
      </c>
      <c r="P36" s="913" t="e">
        <f ca="1">_xll.BLUEMATRIX2("/servlet/excelData",P35, $C$14,$B35&amp;":"&amp;P$16&amp;P$17&amp;":"&amp;P$19&amp;":"&amp;$B36)</f>
        <v>#NAME?</v>
      </c>
      <c r="Q36" s="913" t="e">
        <f ca="1">_xll.BLUEMATRIX2("/servlet/excelData",Q35, $C$14,$B35&amp;":"&amp;Q$16&amp;Q$17&amp;":"&amp;Q$19&amp;":"&amp;$B36)</f>
        <v>#NAME?</v>
      </c>
      <c r="R36" s="914" t="e">
        <f ca="1">_xll.BLUEMATRIX2("/servlet/excelData",R35, $C$14,$B35&amp;":"&amp;R$16&amp;R$17&amp;":"&amp;R$19&amp;":"&amp;$B36)</f>
        <v>#NAME?</v>
      </c>
      <c r="S36" s="913" t="e">
        <f ca="1">_xll.BLUEMATRIX2("/servlet/excelData",S35, $C$14,$B35&amp;":"&amp;S$16&amp;S$17&amp;":"&amp;S$19&amp;":"&amp;$B36)</f>
        <v>#NAME?</v>
      </c>
      <c r="T36" s="913" t="e">
        <f ca="1">_xll.BLUEMATRIX2("/servlet/excelData",T35, $C$14,$B35&amp;":"&amp;T$16&amp;T$17&amp;":"&amp;T$19&amp;":"&amp;$B36)</f>
        <v>#NAME?</v>
      </c>
      <c r="U36" s="913" t="e">
        <f ca="1">_xll.BLUEMATRIX2("/servlet/excelData",U35, $C$14,$B35&amp;":"&amp;U$16&amp;U$17&amp;":"&amp;U$19&amp;":"&amp;$B36)</f>
        <v>#NAME?</v>
      </c>
      <c r="V36" s="913" t="e">
        <f ca="1">_xll.BLUEMATRIX2("/servlet/excelData",V35, $C$14,$B35&amp;":"&amp;V$16&amp;V$17&amp;":"&amp;V$19&amp;":"&amp;$B36)</f>
        <v>#NAME?</v>
      </c>
      <c r="W36" s="914" t="e">
        <f ca="1">_xll.BLUEMATRIX2("/servlet/excelData",W35, $C$14,$B35&amp;":"&amp;W$16&amp;W$17&amp;":"&amp;W$19&amp;":"&amp;$B36)</f>
        <v>#NAME?</v>
      </c>
      <c r="X36" s="913" t="e">
        <f ca="1">_xll.BLUEMATRIX2("/servlet/excelData",X35, $C$14,$B35&amp;":"&amp;X$16&amp;X$17&amp;":"&amp;X$19&amp;":"&amp;$B36)</f>
        <v>#NAME?</v>
      </c>
      <c r="Y36" s="913" t="e">
        <f ca="1">_xll.BLUEMATRIX2("/servlet/excelData",Y35, $C$14,$B35&amp;":"&amp;Y$16&amp;Y$17&amp;":"&amp;Y$19&amp;":"&amp;$B36)</f>
        <v>#NAME?</v>
      </c>
      <c r="Z36" s="913" t="e">
        <f ca="1">_xll.BLUEMATRIX2("/servlet/excelData",Z35, $C$14,$B35&amp;":"&amp;Z$16&amp;Z$17&amp;":"&amp;Z$19&amp;":"&amp;$B36)</f>
        <v>#NAME?</v>
      </c>
      <c r="AA36" s="913" t="e">
        <f ca="1">_xll.BLUEMATRIX2("/servlet/excelData",AA35, $C$14,$B35&amp;":"&amp;AA$16&amp;AA$17&amp;":"&amp;AA$19&amp;":"&amp;$B36)</f>
        <v>#NAME?</v>
      </c>
      <c r="AB36" s="914" t="e">
        <f ca="1">_xll.BLUEMATRIX2("/servlet/excelData",AB35, $C$14,$B35&amp;":"&amp;AB$16&amp;AB$17&amp;":"&amp;AB$19&amp;":"&amp;$B36)</f>
        <v>#NAME?</v>
      </c>
      <c r="AC36" s="915"/>
      <c r="AD36" s="915"/>
      <c r="AF36" s="915"/>
      <c r="AG36" s="915"/>
      <c r="AH36" s="915"/>
      <c r="AI36" s="915"/>
      <c r="AJ36" s="915"/>
      <c r="AK36" s="915"/>
      <c r="AL36" s="915"/>
      <c r="AM36" s="915"/>
      <c r="AN36" s="915"/>
      <c r="AO36" s="915"/>
      <c r="AP36" s="915"/>
      <c r="AQ36" s="915"/>
      <c r="AR36" s="915"/>
      <c r="AS36" s="915"/>
      <c r="AT36" s="915"/>
      <c r="AU36" s="915"/>
      <c r="AV36" s="915"/>
      <c r="AW36" s="915"/>
      <c r="AX36" s="915"/>
      <c r="AY36" s="915"/>
      <c r="AZ36" s="915"/>
      <c r="BA36" s="915"/>
      <c r="BB36" s="915"/>
      <c r="BC36" s="915"/>
      <c r="BD36" s="915"/>
      <c r="BE36" s="915"/>
      <c r="BF36" s="915"/>
      <c r="BG36" s="915"/>
      <c r="BH36" s="915"/>
      <c r="BI36" s="915"/>
      <c r="BJ36" s="915"/>
      <c r="BK36" s="915"/>
      <c r="BL36" s="915"/>
      <c r="BM36" s="915"/>
      <c r="BN36" s="915"/>
      <c r="BO36" s="915"/>
      <c r="BP36" s="915"/>
      <c r="BQ36" s="915"/>
      <c r="BR36" s="915"/>
      <c r="BS36" s="915"/>
      <c r="BT36" s="915"/>
      <c r="BU36" s="915"/>
      <c r="BV36" s="915"/>
      <c r="BW36" s="915"/>
      <c r="BX36" s="915"/>
      <c r="BY36" s="915"/>
      <c r="BZ36" s="915"/>
      <c r="CA36" s="915"/>
      <c r="CB36" s="915"/>
      <c r="CC36" s="915"/>
      <c r="CD36" s="915"/>
      <c r="CE36" s="915"/>
      <c r="CF36" s="915"/>
      <c r="CG36" s="915"/>
      <c r="CH36" s="915"/>
      <c r="CI36" s="915"/>
      <c r="CJ36" s="915"/>
      <c r="CK36" s="915"/>
      <c r="CL36" s="915"/>
      <c r="CM36" s="915"/>
      <c r="CN36" s="915"/>
      <c r="CO36" s="915"/>
      <c r="CP36" s="915"/>
      <c r="CQ36" s="915"/>
      <c r="CR36" s="915"/>
      <c r="CS36" s="915"/>
      <c r="CT36" s="915"/>
      <c r="CU36" s="915"/>
      <c r="CV36" s="915"/>
      <c r="CW36" s="915"/>
      <c r="CX36" s="915"/>
      <c r="CY36" s="915"/>
      <c r="CZ36" s="915"/>
      <c r="DA36" s="915"/>
      <c r="DB36" s="915"/>
      <c r="DC36" s="915"/>
      <c r="DD36" s="915"/>
      <c r="DE36" s="915"/>
      <c r="DF36" s="915"/>
      <c r="DG36" s="915"/>
      <c r="DH36" s="915"/>
      <c r="DI36" s="915"/>
      <c r="DJ36" s="915"/>
      <c r="DK36" s="915"/>
      <c r="DL36" s="915"/>
      <c r="DM36" s="915"/>
      <c r="DN36" s="915"/>
      <c r="DO36" s="915"/>
      <c r="DP36" s="915"/>
      <c r="DQ36" s="915"/>
      <c r="DR36" s="915"/>
      <c r="DS36" s="915"/>
      <c r="DT36" s="915"/>
      <c r="DU36" s="915"/>
      <c r="DV36" s="915"/>
      <c r="DW36" s="915"/>
      <c r="DX36" s="915"/>
      <c r="DY36" s="915"/>
      <c r="DZ36" s="915"/>
      <c r="EA36" s="915"/>
      <c r="EB36" s="915"/>
      <c r="EC36" s="915"/>
      <c r="ED36" s="915"/>
      <c r="EE36" s="915"/>
      <c r="EF36" s="915"/>
      <c r="EG36" s="915"/>
      <c r="EH36" s="915"/>
      <c r="EI36" s="915"/>
      <c r="EJ36" s="915"/>
      <c r="EK36" s="915"/>
      <c r="EL36" s="915"/>
      <c r="EM36" s="915"/>
      <c r="EN36" s="915"/>
      <c r="EO36" s="915"/>
      <c r="EP36" s="915"/>
      <c r="EQ36" s="915"/>
      <c r="ER36" s="915"/>
      <c r="ES36" s="915"/>
      <c r="ET36" s="915"/>
      <c r="EU36" s="915"/>
      <c r="EV36" s="915"/>
      <c r="EW36" s="915"/>
      <c r="EX36" s="915"/>
      <c r="EY36" s="915"/>
      <c r="EZ36" s="915"/>
      <c r="FA36" s="915"/>
      <c r="FB36" s="915"/>
      <c r="FC36" s="915"/>
      <c r="FD36" s="915"/>
      <c r="FE36" s="915"/>
      <c r="FF36" s="915"/>
      <c r="FG36" s="915"/>
      <c r="FH36" s="915"/>
      <c r="FI36" s="915"/>
      <c r="FJ36" s="915"/>
      <c r="FK36" s="915"/>
      <c r="FL36" s="915"/>
      <c r="FM36" s="915"/>
      <c r="FN36" s="915"/>
      <c r="FO36" s="915"/>
      <c r="FP36" s="915"/>
      <c r="FQ36" s="915"/>
      <c r="FR36" s="915"/>
      <c r="FS36" s="915"/>
      <c r="FT36" s="915"/>
      <c r="FU36" s="915"/>
      <c r="FV36" s="915"/>
      <c r="FW36" s="915"/>
      <c r="FX36" s="915"/>
      <c r="FY36" s="915"/>
      <c r="FZ36" s="915"/>
      <c r="GA36" s="915"/>
      <c r="GB36" s="915"/>
      <c r="GC36" s="915"/>
      <c r="GD36" s="915"/>
      <c r="GE36" s="915"/>
      <c r="GF36" s="915"/>
      <c r="GG36" s="915"/>
      <c r="GH36" s="915"/>
      <c r="GI36" s="915"/>
      <c r="GJ36" s="915"/>
      <c r="GK36" s="915"/>
      <c r="GL36" s="915"/>
      <c r="GM36" s="915"/>
      <c r="GN36" s="915"/>
      <c r="GO36" s="915"/>
      <c r="GP36" s="915"/>
      <c r="GQ36" s="915"/>
      <c r="GR36" s="915"/>
      <c r="GS36" s="915"/>
      <c r="GT36" s="915"/>
      <c r="GU36" s="915"/>
      <c r="GV36" s="915"/>
      <c r="GW36" s="915"/>
      <c r="GX36" s="915"/>
      <c r="GY36" s="915"/>
      <c r="GZ36" s="915"/>
      <c r="HA36" s="915"/>
      <c r="HB36" s="915"/>
      <c r="HC36" s="915"/>
      <c r="HD36" s="915"/>
      <c r="HE36" s="915"/>
      <c r="HF36" s="915"/>
      <c r="HG36" s="915"/>
      <c r="HH36" s="915"/>
      <c r="HI36" s="915"/>
      <c r="HJ36" s="915"/>
      <c r="HK36" s="915"/>
      <c r="HL36" s="915"/>
      <c r="HM36" s="915"/>
      <c r="HN36" s="915"/>
      <c r="HO36" s="915"/>
      <c r="HP36" s="915"/>
      <c r="HQ36" s="915"/>
      <c r="HR36" s="915"/>
      <c r="HS36" s="915"/>
      <c r="HT36" s="915"/>
      <c r="HU36" s="915"/>
      <c r="HV36" s="915"/>
      <c r="HW36" s="915"/>
      <c r="HX36" s="915"/>
      <c r="HY36" s="915"/>
      <c r="HZ36" s="915"/>
      <c r="IA36" s="915"/>
      <c r="IB36" s="915"/>
      <c r="IC36" s="915"/>
      <c r="ID36" s="915"/>
      <c r="IE36" s="915"/>
      <c r="IF36" s="915"/>
      <c r="IG36" s="915"/>
      <c r="IH36" s="915"/>
      <c r="II36" s="915"/>
      <c r="IJ36" s="915"/>
      <c r="IK36" s="915"/>
      <c r="IL36" s="915"/>
      <c r="IM36" s="915"/>
      <c r="IN36" s="915"/>
      <c r="IO36" s="915"/>
      <c r="IP36" s="915"/>
      <c r="IQ36" s="915"/>
      <c r="IR36" s="915"/>
      <c r="IS36" s="915"/>
      <c r="IT36" s="915"/>
      <c r="IU36" s="915"/>
      <c r="IV36" s="915"/>
    </row>
    <row r="37" spans="1:256">
      <c r="B37" s="860"/>
    </row>
    <row r="38" spans="1:256">
      <c r="A38" s="939"/>
      <c r="B38" s="939"/>
    </row>
    <row r="39" spans="1:256">
      <c r="A39" s="939"/>
      <c r="B39" s="939"/>
    </row>
    <row r="40" spans="1:256">
      <c r="A40" s="939"/>
      <c r="B40" s="939"/>
    </row>
    <row r="41" spans="1:256">
      <c r="A41" s="939"/>
      <c r="B41" s="939"/>
    </row>
    <row r="42" spans="1:256">
      <c r="A42" s="939"/>
      <c r="B42" s="939"/>
    </row>
    <row r="43" spans="1:256">
      <c r="A43" s="939"/>
      <c r="B43" s="939"/>
    </row>
    <row r="44" spans="1:256">
      <c r="D44" s="870" t="s">
        <v>539</v>
      </c>
    </row>
    <row r="45" spans="1:256">
      <c r="A45" s="870" t="s">
        <v>540</v>
      </c>
      <c r="B45" s="870">
        <v>3</v>
      </c>
      <c r="C45" s="940"/>
      <c r="D45" s="860">
        <v>0</v>
      </c>
    </row>
    <row r="46" spans="1:256">
      <c r="A46" s="870" t="s">
        <v>541</v>
      </c>
      <c r="B46" s="870">
        <v>6</v>
      </c>
      <c r="C46" s="940"/>
      <c r="D46" s="860">
        <v>0</v>
      </c>
    </row>
    <row r="47" spans="1:256">
      <c r="A47" s="870" t="s">
        <v>542</v>
      </c>
      <c r="B47" s="870">
        <v>9</v>
      </c>
      <c r="C47" s="940"/>
      <c r="D47" s="860">
        <v>0</v>
      </c>
    </row>
    <row r="48" spans="1:256">
      <c r="A48" s="870" t="s">
        <v>543</v>
      </c>
      <c r="B48" s="870">
        <v>12</v>
      </c>
      <c r="C48" s="940"/>
      <c r="D48" s="860">
        <v>0</v>
      </c>
    </row>
  </sheetData>
  <dataValidations count="1">
    <dataValidation type="list" allowBlank="1" showInputMessage="1" showErrorMessage="1" sqref="C10 IY10 SU10 ACQ10 AMM10 AWI10 BGE10 BQA10 BZW10 CJS10 CTO10 DDK10 DNG10 DXC10 EGY10 EQU10 FAQ10 FKM10 FUI10 GEE10 GOA10 GXW10 HHS10 HRO10 IBK10 ILG10 IVC10 JEY10 JOU10 JYQ10 KIM10 KSI10 LCE10 LMA10 LVW10 MFS10 MPO10 MZK10 NJG10 NTC10 OCY10 OMU10 OWQ10 PGM10 PQI10 QAE10 QKA10 QTW10 RDS10 RNO10 RXK10 SHG10 SRC10 TAY10 TKU10 TUQ10 UEM10 UOI10 UYE10 VIA10 VRW10 WBS10 WLO10 WVK10 C65546 IY65546 SU65546 ACQ65546 AMM65546 AWI65546 BGE65546 BQA65546 BZW65546 CJS65546 CTO65546 DDK65546 DNG65546 DXC65546 EGY65546 EQU65546 FAQ65546 FKM65546 FUI65546 GEE65546 GOA65546 GXW65546 HHS65546 HRO65546 IBK65546 ILG65546 IVC65546 JEY65546 JOU65546 JYQ65546 KIM65546 KSI65546 LCE65546 LMA65546 LVW65546 MFS65546 MPO65546 MZK65546 NJG65546 NTC65546 OCY65546 OMU65546 OWQ65546 PGM65546 PQI65546 QAE65546 QKA65546 QTW65546 RDS65546 RNO65546 RXK65546 SHG65546 SRC65546 TAY65546 TKU65546 TUQ65546 UEM65546 UOI65546 UYE65546 VIA65546 VRW65546 WBS65546 WLO65546 WVK65546 C131082 IY131082 SU131082 ACQ131082 AMM131082 AWI131082 BGE131082 BQA131082 BZW131082 CJS131082 CTO131082 DDK131082 DNG131082 DXC131082 EGY131082 EQU131082 FAQ131082 FKM131082 FUI131082 GEE131082 GOA131082 GXW131082 HHS131082 HRO131082 IBK131082 ILG131082 IVC131082 JEY131082 JOU131082 JYQ131082 KIM131082 KSI131082 LCE131082 LMA131082 LVW131082 MFS131082 MPO131082 MZK131082 NJG131082 NTC131082 OCY131082 OMU131082 OWQ131082 PGM131082 PQI131082 QAE131082 QKA131082 QTW131082 RDS131082 RNO131082 RXK131082 SHG131082 SRC131082 TAY131082 TKU131082 TUQ131082 UEM131082 UOI131082 UYE131082 VIA131082 VRW131082 WBS131082 WLO131082 WVK131082 C196618 IY196618 SU196618 ACQ196618 AMM196618 AWI196618 BGE196618 BQA196618 BZW196618 CJS196618 CTO196618 DDK196618 DNG196618 DXC196618 EGY196618 EQU196618 FAQ196618 FKM196618 FUI196618 GEE196618 GOA196618 GXW196618 HHS196618 HRO196618 IBK196618 ILG196618 IVC196618 JEY196618 JOU196618 JYQ196618 KIM196618 KSI196618 LCE196618 LMA196618 LVW196618 MFS196618 MPO196618 MZK196618 NJG196618 NTC196618 OCY196618 OMU196618 OWQ196618 PGM196618 PQI196618 QAE196618 QKA196618 QTW196618 RDS196618 RNO196618 RXK196618 SHG196618 SRC196618 TAY196618 TKU196618 TUQ196618 UEM196618 UOI196618 UYE196618 VIA196618 VRW196618 WBS196618 WLO196618 WVK196618 C262154 IY262154 SU262154 ACQ262154 AMM262154 AWI262154 BGE262154 BQA262154 BZW262154 CJS262154 CTO262154 DDK262154 DNG262154 DXC262154 EGY262154 EQU262154 FAQ262154 FKM262154 FUI262154 GEE262154 GOA262154 GXW262154 HHS262154 HRO262154 IBK262154 ILG262154 IVC262154 JEY262154 JOU262154 JYQ262154 KIM262154 KSI262154 LCE262154 LMA262154 LVW262154 MFS262154 MPO262154 MZK262154 NJG262154 NTC262154 OCY262154 OMU262154 OWQ262154 PGM262154 PQI262154 QAE262154 QKA262154 QTW262154 RDS262154 RNO262154 RXK262154 SHG262154 SRC262154 TAY262154 TKU262154 TUQ262154 UEM262154 UOI262154 UYE262154 VIA262154 VRW262154 WBS262154 WLO262154 WVK262154 C327690 IY327690 SU327690 ACQ327690 AMM327690 AWI327690 BGE327690 BQA327690 BZW327690 CJS327690 CTO327690 DDK327690 DNG327690 DXC327690 EGY327690 EQU327690 FAQ327690 FKM327690 FUI327690 GEE327690 GOA327690 GXW327690 HHS327690 HRO327690 IBK327690 ILG327690 IVC327690 JEY327690 JOU327690 JYQ327690 KIM327690 KSI327690 LCE327690 LMA327690 LVW327690 MFS327690 MPO327690 MZK327690 NJG327690 NTC327690 OCY327690 OMU327690 OWQ327690 PGM327690 PQI327690 QAE327690 QKA327690 QTW327690 RDS327690 RNO327690 RXK327690 SHG327690 SRC327690 TAY327690 TKU327690 TUQ327690 UEM327690 UOI327690 UYE327690 VIA327690 VRW327690 WBS327690 WLO327690 WVK327690 C393226 IY393226 SU393226 ACQ393226 AMM393226 AWI393226 BGE393226 BQA393226 BZW393226 CJS393226 CTO393226 DDK393226 DNG393226 DXC393226 EGY393226 EQU393226 FAQ393226 FKM393226 FUI393226 GEE393226 GOA393226 GXW393226 HHS393226 HRO393226 IBK393226 ILG393226 IVC393226 JEY393226 JOU393226 JYQ393226 KIM393226 KSI393226 LCE393226 LMA393226 LVW393226 MFS393226 MPO393226 MZK393226 NJG393226 NTC393226 OCY393226 OMU393226 OWQ393226 PGM393226 PQI393226 QAE393226 QKA393226 QTW393226 RDS393226 RNO393226 RXK393226 SHG393226 SRC393226 TAY393226 TKU393226 TUQ393226 UEM393226 UOI393226 UYE393226 VIA393226 VRW393226 WBS393226 WLO393226 WVK393226 C458762 IY458762 SU458762 ACQ458762 AMM458762 AWI458762 BGE458762 BQA458762 BZW458762 CJS458762 CTO458762 DDK458762 DNG458762 DXC458762 EGY458762 EQU458762 FAQ458762 FKM458762 FUI458762 GEE458762 GOA458762 GXW458762 HHS458762 HRO458762 IBK458762 ILG458762 IVC458762 JEY458762 JOU458762 JYQ458762 KIM458762 KSI458762 LCE458762 LMA458762 LVW458762 MFS458762 MPO458762 MZK458762 NJG458762 NTC458762 OCY458762 OMU458762 OWQ458762 PGM458762 PQI458762 QAE458762 QKA458762 QTW458762 RDS458762 RNO458762 RXK458762 SHG458762 SRC458762 TAY458762 TKU458762 TUQ458762 UEM458762 UOI458762 UYE458762 VIA458762 VRW458762 WBS458762 WLO458762 WVK458762 C524298 IY524298 SU524298 ACQ524298 AMM524298 AWI524298 BGE524298 BQA524298 BZW524298 CJS524298 CTO524298 DDK524298 DNG524298 DXC524298 EGY524298 EQU524298 FAQ524298 FKM524298 FUI524298 GEE524298 GOA524298 GXW524298 HHS524298 HRO524298 IBK524298 ILG524298 IVC524298 JEY524298 JOU524298 JYQ524298 KIM524298 KSI524298 LCE524298 LMA524298 LVW524298 MFS524298 MPO524298 MZK524298 NJG524298 NTC524298 OCY524298 OMU524298 OWQ524298 PGM524298 PQI524298 QAE524298 QKA524298 QTW524298 RDS524298 RNO524298 RXK524298 SHG524298 SRC524298 TAY524298 TKU524298 TUQ524298 UEM524298 UOI524298 UYE524298 VIA524298 VRW524298 WBS524298 WLO524298 WVK524298 C589834 IY589834 SU589834 ACQ589834 AMM589834 AWI589834 BGE589834 BQA589834 BZW589834 CJS589834 CTO589834 DDK589834 DNG589834 DXC589834 EGY589834 EQU589834 FAQ589834 FKM589834 FUI589834 GEE589834 GOA589834 GXW589834 HHS589834 HRO589834 IBK589834 ILG589834 IVC589834 JEY589834 JOU589834 JYQ589834 KIM589834 KSI589834 LCE589834 LMA589834 LVW589834 MFS589834 MPO589834 MZK589834 NJG589834 NTC589834 OCY589834 OMU589834 OWQ589834 PGM589834 PQI589834 QAE589834 QKA589834 QTW589834 RDS589834 RNO589834 RXK589834 SHG589834 SRC589834 TAY589834 TKU589834 TUQ589834 UEM589834 UOI589834 UYE589834 VIA589834 VRW589834 WBS589834 WLO589834 WVK589834 C655370 IY655370 SU655370 ACQ655370 AMM655370 AWI655370 BGE655370 BQA655370 BZW655370 CJS655370 CTO655370 DDK655370 DNG655370 DXC655370 EGY655370 EQU655370 FAQ655370 FKM655370 FUI655370 GEE655370 GOA655370 GXW655370 HHS655370 HRO655370 IBK655370 ILG655370 IVC655370 JEY655370 JOU655370 JYQ655370 KIM655370 KSI655370 LCE655370 LMA655370 LVW655370 MFS655370 MPO655370 MZK655370 NJG655370 NTC655370 OCY655370 OMU655370 OWQ655370 PGM655370 PQI655370 QAE655370 QKA655370 QTW655370 RDS655370 RNO655370 RXK655370 SHG655370 SRC655370 TAY655370 TKU655370 TUQ655370 UEM655370 UOI655370 UYE655370 VIA655370 VRW655370 WBS655370 WLO655370 WVK655370 C720906 IY720906 SU720906 ACQ720906 AMM720906 AWI720906 BGE720906 BQA720906 BZW720906 CJS720906 CTO720906 DDK720906 DNG720906 DXC720906 EGY720906 EQU720906 FAQ720906 FKM720906 FUI720906 GEE720906 GOA720906 GXW720906 HHS720906 HRO720906 IBK720906 ILG720906 IVC720906 JEY720906 JOU720906 JYQ720906 KIM720906 KSI720906 LCE720906 LMA720906 LVW720906 MFS720906 MPO720906 MZK720906 NJG720906 NTC720906 OCY720906 OMU720906 OWQ720906 PGM720906 PQI720906 QAE720906 QKA720906 QTW720906 RDS720906 RNO720906 RXK720906 SHG720906 SRC720906 TAY720906 TKU720906 TUQ720906 UEM720906 UOI720906 UYE720906 VIA720906 VRW720906 WBS720906 WLO720906 WVK720906 C786442 IY786442 SU786442 ACQ786442 AMM786442 AWI786442 BGE786442 BQA786442 BZW786442 CJS786442 CTO786442 DDK786442 DNG786442 DXC786442 EGY786442 EQU786442 FAQ786442 FKM786442 FUI786442 GEE786442 GOA786442 GXW786442 HHS786442 HRO786442 IBK786442 ILG786442 IVC786442 JEY786442 JOU786442 JYQ786442 KIM786442 KSI786442 LCE786442 LMA786442 LVW786442 MFS786442 MPO786442 MZK786442 NJG786442 NTC786442 OCY786442 OMU786442 OWQ786442 PGM786442 PQI786442 QAE786442 QKA786442 QTW786442 RDS786442 RNO786442 RXK786442 SHG786442 SRC786442 TAY786442 TKU786442 TUQ786442 UEM786442 UOI786442 UYE786442 VIA786442 VRW786442 WBS786442 WLO786442 WVK786442 C851978 IY851978 SU851978 ACQ851978 AMM851978 AWI851978 BGE851978 BQA851978 BZW851978 CJS851978 CTO851978 DDK851978 DNG851978 DXC851978 EGY851978 EQU851978 FAQ851978 FKM851978 FUI851978 GEE851978 GOA851978 GXW851978 HHS851978 HRO851978 IBK851978 ILG851978 IVC851978 JEY851978 JOU851978 JYQ851978 KIM851978 KSI851978 LCE851978 LMA851978 LVW851978 MFS851978 MPO851978 MZK851978 NJG851978 NTC851978 OCY851978 OMU851978 OWQ851978 PGM851978 PQI851978 QAE851978 QKA851978 QTW851978 RDS851978 RNO851978 RXK851978 SHG851978 SRC851978 TAY851978 TKU851978 TUQ851978 UEM851978 UOI851978 UYE851978 VIA851978 VRW851978 WBS851978 WLO851978 WVK851978 C917514 IY917514 SU917514 ACQ917514 AMM917514 AWI917514 BGE917514 BQA917514 BZW917514 CJS917514 CTO917514 DDK917514 DNG917514 DXC917514 EGY917514 EQU917514 FAQ917514 FKM917514 FUI917514 GEE917514 GOA917514 GXW917514 HHS917514 HRO917514 IBK917514 ILG917514 IVC917514 JEY917514 JOU917514 JYQ917514 KIM917514 KSI917514 LCE917514 LMA917514 LVW917514 MFS917514 MPO917514 MZK917514 NJG917514 NTC917514 OCY917514 OMU917514 OWQ917514 PGM917514 PQI917514 QAE917514 QKA917514 QTW917514 RDS917514 RNO917514 RXK917514 SHG917514 SRC917514 TAY917514 TKU917514 TUQ917514 UEM917514 UOI917514 UYE917514 VIA917514 VRW917514 WBS917514 WLO917514 WVK917514 C983050 IY983050 SU983050 ACQ983050 AMM983050 AWI983050 BGE983050 BQA983050 BZW983050 CJS983050 CTO983050 DDK983050 DNG983050 DXC983050 EGY983050 EQU983050 FAQ983050 FKM983050 FUI983050 GEE983050 GOA983050 GXW983050 HHS983050 HRO983050 IBK983050 ILG983050 IVC983050 JEY983050 JOU983050 JYQ983050 KIM983050 KSI983050 LCE983050 LMA983050 LVW983050 MFS983050 MPO983050 MZK983050 NJG983050 NTC983050 OCY983050 OMU983050 OWQ983050 PGM983050 PQI983050 QAE983050 QKA983050 QTW983050 RDS983050 RNO983050 RXK983050 SHG983050 SRC983050 TAY983050 TKU983050 TUQ983050 UEM983050 UOI983050 UYE983050 VIA983050 VRW983050 WBS983050 WLO983050 WVK983050 GW65495 QS65495 AAO65495 AKK65495 AUG65495 BEC65495 BNY65495 BXU65495 CHQ65495 CRM65495 DBI65495 DLE65495 DVA65495 EEW65495 EOS65495 EYO65495 FIK65495 FSG65495 GCC65495 GLY65495 GVU65495 HFQ65495 HPM65495 HZI65495 IJE65495 ITA65495 JCW65495 JMS65495 JWO65495 KGK65495 KQG65495 LAC65495 LJY65495 LTU65495 MDQ65495 MNM65495 MXI65495 NHE65495 NRA65495 OAW65495 OKS65495 OUO65495 PEK65495 POG65495 PYC65495 QHY65495 QRU65495 RBQ65495 RLM65495 RVI65495 SFE65495 SPA65495 SYW65495 TIS65495 TSO65495 UCK65495 UMG65495 UWC65495 VFY65495 VPU65495 VZQ65495 WJM65495 WTI65495 XDE65495 GW131031 QS131031 AAO131031 AKK131031 AUG131031 BEC131031 BNY131031 BXU131031 CHQ131031 CRM131031 DBI131031 DLE131031 DVA131031 EEW131031 EOS131031 EYO131031 FIK131031 FSG131031 GCC131031 GLY131031 GVU131031 HFQ131031 HPM131031 HZI131031 IJE131031 ITA131031 JCW131031 JMS131031 JWO131031 KGK131031 KQG131031 LAC131031 LJY131031 LTU131031 MDQ131031 MNM131031 MXI131031 NHE131031 NRA131031 OAW131031 OKS131031 OUO131031 PEK131031 POG131031 PYC131031 QHY131031 QRU131031 RBQ131031 RLM131031 RVI131031 SFE131031 SPA131031 SYW131031 TIS131031 TSO131031 UCK131031 UMG131031 UWC131031 VFY131031 VPU131031 VZQ131031 WJM131031 WTI131031 XDE131031 GW196567 QS196567 AAO196567 AKK196567 AUG196567 BEC196567 BNY196567 BXU196567 CHQ196567 CRM196567 DBI196567 DLE196567 DVA196567 EEW196567 EOS196567 EYO196567 FIK196567 FSG196567 GCC196567 GLY196567 GVU196567 HFQ196567 HPM196567 HZI196567 IJE196567 ITA196567 JCW196567 JMS196567 JWO196567 KGK196567 KQG196567 LAC196567 LJY196567 LTU196567 MDQ196567 MNM196567 MXI196567 NHE196567 NRA196567 OAW196567 OKS196567 OUO196567 PEK196567 POG196567 PYC196567 QHY196567 QRU196567 RBQ196567 RLM196567 RVI196567 SFE196567 SPA196567 SYW196567 TIS196567 TSO196567 UCK196567 UMG196567 UWC196567 VFY196567 VPU196567 VZQ196567 WJM196567 WTI196567 XDE196567 GW262103 QS262103 AAO262103 AKK262103 AUG262103 BEC262103 BNY262103 BXU262103 CHQ262103 CRM262103 DBI262103 DLE262103 DVA262103 EEW262103 EOS262103 EYO262103 FIK262103 FSG262103 GCC262103 GLY262103 GVU262103 HFQ262103 HPM262103 HZI262103 IJE262103 ITA262103 JCW262103 JMS262103 JWO262103 KGK262103 KQG262103 LAC262103 LJY262103 LTU262103 MDQ262103 MNM262103 MXI262103 NHE262103 NRA262103 OAW262103 OKS262103 OUO262103 PEK262103 POG262103 PYC262103 QHY262103 QRU262103 RBQ262103 RLM262103 RVI262103 SFE262103 SPA262103 SYW262103 TIS262103 TSO262103 UCK262103 UMG262103 UWC262103 VFY262103 VPU262103 VZQ262103 WJM262103 WTI262103 XDE262103 GW327639 QS327639 AAO327639 AKK327639 AUG327639 BEC327639 BNY327639 BXU327639 CHQ327639 CRM327639 DBI327639 DLE327639 DVA327639 EEW327639 EOS327639 EYO327639 FIK327639 FSG327639 GCC327639 GLY327639 GVU327639 HFQ327639 HPM327639 HZI327639 IJE327639 ITA327639 JCW327639 JMS327639 JWO327639 KGK327639 KQG327639 LAC327639 LJY327639 LTU327639 MDQ327639 MNM327639 MXI327639 NHE327639 NRA327639 OAW327639 OKS327639 OUO327639 PEK327639 POG327639 PYC327639 QHY327639 QRU327639 RBQ327639 RLM327639 RVI327639 SFE327639 SPA327639 SYW327639 TIS327639 TSO327639 UCK327639 UMG327639 UWC327639 VFY327639 VPU327639 VZQ327639 WJM327639 WTI327639 XDE327639 GW393175 QS393175 AAO393175 AKK393175 AUG393175 BEC393175 BNY393175 BXU393175 CHQ393175 CRM393175 DBI393175 DLE393175 DVA393175 EEW393175 EOS393175 EYO393175 FIK393175 FSG393175 GCC393175 GLY393175 GVU393175 HFQ393175 HPM393175 HZI393175 IJE393175 ITA393175 JCW393175 JMS393175 JWO393175 KGK393175 KQG393175 LAC393175 LJY393175 LTU393175 MDQ393175 MNM393175 MXI393175 NHE393175 NRA393175 OAW393175 OKS393175 OUO393175 PEK393175 POG393175 PYC393175 QHY393175 QRU393175 RBQ393175 RLM393175 RVI393175 SFE393175 SPA393175 SYW393175 TIS393175 TSO393175 UCK393175 UMG393175 UWC393175 VFY393175 VPU393175 VZQ393175 WJM393175 WTI393175 XDE393175 GW458711 QS458711 AAO458711 AKK458711 AUG458711 BEC458711 BNY458711 BXU458711 CHQ458711 CRM458711 DBI458711 DLE458711 DVA458711 EEW458711 EOS458711 EYO458711 FIK458711 FSG458711 GCC458711 GLY458711 GVU458711 HFQ458711 HPM458711 HZI458711 IJE458711 ITA458711 JCW458711 JMS458711 JWO458711 KGK458711 KQG458711 LAC458711 LJY458711 LTU458711 MDQ458711 MNM458711 MXI458711 NHE458711 NRA458711 OAW458711 OKS458711 OUO458711 PEK458711 POG458711 PYC458711 QHY458711 QRU458711 RBQ458711 RLM458711 RVI458711 SFE458711 SPA458711 SYW458711 TIS458711 TSO458711 UCK458711 UMG458711 UWC458711 VFY458711 VPU458711 VZQ458711 WJM458711 WTI458711 XDE458711 GW524247 QS524247 AAO524247 AKK524247 AUG524247 BEC524247 BNY524247 BXU524247 CHQ524247 CRM524247 DBI524247 DLE524247 DVA524247 EEW524247 EOS524247 EYO524247 FIK524247 FSG524247 GCC524247 GLY524247 GVU524247 HFQ524247 HPM524247 HZI524247 IJE524247 ITA524247 JCW524247 JMS524247 JWO524247 KGK524247 KQG524247 LAC524247 LJY524247 LTU524247 MDQ524247 MNM524247 MXI524247 NHE524247 NRA524247 OAW524247 OKS524247 OUO524247 PEK524247 POG524247 PYC524247 QHY524247 QRU524247 RBQ524247 RLM524247 RVI524247 SFE524247 SPA524247 SYW524247 TIS524247 TSO524247 UCK524247 UMG524247 UWC524247 VFY524247 VPU524247 VZQ524247 WJM524247 WTI524247 XDE524247 GW589783 QS589783 AAO589783 AKK589783 AUG589783 BEC589783 BNY589783 BXU589783 CHQ589783 CRM589783 DBI589783 DLE589783 DVA589783 EEW589783 EOS589783 EYO589783 FIK589783 FSG589783 GCC589783 GLY589783 GVU589783 HFQ589783 HPM589783 HZI589783 IJE589783 ITA589783 JCW589783 JMS589783 JWO589783 KGK589783 KQG589783 LAC589783 LJY589783 LTU589783 MDQ589783 MNM589783 MXI589783 NHE589783 NRA589783 OAW589783 OKS589783 OUO589783 PEK589783 POG589783 PYC589783 QHY589783 QRU589783 RBQ589783 RLM589783 RVI589783 SFE589783 SPA589783 SYW589783 TIS589783 TSO589783 UCK589783 UMG589783 UWC589783 VFY589783 VPU589783 VZQ589783 WJM589783 WTI589783 XDE589783 GW655319 QS655319 AAO655319 AKK655319 AUG655319 BEC655319 BNY655319 BXU655319 CHQ655319 CRM655319 DBI655319 DLE655319 DVA655319 EEW655319 EOS655319 EYO655319 FIK655319 FSG655319 GCC655319 GLY655319 GVU655319 HFQ655319 HPM655319 HZI655319 IJE655319 ITA655319 JCW655319 JMS655319 JWO655319 KGK655319 KQG655319 LAC655319 LJY655319 LTU655319 MDQ655319 MNM655319 MXI655319 NHE655319 NRA655319 OAW655319 OKS655319 OUO655319 PEK655319 POG655319 PYC655319 QHY655319 QRU655319 RBQ655319 RLM655319 RVI655319 SFE655319 SPA655319 SYW655319 TIS655319 TSO655319 UCK655319 UMG655319 UWC655319 VFY655319 VPU655319 VZQ655319 WJM655319 WTI655319 XDE655319 GW720855 QS720855 AAO720855 AKK720855 AUG720855 BEC720855 BNY720855 BXU720855 CHQ720855 CRM720855 DBI720855 DLE720855 DVA720855 EEW720855 EOS720855 EYO720855 FIK720855 FSG720855 GCC720855 GLY720855 GVU720855 HFQ720855 HPM720855 HZI720855 IJE720855 ITA720855 JCW720855 JMS720855 JWO720855 KGK720855 KQG720855 LAC720855 LJY720855 LTU720855 MDQ720855 MNM720855 MXI720855 NHE720855 NRA720855 OAW720855 OKS720855 OUO720855 PEK720855 POG720855 PYC720855 QHY720855 QRU720855 RBQ720855 RLM720855 RVI720855 SFE720855 SPA720855 SYW720855 TIS720855 TSO720855 UCK720855 UMG720855 UWC720855 VFY720855 VPU720855 VZQ720855 WJM720855 WTI720855 XDE720855 GW786391 QS786391 AAO786391 AKK786391 AUG786391 BEC786391 BNY786391 BXU786391 CHQ786391 CRM786391 DBI786391 DLE786391 DVA786391 EEW786391 EOS786391 EYO786391 FIK786391 FSG786391 GCC786391 GLY786391 GVU786391 HFQ786391 HPM786391 HZI786391 IJE786391 ITA786391 JCW786391 JMS786391 JWO786391 KGK786391 KQG786391 LAC786391 LJY786391 LTU786391 MDQ786391 MNM786391 MXI786391 NHE786391 NRA786391 OAW786391 OKS786391 OUO786391 PEK786391 POG786391 PYC786391 QHY786391 QRU786391 RBQ786391 RLM786391 RVI786391 SFE786391 SPA786391 SYW786391 TIS786391 TSO786391 UCK786391 UMG786391 UWC786391 VFY786391 VPU786391 VZQ786391 WJM786391 WTI786391 XDE786391 GW851927 QS851927 AAO851927 AKK851927 AUG851927 BEC851927 BNY851927 BXU851927 CHQ851927 CRM851927 DBI851927 DLE851927 DVA851927 EEW851927 EOS851927 EYO851927 FIK851927 FSG851927 GCC851927 GLY851927 GVU851927 HFQ851927 HPM851927 HZI851927 IJE851927 ITA851927 JCW851927 JMS851927 JWO851927 KGK851927 KQG851927 LAC851927 LJY851927 LTU851927 MDQ851927 MNM851927 MXI851927 NHE851927 NRA851927 OAW851927 OKS851927 OUO851927 PEK851927 POG851927 PYC851927 QHY851927 QRU851927 RBQ851927 RLM851927 RVI851927 SFE851927 SPA851927 SYW851927 TIS851927 TSO851927 UCK851927 UMG851927 UWC851927 VFY851927 VPU851927 VZQ851927 WJM851927 WTI851927 XDE851927 GW917463 QS917463 AAO917463 AKK917463 AUG917463 BEC917463 BNY917463 BXU917463 CHQ917463 CRM917463 DBI917463 DLE917463 DVA917463 EEW917463 EOS917463 EYO917463 FIK917463 FSG917463 GCC917463 GLY917463 GVU917463 HFQ917463 HPM917463 HZI917463 IJE917463 ITA917463 JCW917463 JMS917463 JWO917463 KGK917463 KQG917463 LAC917463 LJY917463 LTU917463 MDQ917463 MNM917463 MXI917463 NHE917463 NRA917463 OAW917463 OKS917463 OUO917463 PEK917463 POG917463 PYC917463 QHY917463 QRU917463 RBQ917463 RLM917463 RVI917463 SFE917463 SPA917463 SYW917463 TIS917463 TSO917463 UCK917463 UMG917463 UWC917463 VFY917463 VPU917463 VZQ917463 WJM917463 WTI917463 XDE917463 GW982999 QS982999 AAO982999 AKK982999 AUG982999 BEC982999 BNY982999 BXU982999 CHQ982999 CRM982999 DBI982999 DLE982999 DVA982999 EEW982999 EOS982999 EYO982999 FIK982999 FSG982999 GCC982999 GLY982999 GVU982999 HFQ982999 HPM982999 HZI982999 IJE982999 ITA982999 JCW982999 JMS982999 JWO982999 KGK982999 KQG982999 LAC982999 LJY982999 LTU982999 MDQ982999 MNM982999 MXI982999 NHE982999 NRA982999 OAW982999 OKS982999 OUO982999 PEK982999 POG982999 PYC982999 QHY982999 QRU982999 RBQ982999 RLM982999 RVI982999 SFE982999 SPA982999 SYW982999 TIS982999 TSO982999 UCK982999 UMG982999 UWC982999 VFY982999 VPU982999 VZQ982999 WJM982999 WTI982999 XDE982999 GW1048535 QS1048535 AAO1048535 AKK1048535 AUG1048535 BEC1048535 BNY1048535 BXU1048535 CHQ1048535 CRM1048535 DBI1048535 DLE1048535 DVA1048535 EEW1048535 EOS1048535 EYO1048535 FIK1048535 FSG1048535 GCC1048535 GLY1048535 GVU1048535 HFQ1048535 HPM1048535 HZI1048535 IJE1048535 ITA1048535 JCW1048535 JMS1048535 JWO1048535 KGK1048535 KQG1048535 LAC1048535 LJY1048535 LTU1048535 MDQ1048535 MNM1048535 MXI1048535 NHE1048535 NRA1048535 OAW1048535 OKS1048535 OUO1048535 PEK1048535 POG1048535 PYC1048535 QHY1048535 QRU1048535 RBQ1048535 RLM1048535 RVI1048535 SFE1048535 SPA1048535 SYW1048535 TIS1048535 TSO1048535 UCK1048535 UMG1048535 UWC1048535 VFY1048535 VPU1048535 VZQ1048535 WJM1048535 WTI1048535 XDE1048535 C65496 IY65496 SU65496 ACQ65496 AMM65496 AWI65496 BGE65496 BQA65496 BZW65496 CJS65496 CTO65496 DDK65496 DNG65496 DXC65496 EGY65496 EQU65496 FAQ65496 FKM65496 FUI65496 GEE65496 GOA65496 GXW65496 HHS65496 HRO65496 IBK65496 ILG65496 IVC65496 JEY65496 JOU65496 JYQ65496 KIM65496 KSI65496 LCE65496 LMA65496 LVW65496 MFS65496 MPO65496 MZK65496 NJG65496 NTC65496 OCY65496 OMU65496 OWQ65496 PGM65496 PQI65496 QAE65496 QKA65496 QTW65496 RDS65496 RNO65496 RXK65496 SHG65496 SRC65496 TAY65496 TKU65496 TUQ65496 UEM65496 UOI65496 UYE65496 VIA65496 VRW65496 WBS65496 WLO65496 WVK65496 C131032 IY131032 SU131032 ACQ131032 AMM131032 AWI131032 BGE131032 BQA131032 BZW131032 CJS131032 CTO131032 DDK131032 DNG131032 DXC131032 EGY131032 EQU131032 FAQ131032 FKM131032 FUI131032 GEE131032 GOA131032 GXW131032 HHS131032 HRO131032 IBK131032 ILG131032 IVC131032 JEY131032 JOU131032 JYQ131032 KIM131032 KSI131032 LCE131032 LMA131032 LVW131032 MFS131032 MPO131032 MZK131032 NJG131032 NTC131032 OCY131032 OMU131032 OWQ131032 PGM131032 PQI131032 QAE131032 QKA131032 QTW131032 RDS131032 RNO131032 RXK131032 SHG131032 SRC131032 TAY131032 TKU131032 TUQ131032 UEM131032 UOI131032 UYE131032 VIA131032 VRW131032 WBS131032 WLO131032 WVK131032 C196568 IY196568 SU196568 ACQ196568 AMM196568 AWI196568 BGE196568 BQA196568 BZW196568 CJS196568 CTO196568 DDK196568 DNG196568 DXC196568 EGY196568 EQU196568 FAQ196568 FKM196568 FUI196568 GEE196568 GOA196568 GXW196568 HHS196568 HRO196568 IBK196568 ILG196568 IVC196568 JEY196568 JOU196568 JYQ196568 KIM196568 KSI196568 LCE196568 LMA196568 LVW196568 MFS196568 MPO196568 MZK196568 NJG196568 NTC196568 OCY196568 OMU196568 OWQ196568 PGM196568 PQI196568 QAE196568 QKA196568 QTW196568 RDS196568 RNO196568 RXK196568 SHG196568 SRC196568 TAY196568 TKU196568 TUQ196568 UEM196568 UOI196568 UYE196568 VIA196568 VRW196568 WBS196568 WLO196568 WVK196568 C262104 IY262104 SU262104 ACQ262104 AMM262104 AWI262104 BGE262104 BQA262104 BZW262104 CJS262104 CTO262104 DDK262104 DNG262104 DXC262104 EGY262104 EQU262104 FAQ262104 FKM262104 FUI262104 GEE262104 GOA262104 GXW262104 HHS262104 HRO262104 IBK262104 ILG262104 IVC262104 JEY262104 JOU262104 JYQ262104 KIM262104 KSI262104 LCE262104 LMA262104 LVW262104 MFS262104 MPO262104 MZK262104 NJG262104 NTC262104 OCY262104 OMU262104 OWQ262104 PGM262104 PQI262104 QAE262104 QKA262104 QTW262104 RDS262104 RNO262104 RXK262104 SHG262104 SRC262104 TAY262104 TKU262104 TUQ262104 UEM262104 UOI262104 UYE262104 VIA262104 VRW262104 WBS262104 WLO262104 WVK262104 C327640 IY327640 SU327640 ACQ327640 AMM327640 AWI327640 BGE327640 BQA327640 BZW327640 CJS327640 CTO327640 DDK327640 DNG327640 DXC327640 EGY327640 EQU327640 FAQ327640 FKM327640 FUI327640 GEE327640 GOA327640 GXW327640 HHS327640 HRO327640 IBK327640 ILG327640 IVC327640 JEY327640 JOU327640 JYQ327640 KIM327640 KSI327640 LCE327640 LMA327640 LVW327640 MFS327640 MPO327640 MZK327640 NJG327640 NTC327640 OCY327640 OMU327640 OWQ327640 PGM327640 PQI327640 QAE327640 QKA327640 QTW327640 RDS327640 RNO327640 RXK327640 SHG327640 SRC327640 TAY327640 TKU327640 TUQ327640 UEM327640 UOI327640 UYE327640 VIA327640 VRW327640 WBS327640 WLO327640 WVK327640 C393176 IY393176 SU393176 ACQ393176 AMM393176 AWI393176 BGE393176 BQA393176 BZW393176 CJS393176 CTO393176 DDK393176 DNG393176 DXC393176 EGY393176 EQU393176 FAQ393176 FKM393176 FUI393176 GEE393176 GOA393176 GXW393176 HHS393176 HRO393176 IBK393176 ILG393176 IVC393176 JEY393176 JOU393176 JYQ393176 KIM393176 KSI393176 LCE393176 LMA393176 LVW393176 MFS393176 MPO393176 MZK393176 NJG393176 NTC393176 OCY393176 OMU393176 OWQ393176 PGM393176 PQI393176 QAE393176 QKA393176 QTW393176 RDS393176 RNO393176 RXK393176 SHG393176 SRC393176 TAY393176 TKU393176 TUQ393176 UEM393176 UOI393176 UYE393176 VIA393176 VRW393176 WBS393176 WLO393176 WVK393176 C458712 IY458712 SU458712 ACQ458712 AMM458712 AWI458712 BGE458712 BQA458712 BZW458712 CJS458712 CTO458712 DDK458712 DNG458712 DXC458712 EGY458712 EQU458712 FAQ458712 FKM458712 FUI458712 GEE458712 GOA458712 GXW458712 HHS458712 HRO458712 IBK458712 ILG458712 IVC458712 JEY458712 JOU458712 JYQ458712 KIM458712 KSI458712 LCE458712 LMA458712 LVW458712 MFS458712 MPO458712 MZK458712 NJG458712 NTC458712 OCY458712 OMU458712 OWQ458712 PGM458712 PQI458712 QAE458712 QKA458712 QTW458712 RDS458712 RNO458712 RXK458712 SHG458712 SRC458712 TAY458712 TKU458712 TUQ458712 UEM458712 UOI458712 UYE458712 VIA458712 VRW458712 WBS458712 WLO458712 WVK458712 C524248 IY524248 SU524248 ACQ524248 AMM524248 AWI524248 BGE524248 BQA524248 BZW524248 CJS524248 CTO524248 DDK524248 DNG524248 DXC524248 EGY524248 EQU524248 FAQ524248 FKM524248 FUI524248 GEE524248 GOA524248 GXW524248 HHS524248 HRO524248 IBK524248 ILG524248 IVC524248 JEY524248 JOU524248 JYQ524248 KIM524248 KSI524248 LCE524248 LMA524248 LVW524248 MFS524248 MPO524248 MZK524248 NJG524248 NTC524248 OCY524248 OMU524248 OWQ524248 PGM524248 PQI524248 QAE524248 QKA524248 QTW524248 RDS524248 RNO524248 RXK524248 SHG524248 SRC524248 TAY524248 TKU524248 TUQ524248 UEM524248 UOI524248 UYE524248 VIA524248 VRW524248 WBS524248 WLO524248 WVK524248 C589784 IY589784 SU589784 ACQ589784 AMM589784 AWI589784 BGE589784 BQA589784 BZW589784 CJS589784 CTO589784 DDK589784 DNG589784 DXC589784 EGY589784 EQU589784 FAQ589784 FKM589784 FUI589784 GEE589784 GOA589784 GXW589784 HHS589784 HRO589784 IBK589784 ILG589784 IVC589784 JEY589784 JOU589784 JYQ589784 KIM589784 KSI589784 LCE589784 LMA589784 LVW589784 MFS589784 MPO589784 MZK589784 NJG589784 NTC589784 OCY589784 OMU589784 OWQ589784 PGM589784 PQI589784 QAE589784 QKA589784 QTW589784 RDS589784 RNO589784 RXK589784 SHG589784 SRC589784 TAY589784 TKU589784 TUQ589784 UEM589784 UOI589784 UYE589784 VIA589784 VRW589784 WBS589784 WLO589784 WVK589784 C655320 IY655320 SU655320 ACQ655320 AMM655320 AWI655320 BGE655320 BQA655320 BZW655320 CJS655320 CTO655320 DDK655320 DNG655320 DXC655320 EGY655320 EQU655320 FAQ655320 FKM655320 FUI655320 GEE655320 GOA655320 GXW655320 HHS655320 HRO655320 IBK655320 ILG655320 IVC655320 JEY655320 JOU655320 JYQ655320 KIM655320 KSI655320 LCE655320 LMA655320 LVW655320 MFS655320 MPO655320 MZK655320 NJG655320 NTC655320 OCY655320 OMU655320 OWQ655320 PGM655320 PQI655320 QAE655320 QKA655320 QTW655320 RDS655320 RNO655320 RXK655320 SHG655320 SRC655320 TAY655320 TKU655320 TUQ655320 UEM655320 UOI655320 UYE655320 VIA655320 VRW655320 WBS655320 WLO655320 WVK655320 C720856 IY720856 SU720856 ACQ720856 AMM720856 AWI720856 BGE720856 BQA720856 BZW720856 CJS720856 CTO720856 DDK720856 DNG720856 DXC720856 EGY720856 EQU720856 FAQ720856 FKM720856 FUI720856 GEE720856 GOA720856 GXW720856 HHS720856 HRO720856 IBK720856 ILG720856 IVC720856 JEY720856 JOU720856 JYQ720856 KIM720856 KSI720856 LCE720856 LMA720856 LVW720856 MFS720856 MPO720856 MZK720856 NJG720856 NTC720856 OCY720856 OMU720856 OWQ720856 PGM720856 PQI720856 QAE720856 QKA720856 QTW720856 RDS720856 RNO720856 RXK720856 SHG720856 SRC720856 TAY720856 TKU720856 TUQ720856 UEM720856 UOI720856 UYE720856 VIA720856 VRW720856 WBS720856 WLO720856 WVK720856 C786392 IY786392 SU786392 ACQ786392 AMM786392 AWI786392 BGE786392 BQA786392 BZW786392 CJS786392 CTO786392 DDK786392 DNG786392 DXC786392 EGY786392 EQU786392 FAQ786392 FKM786392 FUI786392 GEE786392 GOA786392 GXW786392 HHS786392 HRO786392 IBK786392 ILG786392 IVC786392 JEY786392 JOU786392 JYQ786392 KIM786392 KSI786392 LCE786392 LMA786392 LVW786392 MFS786392 MPO786392 MZK786392 NJG786392 NTC786392 OCY786392 OMU786392 OWQ786392 PGM786392 PQI786392 QAE786392 QKA786392 QTW786392 RDS786392 RNO786392 RXK786392 SHG786392 SRC786392 TAY786392 TKU786392 TUQ786392 UEM786392 UOI786392 UYE786392 VIA786392 VRW786392 WBS786392 WLO786392 WVK786392 C851928 IY851928 SU851928 ACQ851928 AMM851928 AWI851928 BGE851928 BQA851928 BZW851928 CJS851928 CTO851928 DDK851928 DNG851928 DXC851928 EGY851928 EQU851928 FAQ851928 FKM851928 FUI851928 GEE851928 GOA851928 GXW851928 HHS851928 HRO851928 IBK851928 ILG851928 IVC851928 JEY851928 JOU851928 JYQ851928 KIM851928 KSI851928 LCE851928 LMA851928 LVW851928 MFS851928 MPO851928 MZK851928 NJG851928 NTC851928 OCY851928 OMU851928 OWQ851928 PGM851928 PQI851928 QAE851928 QKA851928 QTW851928 RDS851928 RNO851928 RXK851928 SHG851928 SRC851928 TAY851928 TKU851928 TUQ851928 UEM851928 UOI851928 UYE851928 VIA851928 VRW851928 WBS851928 WLO851928 WVK851928 C917464 IY917464 SU917464 ACQ917464 AMM917464 AWI917464 BGE917464 BQA917464 BZW917464 CJS917464 CTO917464 DDK917464 DNG917464 DXC917464 EGY917464 EQU917464 FAQ917464 FKM917464 FUI917464 GEE917464 GOA917464 GXW917464 HHS917464 HRO917464 IBK917464 ILG917464 IVC917464 JEY917464 JOU917464 JYQ917464 KIM917464 KSI917464 LCE917464 LMA917464 LVW917464 MFS917464 MPO917464 MZK917464 NJG917464 NTC917464 OCY917464 OMU917464 OWQ917464 PGM917464 PQI917464 QAE917464 QKA917464 QTW917464 RDS917464 RNO917464 RXK917464 SHG917464 SRC917464 TAY917464 TKU917464 TUQ917464 UEM917464 UOI917464 UYE917464 VIA917464 VRW917464 WBS917464 WLO917464 WVK917464 C983000 IY983000 SU983000 ACQ983000 AMM983000 AWI983000 BGE983000 BQA983000 BZW983000 CJS983000 CTO983000 DDK983000 DNG983000 DXC983000 EGY983000 EQU983000 FAQ983000 FKM983000 FUI983000 GEE983000 GOA983000 GXW983000 HHS983000 HRO983000 IBK983000 ILG983000 IVC983000 JEY983000 JOU983000 JYQ983000 KIM983000 KSI983000 LCE983000 LMA983000 LVW983000 MFS983000 MPO983000 MZK983000 NJG983000 NTC983000 OCY983000 OMU983000 OWQ983000 PGM983000 PQI983000 QAE983000 QKA983000 QTW983000 RDS983000 RNO983000 RXK983000 SHG983000 SRC983000 TAY983000 TKU983000 TUQ983000 UEM983000 UOI983000 UYE983000 VIA983000 VRW983000 WBS983000 WLO983000 WVK983000 C1048536 IY1048536 SU1048536 ACQ1048536 AMM1048536 AWI1048536 BGE1048536 BQA1048536 BZW1048536 CJS1048536 CTO1048536 DDK1048536 DNG1048536 DXC1048536 EGY1048536 EQU1048536 FAQ1048536 FKM1048536 FUI1048536 GEE1048536 GOA1048536 GXW1048536 HHS1048536 HRO1048536 IBK1048536 ILG1048536 IVC1048536 JEY1048536 JOU1048536 JYQ1048536 KIM1048536 KSI1048536 LCE1048536 LMA1048536 LVW1048536 MFS1048536 MPO1048536 MZK1048536 NJG1048536 NTC1048536 OCY1048536 OMU1048536 OWQ1048536 PGM1048536 PQI1048536 QAE1048536 QKA1048536 QTW1048536 RDS1048536 RNO1048536 RXK1048536 SHG1048536 SRC1048536 TAY1048536 TKU1048536 TUQ1048536 UEM1048536 UOI1048536 UYE1048536 VIA1048536 VRW1048536 WBS1048536 WLO1048536 WVK1048536 GW6 QS6 AAO6 AKK6 AUG6 BEC6 BNY6 BXU6 CHQ6 CRM6 DBI6 DLE6 DVA6 EEW6 EOS6 EYO6 FIK6 FSG6 GCC6 GLY6 GVU6 HFQ6 HPM6 HZI6 IJE6 ITA6 JCW6 JMS6 JWO6 KGK6 KQG6 LAC6 LJY6 LTU6 MDQ6 MNM6 MXI6 NHE6 NRA6 OAW6 OKS6 OUO6 PEK6 POG6 PYC6 QHY6 QRU6 RBQ6 RLM6 RVI6 SFE6 SPA6 SYW6 TIS6 TSO6 UCK6 UMG6 UWC6 VFY6 VPU6 VZQ6 WJM6 WTI6 XDE6 GW65542 QS65542 AAO65542 AKK65542 AUG65542 BEC65542 BNY65542 BXU65542 CHQ65542 CRM65542 DBI65542 DLE65542 DVA65542 EEW65542 EOS65542 EYO65542 FIK65542 FSG65542 GCC65542 GLY65542 GVU65542 HFQ65542 HPM65542 HZI65542 IJE65542 ITA65542 JCW65542 JMS65542 JWO65542 KGK65542 KQG65542 LAC65542 LJY65542 LTU65542 MDQ65542 MNM65542 MXI65542 NHE65542 NRA65542 OAW65542 OKS65542 OUO65542 PEK65542 POG65542 PYC65542 QHY65542 QRU65542 RBQ65542 RLM65542 RVI65542 SFE65542 SPA65542 SYW65542 TIS65542 TSO65542 UCK65542 UMG65542 UWC65542 VFY65542 VPU65542 VZQ65542 WJM65542 WTI65542 XDE65542 GW131078 QS131078 AAO131078 AKK131078 AUG131078 BEC131078 BNY131078 BXU131078 CHQ131078 CRM131078 DBI131078 DLE131078 DVA131078 EEW131078 EOS131078 EYO131078 FIK131078 FSG131078 GCC131078 GLY131078 GVU131078 HFQ131078 HPM131078 HZI131078 IJE131078 ITA131078 JCW131078 JMS131078 JWO131078 KGK131078 KQG131078 LAC131078 LJY131078 LTU131078 MDQ131078 MNM131078 MXI131078 NHE131078 NRA131078 OAW131078 OKS131078 OUO131078 PEK131078 POG131078 PYC131078 QHY131078 QRU131078 RBQ131078 RLM131078 RVI131078 SFE131078 SPA131078 SYW131078 TIS131078 TSO131078 UCK131078 UMG131078 UWC131078 VFY131078 VPU131078 VZQ131078 WJM131078 WTI131078 XDE131078 GW196614 QS196614 AAO196614 AKK196614 AUG196614 BEC196614 BNY196614 BXU196614 CHQ196614 CRM196614 DBI196614 DLE196614 DVA196614 EEW196614 EOS196614 EYO196614 FIK196614 FSG196614 GCC196614 GLY196614 GVU196614 HFQ196614 HPM196614 HZI196614 IJE196614 ITA196614 JCW196614 JMS196614 JWO196614 KGK196614 KQG196614 LAC196614 LJY196614 LTU196614 MDQ196614 MNM196614 MXI196614 NHE196614 NRA196614 OAW196614 OKS196614 OUO196614 PEK196614 POG196614 PYC196614 QHY196614 QRU196614 RBQ196614 RLM196614 RVI196614 SFE196614 SPA196614 SYW196614 TIS196614 TSO196614 UCK196614 UMG196614 UWC196614 VFY196614 VPU196614 VZQ196614 WJM196614 WTI196614 XDE196614 GW262150 QS262150 AAO262150 AKK262150 AUG262150 BEC262150 BNY262150 BXU262150 CHQ262150 CRM262150 DBI262150 DLE262150 DVA262150 EEW262150 EOS262150 EYO262150 FIK262150 FSG262150 GCC262150 GLY262150 GVU262150 HFQ262150 HPM262150 HZI262150 IJE262150 ITA262150 JCW262150 JMS262150 JWO262150 KGK262150 KQG262150 LAC262150 LJY262150 LTU262150 MDQ262150 MNM262150 MXI262150 NHE262150 NRA262150 OAW262150 OKS262150 OUO262150 PEK262150 POG262150 PYC262150 QHY262150 QRU262150 RBQ262150 RLM262150 RVI262150 SFE262150 SPA262150 SYW262150 TIS262150 TSO262150 UCK262150 UMG262150 UWC262150 VFY262150 VPU262150 VZQ262150 WJM262150 WTI262150 XDE262150 GW327686 QS327686 AAO327686 AKK327686 AUG327686 BEC327686 BNY327686 BXU327686 CHQ327686 CRM327686 DBI327686 DLE327686 DVA327686 EEW327686 EOS327686 EYO327686 FIK327686 FSG327686 GCC327686 GLY327686 GVU327686 HFQ327686 HPM327686 HZI327686 IJE327686 ITA327686 JCW327686 JMS327686 JWO327686 KGK327686 KQG327686 LAC327686 LJY327686 LTU327686 MDQ327686 MNM327686 MXI327686 NHE327686 NRA327686 OAW327686 OKS327686 OUO327686 PEK327686 POG327686 PYC327686 QHY327686 QRU327686 RBQ327686 RLM327686 RVI327686 SFE327686 SPA327686 SYW327686 TIS327686 TSO327686 UCK327686 UMG327686 UWC327686 VFY327686 VPU327686 VZQ327686 WJM327686 WTI327686 XDE327686 GW393222 QS393222 AAO393222 AKK393222 AUG393222 BEC393222 BNY393222 BXU393222 CHQ393222 CRM393222 DBI393222 DLE393222 DVA393222 EEW393222 EOS393222 EYO393222 FIK393222 FSG393222 GCC393222 GLY393222 GVU393222 HFQ393222 HPM393222 HZI393222 IJE393222 ITA393222 JCW393222 JMS393222 JWO393222 KGK393222 KQG393222 LAC393222 LJY393222 LTU393222 MDQ393222 MNM393222 MXI393222 NHE393222 NRA393222 OAW393222 OKS393222 OUO393222 PEK393222 POG393222 PYC393222 QHY393222 QRU393222 RBQ393222 RLM393222 RVI393222 SFE393222 SPA393222 SYW393222 TIS393222 TSO393222 UCK393222 UMG393222 UWC393222 VFY393222 VPU393222 VZQ393222 WJM393222 WTI393222 XDE393222 GW458758 QS458758 AAO458758 AKK458758 AUG458758 BEC458758 BNY458758 BXU458758 CHQ458758 CRM458758 DBI458758 DLE458758 DVA458758 EEW458758 EOS458758 EYO458758 FIK458758 FSG458758 GCC458758 GLY458758 GVU458758 HFQ458758 HPM458758 HZI458758 IJE458758 ITA458758 JCW458758 JMS458758 JWO458758 KGK458758 KQG458758 LAC458758 LJY458758 LTU458758 MDQ458758 MNM458758 MXI458758 NHE458758 NRA458758 OAW458758 OKS458758 OUO458758 PEK458758 POG458758 PYC458758 QHY458758 QRU458758 RBQ458758 RLM458758 RVI458758 SFE458758 SPA458758 SYW458758 TIS458758 TSO458758 UCK458758 UMG458758 UWC458758 VFY458758 VPU458758 VZQ458758 WJM458758 WTI458758 XDE458758 GW524294 QS524294 AAO524294 AKK524294 AUG524294 BEC524294 BNY524294 BXU524294 CHQ524294 CRM524294 DBI524294 DLE524294 DVA524294 EEW524294 EOS524294 EYO524294 FIK524294 FSG524294 GCC524294 GLY524294 GVU524294 HFQ524294 HPM524294 HZI524294 IJE524294 ITA524294 JCW524294 JMS524294 JWO524294 KGK524294 KQG524294 LAC524294 LJY524294 LTU524294 MDQ524294 MNM524294 MXI524294 NHE524294 NRA524294 OAW524294 OKS524294 OUO524294 PEK524294 POG524294 PYC524294 QHY524294 QRU524294 RBQ524294 RLM524294 RVI524294 SFE524294 SPA524294 SYW524294 TIS524294 TSO524294 UCK524294 UMG524294 UWC524294 VFY524294 VPU524294 VZQ524294 WJM524294 WTI524294 XDE524294 GW589830 QS589830 AAO589830 AKK589830 AUG589830 BEC589830 BNY589830 BXU589830 CHQ589830 CRM589830 DBI589830 DLE589830 DVA589830 EEW589830 EOS589830 EYO589830 FIK589830 FSG589830 GCC589830 GLY589830 GVU589830 HFQ589830 HPM589830 HZI589830 IJE589830 ITA589830 JCW589830 JMS589830 JWO589830 KGK589830 KQG589830 LAC589830 LJY589830 LTU589830 MDQ589830 MNM589830 MXI589830 NHE589830 NRA589830 OAW589830 OKS589830 OUO589830 PEK589830 POG589830 PYC589830 QHY589830 QRU589830 RBQ589830 RLM589830 RVI589830 SFE589830 SPA589830 SYW589830 TIS589830 TSO589830 UCK589830 UMG589830 UWC589830 VFY589830 VPU589830 VZQ589830 WJM589830 WTI589830 XDE589830 GW655366 QS655366 AAO655366 AKK655366 AUG655366 BEC655366 BNY655366 BXU655366 CHQ655366 CRM655366 DBI655366 DLE655366 DVA655366 EEW655366 EOS655366 EYO655366 FIK655366 FSG655366 GCC655366 GLY655366 GVU655366 HFQ655366 HPM655366 HZI655366 IJE655366 ITA655366 JCW655366 JMS655366 JWO655366 KGK655366 KQG655366 LAC655366 LJY655366 LTU655366 MDQ655366 MNM655366 MXI655366 NHE655366 NRA655366 OAW655366 OKS655366 OUO655366 PEK655366 POG655366 PYC655366 QHY655366 QRU655366 RBQ655366 RLM655366 RVI655366 SFE655366 SPA655366 SYW655366 TIS655366 TSO655366 UCK655366 UMG655366 UWC655366 VFY655366 VPU655366 VZQ655366 WJM655366 WTI655366 XDE655366 GW720902 QS720902 AAO720902 AKK720902 AUG720902 BEC720902 BNY720902 BXU720902 CHQ720902 CRM720902 DBI720902 DLE720902 DVA720902 EEW720902 EOS720902 EYO720902 FIK720902 FSG720902 GCC720902 GLY720902 GVU720902 HFQ720902 HPM720902 HZI720902 IJE720902 ITA720902 JCW720902 JMS720902 JWO720902 KGK720902 KQG720902 LAC720902 LJY720902 LTU720902 MDQ720902 MNM720902 MXI720902 NHE720902 NRA720902 OAW720902 OKS720902 OUO720902 PEK720902 POG720902 PYC720902 QHY720902 QRU720902 RBQ720902 RLM720902 RVI720902 SFE720902 SPA720902 SYW720902 TIS720902 TSO720902 UCK720902 UMG720902 UWC720902 VFY720902 VPU720902 VZQ720902 WJM720902 WTI720902 XDE720902 GW786438 QS786438 AAO786438 AKK786438 AUG786438 BEC786438 BNY786438 BXU786438 CHQ786438 CRM786438 DBI786438 DLE786438 DVA786438 EEW786438 EOS786438 EYO786438 FIK786438 FSG786438 GCC786438 GLY786438 GVU786438 HFQ786438 HPM786438 HZI786438 IJE786438 ITA786438 JCW786438 JMS786438 JWO786438 KGK786438 KQG786438 LAC786438 LJY786438 LTU786438 MDQ786438 MNM786438 MXI786438 NHE786438 NRA786438 OAW786438 OKS786438 OUO786438 PEK786438 POG786438 PYC786438 QHY786438 QRU786438 RBQ786438 RLM786438 RVI786438 SFE786438 SPA786438 SYW786438 TIS786438 TSO786438 UCK786438 UMG786438 UWC786438 VFY786438 VPU786438 VZQ786438 WJM786438 WTI786438 XDE786438 GW851974 QS851974 AAO851974 AKK851974 AUG851974 BEC851974 BNY851974 BXU851974 CHQ851974 CRM851974 DBI851974 DLE851974 DVA851974 EEW851974 EOS851974 EYO851974 FIK851974 FSG851974 GCC851974 GLY851974 GVU851974 HFQ851974 HPM851974 HZI851974 IJE851974 ITA851974 JCW851974 JMS851974 JWO851974 KGK851974 KQG851974 LAC851974 LJY851974 LTU851974 MDQ851974 MNM851974 MXI851974 NHE851974 NRA851974 OAW851974 OKS851974 OUO851974 PEK851974 POG851974 PYC851974 QHY851974 QRU851974 RBQ851974 RLM851974 RVI851974 SFE851974 SPA851974 SYW851974 TIS851974 TSO851974 UCK851974 UMG851974 UWC851974 VFY851974 VPU851974 VZQ851974 WJM851974 WTI851974 XDE851974 GW917510 QS917510 AAO917510 AKK917510 AUG917510 BEC917510 BNY917510 BXU917510 CHQ917510 CRM917510 DBI917510 DLE917510 DVA917510 EEW917510 EOS917510 EYO917510 FIK917510 FSG917510 GCC917510 GLY917510 GVU917510 HFQ917510 HPM917510 HZI917510 IJE917510 ITA917510 JCW917510 JMS917510 JWO917510 KGK917510 KQG917510 LAC917510 LJY917510 LTU917510 MDQ917510 MNM917510 MXI917510 NHE917510 NRA917510 OAW917510 OKS917510 OUO917510 PEK917510 POG917510 PYC917510 QHY917510 QRU917510 RBQ917510 RLM917510 RVI917510 SFE917510 SPA917510 SYW917510 TIS917510 TSO917510 UCK917510 UMG917510 UWC917510 VFY917510 VPU917510 VZQ917510 WJM917510 WTI917510 XDE917510 GW983046 QS983046 AAO983046 AKK983046 AUG983046 BEC983046 BNY983046 BXU983046 CHQ983046 CRM983046 DBI983046 DLE983046 DVA983046 EEW983046 EOS983046 EYO983046 FIK983046 FSG983046 GCC983046 GLY983046 GVU983046 HFQ983046 HPM983046 HZI983046 IJE983046 ITA983046 JCW983046 JMS983046 JWO983046 KGK983046 KQG983046 LAC983046 LJY983046 LTU983046 MDQ983046 MNM983046 MXI983046 NHE983046 NRA983046 OAW983046 OKS983046 OUO983046 PEK983046 POG983046 PYC983046 QHY983046 QRU983046 RBQ983046 RLM983046 RVI983046 SFE983046 SPA983046 SYW983046 TIS983046 TSO983046 UCK983046 UMG983046 UWC983046 VFY983046 VPU983046 VZQ983046 WJM983046 WTI983046 XDE983046" xr:uid="{50B0EBFA-3408-427C-8AF1-8CD7D551F32F}">
      <formula1>$AC$5:$AC$12</formula1>
    </dataValidation>
  </dataValidations>
  <hyperlinks>
    <hyperlink ref="A4" r:id="rId1" xr:uid="{C808B610-F2E1-4C08-A3DD-F81725C4D4A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4BDA27C-3732-432D-83AF-734777B7A28F}">
          <x14:formula1>
            <xm:f>$AE$1:$AE$26</xm:f>
          </x14:formula1>
          <xm:sqref>B36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B34 IX34 ST34 ACP34 AML34 AWH34 BGD34 BPZ34 BZV34 CJR34 CTN34 DDJ34 DNF34 DXB34 EGX34 EQT34 FAP34 FKL34 FUH34 GED34 GNZ34 GXV34 HHR34 HRN34 IBJ34 ILF34 IVB34 JEX34 JOT34 JYP34 KIL34 KSH34 LCD34 LLZ34 LVV34 MFR34 MPN34 MZJ34 NJF34 NTB34 OCX34 OMT34 OWP34 PGL34 PQH34 QAD34 QJZ34 QTV34 RDR34 RNN34 RXJ34 SHF34 SRB34 TAX34 TKT34 TUP34 UEL34 UOH34 UYD34 VHZ34 VRV34 WBR34 WLN34 WVJ34 B65570 IX65570 ST65570 ACP65570 AML65570 AWH65570 BGD65570 BPZ65570 BZV65570 CJR65570 CTN65570 DDJ65570 DNF65570 DXB65570 EGX65570 EQT65570 FAP65570 FKL65570 FUH65570 GED65570 GNZ65570 GXV65570 HHR65570 HRN65570 IBJ65570 ILF65570 IVB65570 JEX65570 JOT65570 JYP65570 KIL65570 KSH65570 LCD65570 LLZ65570 LVV65570 MFR65570 MPN65570 MZJ65570 NJF65570 NTB65570 OCX65570 OMT65570 OWP65570 PGL65570 PQH65570 QAD65570 QJZ65570 QTV65570 RDR65570 RNN65570 RXJ65570 SHF65570 SRB65570 TAX65570 TKT65570 TUP65570 UEL65570 UOH65570 UYD65570 VHZ65570 VRV65570 WBR65570 WLN65570 WVJ65570 B131106 IX131106 ST131106 ACP131106 AML131106 AWH131106 BGD131106 BPZ131106 BZV131106 CJR131106 CTN131106 DDJ131106 DNF131106 DXB131106 EGX131106 EQT131106 FAP131106 FKL131106 FUH131106 GED131106 GNZ131106 GXV131106 HHR131106 HRN131106 IBJ131106 ILF131106 IVB131106 JEX131106 JOT131106 JYP131106 KIL131106 KSH131106 LCD131106 LLZ131106 LVV131106 MFR131106 MPN131106 MZJ131106 NJF131106 NTB131106 OCX131106 OMT131106 OWP131106 PGL131106 PQH131106 QAD131106 QJZ131106 QTV131106 RDR131106 RNN131106 RXJ131106 SHF131106 SRB131106 TAX131106 TKT131106 TUP131106 UEL131106 UOH131106 UYD131106 VHZ131106 VRV131106 WBR131106 WLN131106 WVJ131106 B196642 IX196642 ST196642 ACP196642 AML196642 AWH196642 BGD196642 BPZ196642 BZV196642 CJR196642 CTN196642 DDJ196642 DNF196642 DXB196642 EGX196642 EQT196642 FAP196642 FKL196642 FUH196642 GED196642 GNZ196642 GXV196642 HHR196642 HRN196642 IBJ196642 ILF196642 IVB196642 JEX196642 JOT196642 JYP196642 KIL196642 KSH196642 LCD196642 LLZ196642 LVV196642 MFR196642 MPN196642 MZJ196642 NJF196642 NTB196642 OCX196642 OMT196642 OWP196642 PGL196642 PQH196642 QAD196642 QJZ196642 QTV196642 RDR196642 RNN196642 RXJ196642 SHF196642 SRB196642 TAX196642 TKT196642 TUP196642 UEL196642 UOH196642 UYD196642 VHZ196642 VRV196642 WBR196642 WLN196642 WVJ196642 B262178 IX262178 ST262178 ACP262178 AML262178 AWH262178 BGD262178 BPZ262178 BZV262178 CJR262178 CTN262178 DDJ262178 DNF262178 DXB262178 EGX262178 EQT262178 FAP262178 FKL262178 FUH262178 GED262178 GNZ262178 GXV262178 HHR262178 HRN262178 IBJ262178 ILF262178 IVB262178 JEX262178 JOT262178 JYP262178 KIL262178 KSH262178 LCD262178 LLZ262178 LVV262178 MFR262178 MPN262178 MZJ262178 NJF262178 NTB262178 OCX262178 OMT262178 OWP262178 PGL262178 PQH262178 QAD262178 QJZ262178 QTV262178 RDR262178 RNN262178 RXJ262178 SHF262178 SRB262178 TAX262178 TKT262178 TUP262178 UEL262178 UOH262178 UYD262178 VHZ262178 VRV262178 WBR262178 WLN262178 WVJ262178 B327714 IX327714 ST327714 ACP327714 AML327714 AWH327714 BGD327714 BPZ327714 BZV327714 CJR327714 CTN327714 DDJ327714 DNF327714 DXB327714 EGX327714 EQT327714 FAP327714 FKL327714 FUH327714 GED327714 GNZ327714 GXV327714 HHR327714 HRN327714 IBJ327714 ILF327714 IVB327714 JEX327714 JOT327714 JYP327714 KIL327714 KSH327714 LCD327714 LLZ327714 LVV327714 MFR327714 MPN327714 MZJ327714 NJF327714 NTB327714 OCX327714 OMT327714 OWP327714 PGL327714 PQH327714 QAD327714 QJZ327714 QTV327714 RDR327714 RNN327714 RXJ327714 SHF327714 SRB327714 TAX327714 TKT327714 TUP327714 UEL327714 UOH327714 UYD327714 VHZ327714 VRV327714 WBR327714 WLN327714 WVJ327714 B393250 IX393250 ST393250 ACP393250 AML393250 AWH393250 BGD393250 BPZ393250 BZV393250 CJR393250 CTN393250 DDJ393250 DNF393250 DXB393250 EGX393250 EQT393250 FAP393250 FKL393250 FUH393250 GED393250 GNZ393250 GXV393250 HHR393250 HRN393250 IBJ393250 ILF393250 IVB393250 JEX393250 JOT393250 JYP393250 KIL393250 KSH393250 LCD393250 LLZ393250 LVV393250 MFR393250 MPN393250 MZJ393250 NJF393250 NTB393250 OCX393250 OMT393250 OWP393250 PGL393250 PQH393250 QAD393250 QJZ393250 QTV393250 RDR393250 RNN393250 RXJ393250 SHF393250 SRB393250 TAX393250 TKT393250 TUP393250 UEL393250 UOH393250 UYD393250 VHZ393250 VRV393250 WBR393250 WLN393250 WVJ393250 B458786 IX458786 ST458786 ACP458786 AML458786 AWH458786 BGD458786 BPZ458786 BZV458786 CJR458786 CTN458786 DDJ458786 DNF458786 DXB458786 EGX458786 EQT458786 FAP458786 FKL458786 FUH458786 GED458786 GNZ458786 GXV458786 HHR458786 HRN458786 IBJ458786 ILF458786 IVB458786 JEX458786 JOT458786 JYP458786 KIL458786 KSH458786 LCD458786 LLZ458786 LVV458786 MFR458786 MPN458786 MZJ458786 NJF458786 NTB458786 OCX458786 OMT458786 OWP458786 PGL458786 PQH458786 QAD458786 QJZ458786 QTV458786 RDR458786 RNN458786 RXJ458786 SHF458786 SRB458786 TAX458786 TKT458786 TUP458786 UEL458786 UOH458786 UYD458786 VHZ458786 VRV458786 WBR458786 WLN458786 WVJ458786 B524322 IX524322 ST524322 ACP524322 AML524322 AWH524322 BGD524322 BPZ524322 BZV524322 CJR524322 CTN524322 DDJ524322 DNF524322 DXB524322 EGX524322 EQT524322 FAP524322 FKL524322 FUH524322 GED524322 GNZ524322 GXV524322 HHR524322 HRN524322 IBJ524322 ILF524322 IVB524322 JEX524322 JOT524322 JYP524322 KIL524322 KSH524322 LCD524322 LLZ524322 LVV524322 MFR524322 MPN524322 MZJ524322 NJF524322 NTB524322 OCX524322 OMT524322 OWP524322 PGL524322 PQH524322 QAD524322 QJZ524322 QTV524322 RDR524322 RNN524322 RXJ524322 SHF524322 SRB524322 TAX524322 TKT524322 TUP524322 UEL524322 UOH524322 UYD524322 VHZ524322 VRV524322 WBR524322 WLN524322 WVJ524322 B589858 IX589858 ST589858 ACP589858 AML589858 AWH589858 BGD589858 BPZ589858 BZV589858 CJR589858 CTN589858 DDJ589858 DNF589858 DXB589858 EGX589858 EQT589858 FAP589858 FKL589858 FUH589858 GED589858 GNZ589858 GXV589858 HHR589858 HRN589858 IBJ589858 ILF589858 IVB589858 JEX589858 JOT589858 JYP589858 KIL589858 KSH589858 LCD589858 LLZ589858 LVV589858 MFR589858 MPN589858 MZJ589858 NJF589858 NTB589858 OCX589858 OMT589858 OWP589858 PGL589858 PQH589858 QAD589858 QJZ589858 QTV589858 RDR589858 RNN589858 RXJ589858 SHF589858 SRB589858 TAX589858 TKT589858 TUP589858 UEL589858 UOH589858 UYD589858 VHZ589858 VRV589858 WBR589858 WLN589858 WVJ589858 B655394 IX655394 ST655394 ACP655394 AML655394 AWH655394 BGD655394 BPZ655394 BZV655394 CJR655394 CTN655394 DDJ655394 DNF655394 DXB655394 EGX655394 EQT655394 FAP655394 FKL655394 FUH655394 GED655394 GNZ655394 GXV655394 HHR655394 HRN655394 IBJ655394 ILF655394 IVB655394 JEX655394 JOT655394 JYP655394 KIL655394 KSH655394 LCD655394 LLZ655394 LVV655394 MFR655394 MPN655394 MZJ655394 NJF655394 NTB655394 OCX655394 OMT655394 OWP655394 PGL655394 PQH655394 QAD655394 QJZ655394 QTV655394 RDR655394 RNN655394 RXJ655394 SHF655394 SRB655394 TAX655394 TKT655394 TUP655394 UEL655394 UOH655394 UYD655394 VHZ655394 VRV655394 WBR655394 WLN655394 WVJ655394 B720930 IX720930 ST720930 ACP720930 AML720930 AWH720930 BGD720930 BPZ720930 BZV720930 CJR720930 CTN720930 DDJ720930 DNF720930 DXB720930 EGX720930 EQT720930 FAP720930 FKL720930 FUH720930 GED720930 GNZ720930 GXV720930 HHR720930 HRN720930 IBJ720930 ILF720930 IVB720930 JEX720930 JOT720930 JYP720930 KIL720930 KSH720930 LCD720930 LLZ720930 LVV720930 MFR720930 MPN720930 MZJ720930 NJF720930 NTB720930 OCX720930 OMT720930 OWP720930 PGL720930 PQH720930 QAD720930 QJZ720930 QTV720930 RDR720930 RNN720930 RXJ720930 SHF720930 SRB720930 TAX720930 TKT720930 TUP720930 UEL720930 UOH720930 UYD720930 VHZ720930 VRV720930 WBR720930 WLN720930 WVJ720930 B786466 IX786466 ST786466 ACP786466 AML786466 AWH786466 BGD786466 BPZ786466 BZV786466 CJR786466 CTN786466 DDJ786466 DNF786466 DXB786466 EGX786466 EQT786466 FAP786466 FKL786466 FUH786466 GED786466 GNZ786466 GXV786466 HHR786466 HRN786466 IBJ786466 ILF786466 IVB786466 JEX786466 JOT786466 JYP786466 KIL786466 KSH786466 LCD786466 LLZ786466 LVV786466 MFR786466 MPN786466 MZJ786466 NJF786466 NTB786466 OCX786466 OMT786466 OWP786466 PGL786466 PQH786466 QAD786466 QJZ786466 QTV786466 RDR786466 RNN786466 RXJ786466 SHF786466 SRB786466 TAX786466 TKT786466 TUP786466 UEL786466 UOH786466 UYD786466 VHZ786466 VRV786466 WBR786466 WLN786466 WVJ786466 B852002 IX852002 ST852002 ACP852002 AML852002 AWH852002 BGD852002 BPZ852002 BZV852002 CJR852002 CTN852002 DDJ852002 DNF852002 DXB852002 EGX852002 EQT852002 FAP852002 FKL852002 FUH852002 GED852002 GNZ852002 GXV852002 HHR852002 HRN852002 IBJ852002 ILF852002 IVB852002 JEX852002 JOT852002 JYP852002 KIL852002 KSH852002 LCD852002 LLZ852002 LVV852002 MFR852002 MPN852002 MZJ852002 NJF852002 NTB852002 OCX852002 OMT852002 OWP852002 PGL852002 PQH852002 QAD852002 QJZ852002 QTV852002 RDR852002 RNN852002 RXJ852002 SHF852002 SRB852002 TAX852002 TKT852002 TUP852002 UEL852002 UOH852002 UYD852002 VHZ852002 VRV852002 WBR852002 WLN852002 WVJ852002 B917538 IX917538 ST917538 ACP917538 AML917538 AWH917538 BGD917538 BPZ917538 BZV917538 CJR917538 CTN917538 DDJ917538 DNF917538 DXB917538 EGX917538 EQT917538 FAP917538 FKL917538 FUH917538 GED917538 GNZ917538 GXV917538 HHR917538 HRN917538 IBJ917538 ILF917538 IVB917538 JEX917538 JOT917538 JYP917538 KIL917538 KSH917538 LCD917538 LLZ917538 LVV917538 MFR917538 MPN917538 MZJ917538 NJF917538 NTB917538 OCX917538 OMT917538 OWP917538 PGL917538 PQH917538 QAD917538 QJZ917538 QTV917538 RDR917538 RNN917538 RXJ917538 SHF917538 SRB917538 TAX917538 TKT917538 TUP917538 UEL917538 UOH917538 UYD917538 VHZ917538 VRV917538 WBR917538 WLN917538 WVJ917538 B983074 IX983074 ST983074 ACP983074 AML983074 AWH983074 BGD983074 BPZ983074 BZV983074 CJR983074 CTN983074 DDJ983074 DNF983074 DXB983074 EGX983074 EQT983074 FAP983074 FKL983074 FUH983074 GED983074 GNZ983074 GXV983074 HHR983074 HRN983074 IBJ983074 ILF983074 IVB983074 JEX983074 JOT983074 JYP983074 KIL983074 KSH983074 LCD983074 LLZ983074 LVV983074 MFR983074 MPN983074 MZJ983074 NJF983074 NTB983074 OCX983074 OMT983074 OWP983074 PGL983074 PQH983074 QAD983074 QJZ983074 QTV983074 RDR983074 RNN983074 RXJ983074 SHF983074 SRB983074 TAX983074 TKT983074 TUP983074 UEL983074 UOH983074 UYD983074 VHZ983074 VRV983074 WBR983074 WLN983074 WVJ983074 B32 IX32 ST32 ACP32 AML32 AWH32 BGD32 BPZ32 BZV32 CJR32 CTN32 DDJ32 DNF32 DXB32 EGX32 EQT32 FAP32 FKL32 FUH32 GED32 GNZ32 GXV32 HHR32 HRN32 IBJ32 ILF32 IVB32 JEX32 JOT32 JYP32 KIL32 KSH32 LCD32 LLZ32 LVV32 MFR32 MPN32 MZJ32 NJF32 NTB32 OCX32 OMT32 OWP32 PGL32 PQH32 QAD32 QJZ32 QTV32 RDR32 RNN32 RXJ32 SHF32 SRB32 TAX32 TKT32 TUP32 UEL32 UOH32 UYD32 VHZ32 VRV32 WBR32 WLN32 WVJ32 B65568 IX65568 ST65568 ACP65568 AML65568 AWH65568 BGD65568 BPZ65568 BZV65568 CJR65568 CTN65568 DDJ65568 DNF65568 DXB65568 EGX65568 EQT65568 FAP65568 FKL65568 FUH65568 GED65568 GNZ65568 GXV65568 HHR65568 HRN65568 IBJ65568 ILF65568 IVB65568 JEX65568 JOT65568 JYP65568 KIL65568 KSH65568 LCD65568 LLZ65568 LVV65568 MFR65568 MPN65568 MZJ65568 NJF65568 NTB65568 OCX65568 OMT65568 OWP65568 PGL65568 PQH65568 QAD65568 QJZ65568 QTV65568 RDR65568 RNN65568 RXJ65568 SHF65568 SRB65568 TAX65568 TKT65568 TUP65568 UEL65568 UOH65568 UYD65568 VHZ65568 VRV65568 WBR65568 WLN65568 WVJ65568 B131104 IX131104 ST131104 ACP131104 AML131104 AWH131104 BGD131104 BPZ131104 BZV131104 CJR131104 CTN131104 DDJ131104 DNF131104 DXB131104 EGX131104 EQT131104 FAP131104 FKL131104 FUH131104 GED131104 GNZ131104 GXV131104 HHR131104 HRN131104 IBJ131104 ILF131104 IVB131104 JEX131104 JOT131104 JYP131104 KIL131104 KSH131104 LCD131104 LLZ131104 LVV131104 MFR131104 MPN131104 MZJ131104 NJF131104 NTB131104 OCX131104 OMT131104 OWP131104 PGL131104 PQH131104 QAD131104 QJZ131104 QTV131104 RDR131104 RNN131104 RXJ131104 SHF131104 SRB131104 TAX131104 TKT131104 TUP131104 UEL131104 UOH131104 UYD131104 VHZ131104 VRV131104 WBR131104 WLN131104 WVJ131104 B196640 IX196640 ST196640 ACP196640 AML196640 AWH196640 BGD196640 BPZ196640 BZV196640 CJR196640 CTN196640 DDJ196640 DNF196640 DXB196640 EGX196640 EQT196640 FAP196640 FKL196640 FUH196640 GED196640 GNZ196640 GXV196640 HHR196640 HRN196640 IBJ196640 ILF196640 IVB196640 JEX196640 JOT196640 JYP196640 KIL196640 KSH196640 LCD196640 LLZ196640 LVV196640 MFR196640 MPN196640 MZJ196640 NJF196640 NTB196640 OCX196640 OMT196640 OWP196640 PGL196640 PQH196640 QAD196640 QJZ196640 QTV196640 RDR196640 RNN196640 RXJ196640 SHF196640 SRB196640 TAX196640 TKT196640 TUP196640 UEL196640 UOH196640 UYD196640 VHZ196640 VRV196640 WBR196640 WLN196640 WVJ196640 B262176 IX262176 ST262176 ACP262176 AML262176 AWH262176 BGD262176 BPZ262176 BZV262176 CJR262176 CTN262176 DDJ262176 DNF262176 DXB262176 EGX262176 EQT262176 FAP262176 FKL262176 FUH262176 GED262176 GNZ262176 GXV262176 HHR262176 HRN262176 IBJ262176 ILF262176 IVB262176 JEX262176 JOT262176 JYP262176 KIL262176 KSH262176 LCD262176 LLZ262176 LVV262176 MFR262176 MPN262176 MZJ262176 NJF262176 NTB262176 OCX262176 OMT262176 OWP262176 PGL262176 PQH262176 QAD262176 QJZ262176 QTV262176 RDR262176 RNN262176 RXJ262176 SHF262176 SRB262176 TAX262176 TKT262176 TUP262176 UEL262176 UOH262176 UYD262176 VHZ262176 VRV262176 WBR262176 WLN262176 WVJ262176 B327712 IX327712 ST327712 ACP327712 AML327712 AWH327712 BGD327712 BPZ327712 BZV327712 CJR327712 CTN327712 DDJ327712 DNF327712 DXB327712 EGX327712 EQT327712 FAP327712 FKL327712 FUH327712 GED327712 GNZ327712 GXV327712 HHR327712 HRN327712 IBJ327712 ILF327712 IVB327712 JEX327712 JOT327712 JYP327712 KIL327712 KSH327712 LCD327712 LLZ327712 LVV327712 MFR327712 MPN327712 MZJ327712 NJF327712 NTB327712 OCX327712 OMT327712 OWP327712 PGL327712 PQH327712 QAD327712 QJZ327712 QTV327712 RDR327712 RNN327712 RXJ327712 SHF327712 SRB327712 TAX327712 TKT327712 TUP327712 UEL327712 UOH327712 UYD327712 VHZ327712 VRV327712 WBR327712 WLN327712 WVJ327712 B393248 IX393248 ST393248 ACP393248 AML393248 AWH393248 BGD393248 BPZ393248 BZV393248 CJR393248 CTN393248 DDJ393248 DNF393248 DXB393248 EGX393248 EQT393248 FAP393248 FKL393248 FUH393248 GED393248 GNZ393248 GXV393248 HHR393248 HRN393248 IBJ393248 ILF393248 IVB393248 JEX393248 JOT393248 JYP393248 KIL393248 KSH393248 LCD393248 LLZ393248 LVV393248 MFR393248 MPN393248 MZJ393248 NJF393248 NTB393248 OCX393248 OMT393248 OWP393248 PGL393248 PQH393248 QAD393248 QJZ393248 QTV393248 RDR393248 RNN393248 RXJ393248 SHF393248 SRB393248 TAX393248 TKT393248 TUP393248 UEL393248 UOH393248 UYD393248 VHZ393248 VRV393248 WBR393248 WLN393248 WVJ393248 B458784 IX458784 ST458784 ACP458784 AML458784 AWH458784 BGD458784 BPZ458784 BZV458784 CJR458784 CTN458784 DDJ458784 DNF458784 DXB458784 EGX458784 EQT458784 FAP458784 FKL458784 FUH458784 GED458784 GNZ458784 GXV458784 HHR458784 HRN458784 IBJ458784 ILF458784 IVB458784 JEX458784 JOT458784 JYP458784 KIL458784 KSH458784 LCD458784 LLZ458784 LVV458784 MFR458784 MPN458784 MZJ458784 NJF458784 NTB458784 OCX458784 OMT458784 OWP458784 PGL458784 PQH458784 QAD458784 QJZ458784 QTV458784 RDR458784 RNN458784 RXJ458784 SHF458784 SRB458784 TAX458784 TKT458784 TUP458784 UEL458784 UOH458784 UYD458784 VHZ458784 VRV458784 WBR458784 WLN458784 WVJ458784 B524320 IX524320 ST524320 ACP524320 AML524320 AWH524320 BGD524320 BPZ524320 BZV524320 CJR524320 CTN524320 DDJ524320 DNF524320 DXB524320 EGX524320 EQT524320 FAP524320 FKL524320 FUH524320 GED524320 GNZ524320 GXV524320 HHR524320 HRN524320 IBJ524320 ILF524320 IVB524320 JEX524320 JOT524320 JYP524320 KIL524320 KSH524320 LCD524320 LLZ524320 LVV524320 MFR524320 MPN524320 MZJ524320 NJF524320 NTB524320 OCX524320 OMT524320 OWP524320 PGL524320 PQH524320 QAD524320 QJZ524320 QTV524320 RDR524320 RNN524320 RXJ524320 SHF524320 SRB524320 TAX524320 TKT524320 TUP524320 UEL524320 UOH524320 UYD524320 VHZ524320 VRV524320 WBR524320 WLN524320 WVJ524320 B589856 IX589856 ST589856 ACP589856 AML589856 AWH589856 BGD589856 BPZ589856 BZV589856 CJR589856 CTN589856 DDJ589856 DNF589856 DXB589856 EGX589856 EQT589856 FAP589856 FKL589856 FUH589856 GED589856 GNZ589856 GXV589856 HHR589856 HRN589856 IBJ589856 ILF589856 IVB589856 JEX589856 JOT589856 JYP589856 KIL589856 KSH589856 LCD589856 LLZ589856 LVV589856 MFR589856 MPN589856 MZJ589856 NJF589856 NTB589856 OCX589856 OMT589856 OWP589856 PGL589856 PQH589856 QAD589856 QJZ589856 QTV589856 RDR589856 RNN589856 RXJ589856 SHF589856 SRB589856 TAX589856 TKT589856 TUP589856 UEL589856 UOH589856 UYD589856 VHZ589856 VRV589856 WBR589856 WLN589856 WVJ589856 B655392 IX655392 ST655392 ACP655392 AML655392 AWH655392 BGD655392 BPZ655392 BZV655392 CJR655392 CTN655392 DDJ655392 DNF655392 DXB655392 EGX655392 EQT655392 FAP655392 FKL655392 FUH655392 GED655392 GNZ655392 GXV655392 HHR655392 HRN655392 IBJ655392 ILF655392 IVB655392 JEX655392 JOT655392 JYP655392 KIL655392 KSH655392 LCD655392 LLZ655392 LVV655392 MFR655392 MPN655392 MZJ655392 NJF655392 NTB655392 OCX655392 OMT655392 OWP655392 PGL655392 PQH655392 QAD655392 QJZ655392 QTV655392 RDR655392 RNN655392 RXJ655392 SHF655392 SRB655392 TAX655392 TKT655392 TUP655392 UEL655392 UOH655392 UYD655392 VHZ655392 VRV655392 WBR655392 WLN655392 WVJ655392 B720928 IX720928 ST720928 ACP720928 AML720928 AWH720928 BGD720928 BPZ720928 BZV720928 CJR720928 CTN720928 DDJ720928 DNF720928 DXB720928 EGX720928 EQT720928 FAP720928 FKL720928 FUH720928 GED720928 GNZ720928 GXV720928 HHR720928 HRN720928 IBJ720928 ILF720928 IVB720928 JEX720928 JOT720928 JYP720928 KIL720928 KSH720928 LCD720928 LLZ720928 LVV720928 MFR720928 MPN720928 MZJ720928 NJF720928 NTB720928 OCX720928 OMT720928 OWP720928 PGL720928 PQH720928 QAD720928 QJZ720928 QTV720928 RDR720928 RNN720928 RXJ720928 SHF720928 SRB720928 TAX720928 TKT720928 TUP720928 UEL720928 UOH720928 UYD720928 VHZ720928 VRV720928 WBR720928 WLN720928 WVJ720928 B786464 IX786464 ST786464 ACP786464 AML786464 AWH786464 BGD786464 BPZ786464 BZV786464 CJR786464 CTN786464 DDJ786464 DNF786464 DXB786464 EGX786464 EQT786464 FAP786464 FKL786464 FUH786464 GED786464 GNZ786464 GXV786464 HHR786464 HRN786464 IBJ786464 ILF786464 IVB786464 JEX786464 JOT786464 JYP786464 KIL786464 KSH786464 LCD786464 LLZ786464 LVV786464 MFR786464 MPN786464 MZJ786464 NJF786464 NTB786464 OCX786464 OMT786464 OWP786464 PGL786464 PQH786464 QAD786464 QJZ786464 QTV786464 RDR786464 RNN786464 RXJ786464 SHF786464 SRB786464 TAX786464 TKT786464 TUP786464 UEL786464 UOH786464 UYD786464 VHZ786464 VRV786464 WBR786464 WLN786464 WVJ786464 B852000 IX852000 ST852000 ACP852000 AML852000 AWH852000 BGD852000 BPZ852000 BZV852000 CJR852000 CTN852000 DDJ852000 DNF852000 DXB852000 EGX852000 EQT852000 FAP852000 FKL852000 FUH852000 GED852000 GNZ852000 GXV852000 HHR852000 HRN852000 IBJ852000 ILF852000 IVB852000 JEX852000 JOT852000 JYP852000 KIL852000 KSH852000 LCD852000 LLZ852000 LVV852000 MFR852000 MPN852000 MZJ852000 NJF852000 NTB852000 OCX852000 OMT852000 OWP852000 PGL852000 PQH852000 QAD852000 QJZ852000 QTV852000 RDR852000 RNN852000 RXJ852000 SHF852000 SRB852000 TAX852000 TKT852000 TUP852000 UEL852000 UOH852000 UYD852000 VHZ852000 VRV852000 WBR852000 WLN852000 WVJ852000 B917536 IX917536 ST917536 ACP917536 AML917536 AWH917536 BGD917536 BPZ917536 BZV917536 CJR917536 CTN917536 DDJ917536 DNF917536 DXB917536 EGX917536 EQT917536 FAP917536 FKL917536 FUH917536 GED917536 GNZ917536 GXV917536 HHR917536 HRN917536 IBJ917536 ILF917536 IVB917536 JEX917536 JOT917536 JYP917536 KIL917536 KSH917536 LCD917536 LLZ917536 LVV917536 MFR917536 MPN917536 MZJ917536 NJF917536 NTB917536 OCX917536 OMT917536 OWP917536 PGL917536 PQH917536 QAD917536 QJZ917536 QTV917536 RDR917536 RNN917536 RXJ917536 SHF917536 SRB917536 TAX917536 TKT917536 TUP917536 UEL917536 UOH917536 UYD917536 VHZ917536 VRV917536 WBR917536 WLN917536 WVJ917536 B983072 IX983072 ST983072 ACP983072 AML983072 AWH983072 BGD983072 BPZ983072 BZV983072 CJR983072 CTN983072 DDJ983072 DNF983072 DXB983072 EGX983072 EQT983072 FAP983072 FKL983072 FUH983072 GED983072 GNZ983072 GXV983072 HHR983072 HRN983072 IBJ983072 ILF983072 IVB983072 JEX983072 JOT983072 JYP983072 KIL983072 KSH983072 LCD983072 LLZ983072 LVV983072 MFR983072 MPN983072 MZJ983072 NJF983072 NTB983072 OCX983072 OMT983072 OWP983072 PGL983072 PQH983072 QAD983072 QJZ983072 QTV983072 RDR983072 RNN983072 RXJ983072 SHF983072 SRB983072 TAX983072 TKT983072 TUP983072 UEL983072 UOH983072 UYD983072 VHZ983072 VRV983072 WBR983072 WLN983072 WVJ983072 B26 IX26 ST26 ACP26 AML26 AWH26 BGD26 BPZ26 BZV26 CJR26 CTN26 DDJ26 DNF26 DXB26 EGX26 EQT26 FAP26 FKL26 FUH26 GED26 GNZ26 GXV26 HHR26 HRN26 IBJ26 ILF26 IVB26 JEX26 JOT26 JYP26 KIL26 KSH26 LCD26 LLZ26 LVV26 MFR26 MPN26 MZJ26 NJF26 NTB26 OCX26 OMT26 OWP26 PGL26 PQH26 QAD26 QJZ26 QTV26 RDR26 RNN26 RXJ26 SHF26 SRB26 TAX26 TKT26 TUP26 UEL26 UOH26 UYD26 VHZ26 VRV26 WBR26 WLN26 WVJ26 B65562 IX65562 ST65562 ACP65562 AML65562 AWH65562 BGD65562 BPZ65562 BZV65562 CJR65562 CTN65562 DDJ65562 DNF65562 DXB65562 EGX65562 EQT65562 FAP65562 FKL65562 FUH65562 GED65562 GNZ65562 GXV65562 HHR65562 HRN65562 IBJ65562 ILF65562 IVB65562 JEX65562 JOT65562 JYP65562 KIL65562 KSH65562 LCD65562 LLZ65562 LVV65562 MFR65562 MPN65562 MZJ65562 NJF65562 NTB65562 OCX65562 OMT65562 OWP65562 PGL65562 PQH65562 QAD65562 QJZ65562 QTV65562 RDR65562 RNN65562 RXJ65562 SHF65562 SRB65562 TAX65562 TKT65562 TUP65562 UEL65562 UOH65562 UYD65562 VHZ65562 VRV65562 WBR65562 WLN65562 WVJ65562 B131098 IX131098 ST131098 ACP131098 AML131098 AWH131098 BGD131098 BPZ131098 BZV131098 CJR131098 CTN131098 DDJ131098 DNF131098 DXB131098 EGX131098 EQT131098 FAP131098 FKL131098 FUH131098 GED131098 GNZ131098 GXV131098 HHR131098 HRN131098 IBJ131098 ILF131098 IVB131098 JEX131098 JOT131098 JYP131098 KIL131098 KSH131098 LCD131098 LLZ131098 LVV131098 MFR131098 MPN131098 MZJ131098 NJF131098 NTB131098 OCX131098 OMT131098 OWP131098 PGL131098 PQH131098 QAD131098 QJZ131098 QTV131098 RDR131098 RNN131098 RXJ131098 SHF131098 SRB131098 TAX131098 TKT131098 TUP131098 UEL131098 UOH131098 UYD131098 VHZ131098 VRV131098 WBR131098 WLN131098 WVJ131098 B196634 IX196634 ST196634 ACP196634 AML196634 AWH196634 BGD196634 BPZ196634 BZV196634 CJR196634 CTN196634 DDJ196634 DNF196634 DXB196634 EGX196634 EQT196634 FAP196634 FKL196634 FUH196634 GED196634 GNZ196634 GXV196634 HHR196634 HRN196634 IBJ196634 ILF196634 IVB196634 JEX196634 JOT196634 JYP196634 KIL196634 KSH196634 LCD196634 LLZ196634 LVV196634 MFR196634 MPN196634 MZJ196634 NJF196634 NTB196634 OCX196634 OMT196634 OWP196634 PGL196634 PQH196634 QAD196634 QJZ196634 QTV196634 RDR196634 RNN196634 RXJ196634 SHF196634 SRB196634 TAX196634 TKT196634 TUP196634 UEL196634 UOH196634 UYD196634 VHZ196634 VRV196634 WBR196634 WLN196634 WVJ196634 B262170 IX262170 ST262170 ACP262170 AML262170 AWH262170 BGD262170 BPZ262170 BZV262170 CJR262170 CTN262170 DDJ262170 DNF262170 DXB262170 EGX262170 EQT262170 FAP262170 FKL262170 FUH262170 GED262170 GNZ262170 GXV262170 HHR262170 HRN262170 IBJ262170 ILF262170 IVB262170 JEX262170 JOT262170 JYP262170 KIL262170 KSH262170 LCD262170 LLZ262170 LVV262170 MFR262170 MPN262170 MZJ262170 NJF262170 NTB262170 OCX262170 OMT262170 OWP262170 PGL262170 PQH262170 QAD262170 QJZ262170 QTV262170 RDR262170 RNN262170 RXJ262170 SHF262170 SRB262170 TAX262170 TKT262170 TUP262170 UEL262170 UOH262170 UYD262170 VHZ262170 VRV262170 WBR262170 WLN262170 WVJ262170 B327706 IX327706 ST327706 ACP327706 AML327706 AWH327706 BGD327706 BPZ327706 BZV327706 CJR327706 CTN327706 DDJ327706 DNF327706 DXB327706 EGX327706 EQT327706 FAP327706 FKL327706 FUH327706 GED327706 GNZ327706 GXV327706 HHR327706 HRN327706 IBJ327706 ILF327706 IVB327706 JEX327706 JOT327706 JYP327706 KIL327706 KSH327706 LCD327706 LLZ327706 LVV327706 MFR327706 MPN327706 MZJ327706 NJF327706 NTB327706 OCX327706 OMT327706 OWP327706 PGL327706 PQH327706 QAD327706 QJZ327706 QTV327706 RDR327706 RNN327706 RXJ327706 SHF327706 SRB327706 TAX327706 TKT327706 TUP327706 UEL327706 UOH327706 UYD327706 VHZ327706 VRV327706 WBR327706 WLN327706 WVJ327706 B393242 IX393242 ST393242 ACP393242 AML393242 AWH393242 BGD393242 BPZ393242 BZV393242 CJR393242 CTN393242 DDJ393242 DNF393242 DXB393242 EGX393242 EQT393242 FAP393242 FKL393242 FUH393242 GED393242 GNZ393242 GXV393242 HHR393242 HRN393242 IBJ393242 ILF393242 IVB393242 JEX393242 JOT393242 JYP393242 KIL393242 KSH393242 LCD393242 LLZ393242 LVV393242 MFR393242 MPN393242 MZJ393242 NJF393242 NTB393242 OCX393242 OMT393242 OWP393242 PGL393242 PQH393242 QAD393242 QJZ393242 QTV393242 RDR393242 RNN393242 RXJ393242 SHF393242 SRB393242 TAX393242 TKT393242 TUP393242 UEL393242 UOH393242 UYD393242 VHZ393242 VRV393242 WBR393242 WLN393242 WVJ393242 B458778 IX458778 ST458778 ACP458778 AML458778 AWH458778 BGD458778 BPZ458778 BZV458778 CJR458778 CTN458778 DDJ458778 DNF458778 DXB458778 EGX458778 EQT458778 FAP458778 FKL458778 FUH458778 GED458778 GNZ458778 GXV458778 HHR458778 HRN458778 IBJ458778 ILF458778 IVB458778 JEX458778 JOT458778 JYP458778 KIL458778 KSH458778 LCD458778 LLZ458778 LVV458778 MFR458778 MPN458778 MZJ458778 NJF458778 NTB458778 OCX458778 OMT458778 OWP458778 PGL458778 PQH458778 QAD458778 QJZ458778 QTV458778 RDR458778 RNN458778 RXJ458778 SHF458778 SRB458778 TAX458778 TKT458778 TUP458778 UEL458778 UOH458778 UYD458778 VHZ458778 VRV458778 WBR458778 WLN458778 WVJ458778 B524314 IX524314 ST524314 ACP524314 AML524314 AWH524314 BGD524314 BPZ524314 BZV524314 CJR524314 CTN524314 DDJ524314 DNF524314 DXB524314 EGX524314 EQT524314 FAP524314 FKL524314 FUH524314 GED524314 GNZ524314 GXV524314 HHR524314 HRN524314 IBJ524314 ILF524314 IVB524314 JEX524314 JOT524314 JYP524314 KIL524314 KSH524314 LCD524314 LLZ524314 LVV524314 MFR524314 MPN524314 MZJ524314 NJF524314 NTB524314 OCX524314 OMT524314 OWP524314 PGL524314 PQH524314 QAD524314 QJZ524314 QTV524314 RDR524314 RNN524314 RXJ524314 SHF524314 SRB524314 TAX524314 TKT524314 TUP524314 UEL524314 UOH524314 UYD524314 VHZ524314 VRV524314 WBR524314 WLN524314 WVJ524314 B589850 IX589850 ST589850 ACP589850 AML589850 AWH589850 BGD589850 BPZ589850 BZV589850 CJR589850 CTN589850 DDJ589850 DNF589850 DXB589850 EGX589850 EQT589850 FAP589850 FKL589850 FUH589850 GED589850 GNZ589850 GXV589850 HHR589850 HRN589850 IBJ589850 ILF589850 IVB589850 JEX589850 JOT589850 JYP589850 KIL589850 KSH589850 LCD589850 LLZ589850 LVV589850 MFR589850 MPN589850 MZJ589850 NJF589850 NTB589850 OCX589850 OMT589850 OWP589850 PGL589850 PQH589850 QAD589850 QJZ589850 QTV589850 RDR589850 RNN589850 RXJ589850 SHF589850 SRB589850 TAX589850 TKT589850 TUP589850 UEL589850 UOH589850 UYD589850 VHZ589850 VRV589850 WBR589850 WLN589850 WVJ589850 B655386 IX655386 ST655386 ACP655386 AML655386 AWH655386 BGD655386 BPZ655386 BZV655386 CJR655386 CTN655386 DDJ655386 DNF655386 DXB655386 EGX655386 EQT655386 FAP655386 FKL655386 FUH655386 GED655386 GNZ655386 GXV655386 HHR655386 HRN655386 IBJ655386 ILF655386 IVB655386 JEX655386 JOT655386 JYP655386 KIL655386 KSH655386 LCD655386 LLZ655386 LVV655386 MFR655386 MPN655386 MZJ655386 NJF655386 NTB655386 OCX655386 OMT655386 OWP655386 PGL655386 PQH655386 QAD655386 QJZ655386 QTV655386 RDR655386 RNN655386 RXJ655386 SHF655386 SRB655386 TAX655386 TKT655386 TUP655386 UEL655386 UOH655386 UYD655386 VHZ655386 VRV655386 WBR655386 WLN655386 WVJ655386 B720922 IX720922 ST720922 ACP720922 AML720922 AWH720922 BGD720922 BPZ720922 BZV720922 CJR720922 CTN720922 DDJ720922 DNF720922 DXB720922 EGX720922 EQT720922 FAP720922 FKL720922 FUH720922 GED720922 GNZ720922 GXV720922 HHR720922 HRN720922 IBJ720922 ILF720922 IVB720922 JEX720922 JOT720922 JYP720922 KIL720922 KSH720922 LCD720922 LLZ720922 LVV720922 MFR720922 MPN720922 MZJ720922 NJF720922 NTB720922 OCX720922 OMT720922 OWP720922 PGL720922 PQH720922 QAD720922 QJZ720922 QTV720922 RDR720922 RNN720922 RXJ720922 SHF720922 SRB720922 TAX720922 TKT720922 TUP720922 UEL720922 UOH720922 UYD720922 VHZ720922 VRV720922 WBR720922 WLN720922 WVJ720922 B786458 IX786458 ST786458 ACP786458 AML786458 AWH786458 BGD786458 BPZ786458 BZV786458 CJR786458 CTN786458 DDJ786458 DNF786458 DXB786458 EGX786458 EQT786458 FAP786458 FKL786458 FUH786458 GED786458 GNZ786458 GXV786458 HHR786458 HRN786458 IBJ786458 ILF786458 IVB786458 JEX786458 JOT786458 JYP786458 KIL786458 KSH786458 LCD786458 LLZ786458 LVV786458 MFR786458 MPN786458 MZJ786458 NJF786458 NTB786458 OCX786458 OMT786458 OWP786458 PGL786458 PQH786458 QAD786458 QJZ786458 QTV786458 RDR786458 RNN786458 RXJ786458 SHF786458 SRB786458 TAX786458 TKT786458 TUP786458 UEL786458 UOH786458 UYD786458 VHZ786458 VRV786458 WBR786458 WLN786458 WVJ786458 B851994 IX851994 ST851994 ACP851994 AML851994 AWH851994 BGD851994 BPZ851994 BZV851994 CJR851994 CTN851994 DDJ851994 DNF851994 DXB851994 EGX851994 EQT851994 FAP851994 FKL851994 FUH851994 GED851994 GNZ851994 GXV851994 HHR851994 HRN851994 IBJ851994 ILF851994 IVB851994 JEX851994 JOT851994 JYP851994 KIL851994 KSH851994 LCD851994 LLZ851994 LVV851994 MFR851994 MPN851994 MZJ851994 NJF851994 NTB851994 OCX851994 OMT851994 OWP851994 PGL851994 PQH851994 QAD851994 QJZ851994 QTV851994 RDR851994 RNN851994 RXJ851994 SHF851994 SRB851994 TAX851994 TKT851994 TUP851994 UEL851994 UOH851994 UYD851994 VHZ851994 VRV851994 WBR851994 WLN851994 WVJ851994 B917530 IX917530 ST917530 ACP917530 AML917530 AWH917530 BGD917530 BPZ917530 BZV917530 CJR917530 CTN917530 DDJ917530 DNF917530 DXB917530 EGX917530 EQT917530 FAP917530 FKL917530 FUH917530 GED917530 GNZ917530 GXV917530 HHR917530 HRN917530 IBJ917530 ILF917530 IVB917530 JEX917530 JOT917530 JYP917530 KIL917530 KSH917530 LCD917530 LLZ917530 LVV917530 MFR917530 MPN917530 MZJ917530 NJF917530 NTB917530 OCX917530 OMT917530 OWP917530 PGL917530 PQH917530 QAD917530 QJZ917530 QTV917530 RDR917530 RNN917530 RXJ917530 SHF917530 SRB917530 TAX917530 TKT917530 TUP917530 UEL917530 UOH917530 UYD917530 VHZ917530 VRV917530 WBR917530 WLN917530 WVJ917530 B983066 IX983066 ST983066 ACP983066 AML983066 AWH983066 BGD983066 BPZ983066 BZV983066 CJR983066 CTN983066 DDJ983066 DNF983066 DXB983066 EGX983066 EQT983066 FAP983066 FKL983066 FUH983066 GED983066 GNZ983066 GXV983066 HHR983066 HRN983066 IBJ983066 ILF983066 IVB983066 JEX983066 JOT983066 JYP983066 KIL983066 KSH983066 LCD983066 LLZ983066 LVV983066 MFR983066 MPN983066 MZJ983066 NJF983066 NTB983066 OCX983066 OMT983066 OWP983066 PGL983066 PQH983066 QAD983066 QJZ983066 QTV983066 RDR983066 RNN983066 RXJ983066 SHF983066 SRB983066 TAX983066 TKT983066 TUP983066 UEL983066 UOH983066 UYD983066 VHZ983066 VRV983066 WBR983066 WLN983066 WVJ983066 B24 IX24 ST24 ACP24 AML24 AWH24 BGD24 BPZ24 BZV24 CJR24 CTN24 DDJ24 DNF24 DXB24 EGX24 EQT24 FAP24 FKL24 FUH24 GED24 GNZ24 GXV24 HHR24 HRN24 IBJ24 ILF24 IVB24 JEX24 JOT24 JYP24 KIL24 KSH24 LCD24 LLZ24 LVV24 MFR24 MPN24 MZJ24 NJF24 NTB24 OCX24 OMT24 OWP24 PGL24 PQH24 QAD24 QJZ24 QTV24 RDR24 RNN24 RXJ24 SHF24 SRB24 TAX24 TKT24 TUP24 UEL24 UOH24 UYD24 VHZ24 VRV24 WBR24 WLN24 WVJ24 B65560 IX65560 ST65560 ACP65560 AML65560 AWH65560 BGD65560 BPZ65560 BZV65560 CJR65560 CTN65560 DDJ65560 DNF65560 DXB65560 EGX65560 EQT65560 FAP65560 FKL65560 FUH65560 GED65560 GNZ65560 GXV65560 HHR65560 HRN65560 IBJ65560 ILF65560 IVB65560 JEX65560 JOT65560 JYP65560 KIL65560 KSH65560 LCD65560 LLZ65560 LVV65560 MFR65560 MPN65560 MZJ65560 NJF65560 NTB65560 OCX65560 OMT65560 OWP65560 PGL65560 PQH65560 QAD65560 QJZ65560 QTV65560 RDR65560 RNN65560 RXJ65560 SHF65560 SRB65560 TAX65560 TKT65560 TUP65560 UEL65560 UOH65560 UYD65560 VHZ65560 VRV65560 WBR65560 WLN65560 WVJ65560 B131096 IX131096 ST131096 ACP131096 AML131096 AWH131096 BGD131096 BPZ131096 BZV131096 CJR131096 CTN131096 DDJ131096 DNF131096 DXB131096 EGX131096 EQT131096 FAP131096 FKL131096 FUH131096 GED131096 GNZ131096 GXV131096 HHR131096 HRN131096 IBJ131096 ILF131096 IVB131096 JEX131096 JOT131096 JYP131096 KIL131096 KSH131096 LCD131096 LLZ131096 LVV131096 MFR131096 MPN131096 MZJ131096 NJF131096 NTB131096 OCX131096 OMT131096 OWP131096 PGL131096 PQH131096 QAD131096 QJZ131096 QTV131096 RDR131096 RNN131096 RXJ131096 SHF131096 SRB131096 TAX131096 TKT131096 TUP131096 UEL131096 UOH131096 UYD131096 VHZ131096 VRV131096 WBR131096 WLN131096 WVJ131096 B196632 IX196632 ST196632 ACP196632 AML196632 AWH196632 BGD196632 BPZ196632 BZV196632 CJR196632 CTN196632 DDJ196632 DNF196632 DXB196632 EGX196632 EQT196632 FAP196632 FKL196632 FUH196632 GED196632 GNZ196632 GXV196632 HHR196632 HRN196632 IBJ196632 ILF196632 IVB196632 JEX196632 JOT196632 JYP196632 KIL196632 KSH196632 LCD196632 LLZ196632 LVV196632 MFR196632 MPN196632 MZJ196632 NJF196632 NTB196632 OCX196632 OMT196632 OWP196632 PGL196632 PQH196632 QAD196632 QJZ196632 QTV196632 RDR196632 RNN196632 RXJ196632 SHF196632 SRB196632 TAX196632 TKT196632 TUP196632 UEL196632 UOH196632 UYD196632 VHZ196632 VRV196632 WBR196632 WLN196632 WVJ196632 B262168 IX262168 ST262168 ACP262168 AML262168 AWH262168 BGD262168 BPZ262168 BZV262168 CJR262168 CTN262168 DDJ262168 DNF262168 DXB262168 EGX262168 EQT262168 FAP262168 FKL262168 FUH262168 GED262168 GNZ262168 GXV262168 HHR262168 HRN262168 IBJ262168 ILF262168 IVB262168 JEX262168 JOT262168 JYP262168 KIL262168 KSH262168 LCD262168 LLZ262168 LVV262168 MFR262168 MPN262168 MZJ262168 NJF262168 NTB262168 OCX262168 OMT262168 OWP262168 PGL262168 PQH262168 QAD262168 QJZ262168 QTV262168 RDR262168 RNN262168 RXJ262168 SHF262168 SRB262168 TAX262168 TKT262168 TUP262168 UEL262168 UOH262168 UYD262168 VHZ262168 VRV262168 WBR262168 WLN262168 WVJ262168 B327704 IX327704 ST327704 ACP327704 AML327704 AWH327704 BGD327704 BPZ327704 BZV327704 CJR327704 CTN327704 DDJ327704 DNF327704 DXB327704 EGX327704 EQT327704 FAP327704 FKL327704 FUH327704 GED327704 GNZ327704 GXV327704 HHR327704 HRN327704 IBJ327704 ILF327704 IVB327704 JEX327704 JOT327704 JYP327704 KIL327704 KSH327704 LCD327704 LLZ327704 LVV327704 MFR327704 MPN327704 MZJ327704 NJF327704 NTB327704 OCX327704 OMT327704 OWP327704 PGL327704 PQH327704 QAD327704 QJZ327704 QTV327704 RDR327704 RNN327704 RXJ327704 SHF327704 SRB327704 TAX327704 TKT327704 TUP327704 UEL327704 UOH327704 UYD327704 VHZ327704 VRV327704 WBR327704 WLN327704 WVJ327704 B393240 IX393240 ST393240 ACP393240 AML393240 AWH393240 BGD393240 BPZ393240 BZV393240 CJR393240 CTN393240 DDJ393240 DNF393240 DXB393240 EGX393240 EQT393240 FAP393240 FKL393240 FUH393240 GED393240 GNZ393240 GXV393240 HHR393240 HRN393240 IBJ393240 ILF393240 IVB393240 JEX393240 JOT393240 JYP393240 KIL393240 KSH393240 LCD393240 LLZ393240 LVV393240 MFR393240 MPN393240 MZJ393240 NJF393240 NTB393240 OCX393240 OMT393240 OWP393240 PGL393240 PQH393240 QAD393240 QJZ393240 QTV393240 RDR393240 RNN393240 RXJ393240 SHF393240 SRB393240 TAX393240 TKT393240 TUP393240 UEL393240 UOH393240 UYD393240 VHZ393240 VRV393240 WBR393240 WLN393240 WVJ393240 B458776 IX458776 ST458776 ACP458776 AML458776 AWH458776 BGD458776 BPZ458776 BZV458776 CJR458776 CTN458776 DDJ458776 DNF458776 DXB458776 EGX458776 EQT458776 FAP458776 FKL458776 FUH458776 GED458776 GNZ458776 GXV458776 HHR458776 HRN458776 IBJ458776 ILF458776 IVB458776 JEX458776 JOT458776 JYP458776 KIL458776 KSH458776 LCD458776 LLZ458776 LVV458776 MFR458776 MPN458776 MZJ458776 NJF458776 NTB458776 OCX458776 OMT458776 OWP458776 PGL458776 PQH458776 QAD458776 QJZ458776 QTV458776 RDR458776 RNN458776 RXJ458776 SHF458776 SRB458776 TAX458776 TKT458776 TUP458776 UEL458776 UOH458776 UYD458776 VHZ458776 VRV458776 WBR458776 WLN458776 WVJ458776 B524312 IX524312 ST524312 ACP524312 AML524312 AWH524312 BGD524312 BPZ524312 BZV524312 CJR524312 CTN524312 DDJ524312 DNF524312 DXB524312 EGX524312 EQT524312 FAP524312 FKL524312 FUH524312 GED524312 GNZ524312 GXV524312 HHR524312 HRN524312 IBJ524312 ILF524312 IVB524312 JEX524312 JOT524312 JYP524312 KIL524312 KSH524312 LCD524312 LLZ524312 LVV524312 MFR524312 MPN524312 MZJ524312 NJF524312 NTB524312 OCX524312 OMT524312 OWP524312 PGL524312 PQH524312 QAD524312 QJZ524312 QTV524312 RDR524312 RNN524312 RXJ524312 SHF524312 SRB524312 TAX524312 TKT524312 TUP524312 UEL524312 UOH524312 UYD524312 VHZ524312 VRV524312 WBR524312 WLN524312 WVJ524312 B589848 IX589848 ST589848 ACP589848 AML589848 AWH589848 BGD589848 BPZ589848 BZV589848 CJR589848 CTN589848 DDJ589848 DNF589848 DXB589848 EGX589848 EQT589848 FAP589848 FKL589848 FUH589848 GED589848 GNZ589848 GXV589848 HHR589848 HRN589848 IBJ589848 ILF589848 IVB589848 JEX589848 JOT589848 JYP589848 KIL589848 KSH589848 LCD589848 LLZ589848 LVV589848 MFR589848 MPN589848 MZJ589848 NJF589848 NTB589848 OCX589848 OMT589848 OWP589848 PGL589848 PQH589848 QAD589848 QJZ589848 QTV589848 RDR589848 RNN589848 RXJ589848 SHF589848 SRB589848 TAX589848 TKT589848 TUP589848 UEL589848 UOH589848 UYD589848 VHZ589848 VRV589848 WBR589848 WLN589848 WVJ589848 B655384 IX655384 ST655384 ACP655384 AML655384 AWH655384 BGD655384 BPZ655384 BZV655384 CJR655384 CTN655384 DDJ655384 DNF655384 DXB655384 EGX655384 EQT655384 FAP655384 FKL655384 FUH655384 GED655384 GNZ655384 GXV655384 HHR655384 HRN655384 IBJ655384 ILF655384 IVB655384 JEX655384 JOT655384 JYP655384 KIL655384 KSH655384 LCD655384 LLZ655384 LVV655384 MFR655384 MPN655384 MZJ655384 NJF655384 NTB655384 OCX655384 OMT655384 OWP655384 PGL655384 PQH655384 QAD655384 QJZ655384 QTV655384 RDR655384 RNN655384 RXJ655384 SHF655384 SRB655384 TAX655384 TKT655384 TUP655384 UEL655384 UOH655384 UYD655384 VHZ655384 VRV655384 WBR655384 WLN655384 WVJ655384 B720920 IX720920 ST720920 ACP720920 AML720920 AWH720920 BGD720920 BPZ720920 BZV720920 CJR720920 CTN720920 DDJ720920 DNF720920 DXB720920 EGX720920 EQT720920 FAP720920 FKL720920 FUH720920 GED720920 GNZ720920 GXV720920 HHR720920 HRN720920 IBJ720920 ILF720920 IVB720920 JEX720920 JOT720920 JYP720920 KIL720920 KSH720920 LCD720920 LLZ720920 LVV720920 MFR720920 MPN720920 MZJ720920 NJF720920 NTB720920 OCX720920 OMT720920 OWP720920 PGL720920 PQH720920 QAD720920 QJZ720920 QTV720920 RDR720920 RNN720920 RXJ720920 SHF720920 SRB720920 TAX720920 TKT720920 TUP720920 UEL720920 UOH720920 UYD720920 VHZ720920 VRV720920 WBR720920 WLN720920 WVJ720920 B786456 IX786456 ST786456 ACP786456 AML786456 AWH786456 BGD786456 BPZ786456 BZV786456 CJR786456 CTN786456 DDJ786456 DNF786456 DXB786456 EGX786456 EQT786456 FAP786456 FKL786456 FUH786456 GED786456 GNZ786456 GXV786456 HHR786456 HRN786456 IBJ786456 ILF786456 IVB786456 JEX786456 JOT786456 JYP786456 KIL786456 KSH786456 LCD786456 LLZ786456 LVV786456 MFR786456 MPN786456 MZJ786456 NJF786456 NTB786456 OCX786456 OMT786456 OWP786456 PGL786456 PQH786456 QAD786456 QJZ786456 QTV786456 RDR786456 RNN786456 RXJ786456 SHF786456 SRB786456 TAX786456 TKT786456 TUP786456 UEL786456 UOH786456 UYD786456 VHZ786456 VRV786456 WBR786456 WLN786456 WVJ786456 B851992 IX851992 ST851992 ACP851992 AML851992 AWH851992 BGD851992 BPZ851992 BZV851992 CJR851992 CTN851992 DDJ851992 DNF851992 DXB851992 EGX851992 EQT851992 FAP851992 FKL851992 FUH851992 GED851992 GNZ851992 GXV851992 HHR851992 HRN851992 IBJ851992 ILF851992 IVB851992 JEX851992 JOT851992 JYP851992 KIL851992 KSH851992 LCD851992 LLZ851992 LVV851992 MFR851992 MPN851992 MZJ851992 NJF851992 NTB851992 OCX851992 OMT851992 OWP851992 PGL851992 PQH851992 QAD851992 QJZ851992 QTV851992 RDR851992 RNN851992 RXJ851992 SHF851992 SRB851992 TAX851992 TKT851992 TUP851992 UEL851992 UOH851992 UYD851992 VHZ851992 VRV851992 WBR851992 WLN851992 WVJ851992 B917528 IX917528 ST917528 ACP917528 AML917528 AWH917528 BGD917528 BPZ917528 BZV917528 CJR917528 CTN917528 DDJ917528 DNF917528 DXB917528 EGX917528 EQT917528 FAP917528 FKL917528 FUH917528 GED917528 GNZ917528 GXV917528 HHR917528 HRN917528 IBJ917528 ILF917528 IVB917528 JEX917528 JOT917528 JYP917528 KIL917528 KSH917528 LCD917528 LLZ917528 LVV917528 MFR917528 MPN917528 MZJ917528 NJF917528 NTB917528 OCX917528 OMT917528 OWP917528 PGL917528 PQH917528 QAD917528 QJZ917528 QTV917528 RDR917528 RNN917528 RXJ917528 SHF917528 SRB917528 TAX917528 TKT917528 TUP917528 UEL917528 UOH917528 UYD917528 VHZ917528 VRV917528 WBR917528 WLN917528 WVJ917528 B983064 IX983064 ST983064 ACP983064 AML983064 AWH983064 BGD983064 BPZ983064 BZV983064 CJR983064 CTN983064 DDJ983064 DNF983064 DXB983064 EGX983064 EQT983064 FAP983064 FKL983064 FUH983064 GED983064 GNZ983064 GXV983064 HHR983064 HRN983064 IBJ983064 ILF983064 IVB983064 JEX983064 JOT983064 JYP983064 KIL983064 KSH983064 LCD983064 LLZ983064 LVV983064 MFR983064 MPN983064 MZJ983064 NJF983064 NTB983064 OCX983064 OMT983064 OWP983064 PGL983064 PQH983064 QAD983064 QJZ983064 QTV983064 RDR983064 RNN983064 RXJ983064 SHF983064 SRB983064 TAX983064 TKT983064 TUP983064 UEL983064 UOH983064 UYD983064 VHZ983064 VRV983064 WBR983064 WLN983064 WVJ983064 B22 IX22 ST22 ACP22 AML22 AWH22 BGD22 BPZ22 BZV22 CJR22 CTN22 DDJ22 DNF22 DXB22 EGX22 EQT22 FAP22 FKL22 FUH22 GED22 GNZ22 GXV22 HHR22 HRN22 IBJ22 ILF22 IVB22 JEX22 JOT22 JYP22 KIL22 KSH22 LCD22 LLZ22 LVV22 MFR22 MPN22 MZJ22 NJF22 NTB22 OCX22 OMT22 OWP22 PGL22 PQH22 QAD22 QJZ22 QTV22 RDR22 RNN22 RXJ22 SHF22 SRB22 TAX22 TKT22 TUP22 UEL22 UOH22 UYD22 VHZ22 VRV22 WBR22 WLN22 WVJ22 B65558 IX65558 ST65558 ACP65558 AML65558 AWH65558 BGD65558 BPZ65558 BZV65558 CJR65558 CTN65558 DDJ65558 DNF65558 DXB65558 EGX65558 EQT65558 FAP65558 FKL65558 FUH65558 GED65558 GNZ65558 GXV65558 HHR65558 HRN65558 IBJ65558 ILF65558 IVB65558 JEX65558 JOT65558 JYP65558 KIL65558 KSH65558 LCD65558 LLZ65558 LVV65558 MFR65558 MPN65558 MZJ65558 NJF65558 NTB65558 OCX65558 OMT65558 OWP65558 PGL65558 PQH65558 QAD65558 QJZ65558 QTV65558 RDR65558 RNN65558 RXJ65558 SHF65558 SRB65558 TAX65558 TKT65558 TUP65558 UEL65558 UOH65558 UYD65558 VHZ65558 VRV65558 WBR65558 WLN65558 WVJ65558 B131094 IX131094 ST131094 ACP131094 AML131094 AWH131094 BGD131094 BPZ131094 BZV131094 CJR131094 CTN131094 DDJ131094 DNF131094 DXB131094 EGX131094 EQT131094 FAP131094 FKL131094 FUH131094 GED131094 GNZ131094 GXV131094 HHR131094 HRN131094 IBJ131094 ILF131094 IVB131094 JEX131094 JOT131094 JYP131094 KIL131094 KSH131094 LCD131094 LLZ131094 LVV131094 MFR131094 MPN131094 MZJ131094 NJF131094 NTB131094 OCX131094 OMT131094 OWP131094 PGL131094 PQH131094 QAD131094 QJZ131094 QTV131094 RDR131094 RNN131094 RXJ131094 SHF131094 SRB131094 TAX131094 TKT131094 TUP131094 UEL131094 UOH131094 UYD131094 VHZ131094 VRV131094 WBR131094 WLN131094 WVJ131094 B196630 IX196630 ST196630 ACP196630 AML196630 AWH196630 BGD196630 BPZ196630 BZV196630 CJR196630 CTN196630 DDJ196630 DNF196630 DXB196630 EGX196630 EQT196630 FAP196630 FKL196630 FUH196630 GED196630 GNZ196630 GXV196630 HHR196630 HRN196630 IBJ196630 ILF196630 IVB196630 JEX196630 JOT196630 JYP196630 KIL196630 KSH196630 LCD196630 LLZ196630 LVV196630 MFR196630 MPN196630 MZJ196630 NJF196630 NTB196630 OCX196630 OMT196630 OWP196630 PGL196630 PQH196630 QAD196630 QJZ196630 QTV196630 RDR196630 RNN196630 RXJ196630 SHF196630 SRB196630 TAX196630 TKT196630 TUP196630 UEL196630 UOH196630 UYD196630 VHZ196630 VRV196630 WBR196630 WLN196630 WVJ196630 B262166 IX262166 ST262166 ACP262166 AML262166 AWH262166 BGD262166 BPZ262166 BZV262166 CJR262166 CTN262166 DDJ262166 DNF262166 DXB262166 EGX262166 EQT262166 FAP262166 FKL262166 FUH262166 GED262166 GNZ262166 GXV262166 HHR262166 HRN262166 IBJ262166 ILF262166 IVB262166 JEX262166 JOT262166 JYP262166 KIL262166 KSH262166 LCD262166 LLZ262166 LVV262166 MFR262166 MPN262166 MZJ262166 NJF262166 NTB262166 OCX262166 OMT262166 OWP262166 PGL262166 PQH262166 QAD262166 QJZ262166 QTV262166 RDR262166 RNN262166 RXJ262166 SHF262166 SRB262166 TAX262166 TKT262166 TUP262166 UEL262166 UOH262166 UYD262166 VHZ262166 VRV262166 WBR262166 WLN262166 WVJ262166 B327702 IX327702 ST327702 ACP327702 AML327702 AWH327702 BGD327702 BPZ327702 BZV327702 CJR327702 CTN327702 DDJ327702 DNF327702 DXB327702 EGX327702 EQT327702 FAP327702 FKL327702 FUH327702 GED327702 GNZ327702 GXV327702 HHR327702 HRN327702 IBJ327702 ILF327702 IVB327702 JEX327702 JOT327702 JYP327702 KIL327702 KSH327702 LCD327702 LLZ327702 LVV327702 MFR327702 MPN327702 MZJ327702 NJF327702 NTB327702 OCX327702 OMT327702 OWP327702 PGL327702 PQH327702 QAD327702 QJZ327702 QTV327702 RDR327702 RNN327702 RXJ327702 SHF327702 SRB327702 TAX327702 TKT327702 TUP327702 UEL327702 UOH327702 UYD327702 VHZ327702 VRV327702 WBR327702 WLN327702 WVJ327702 B393238 IX393238 ST393238 ACP393238 AML393238 AWH393238 BGD393238 BPZ393238 BZV393238 CJR393238 CTN393238 DDJ393238 DNF393238 DXB393238 EGX393238 EQT393238 FAP393238 FKL393238 FUH393238 GED393238 GNZ393238 GXV393238 HHR393238 HRN393238 IBJ393238 ILF393238 IVB393238 JEX393238 JOT393238 JYP393238 KIL393238 KSH393238 LCD393238 LLZ393238 LVV393238 MFR393238 MPN393238 MZJ393238 NJF393238 NTB393238 OCX393238 OMT393238 OWP393238 PGL393238 PQH393238 QAD393238 QJZ393238 QTV393238 RDR393238 RNN393238 RXJ393238 SHF393238 SRB393238 TAX393238 TKT393238 TUP393238 UEL393238 UOH393238 UYD393238 VHZ393238 VRV393238 WBR393238 WLN393238 WVJ393238 B458774 IX458774 ST458774 ACP458774 AML458774 AWH458774 BGD458774 BPZ458774 BZV458774 CJR458774 CTN458774 DDJ458774 DNF458774 DXB458774 EGX458774 EQT458774 FAP458774 FKL458774 FUH458774 GED458774 GNZ458774 GXV458774 HHR458774 HRN458774 IBJ458774 ILF458774 IVB458774 JEX458774 JOT458774 JYP458774 KIL458774 KSH458774 LCD458774 LLZ458774 LVV458774 MFR458774 MPN458774 MZJ458774 NJF458774 NTB458774 OCX458774 OMT458774 OWP458774 PGL458774 PQH458774 QAD458774 QJZ458774 QTV458774 RDR458774 RNN458774 RXJ458774 SHF458774 SRB458774 TAX458774 TKT458774 TUP458774 UEL458774 UOH458774 UYD458774 VHZ458774 VRV458774 WBR458774 WLN458774 WVJ458774 B524310 IX524310 ST524310 ACP524310 AML524310 AWH524310 BGD524310 BPZ524310 BZV524310 CJR524310 CTN524310 DDJ524310 DNF524310 DXB524310 EGX524310 EQT524310 FAP524310 FKL524310 FUH524310 GED524310 GNZ524310 GXV524310 HHR524310 HRN524310 IBJ524310 ILF524310 IVB524310 JEX524310 JOT524310 JYP524310 KIL524310 KSH524310 LCD524310 LLZ524310 LVV524310 MFR524310 MPN524310 MZJ524310 NJF524310 NTB524310 OCX524310 OMT524310 OWP524310 PGL524310 PQH524310 QAD524310 QJZ524310 QTV524310 RDR524310 RNN524310 RXJ524310 SHF524310 SRB524310 TAX524310 TKT524310 TUP524310 UEL524310 UOH524310 UYD524310 VHZ524310 VRV524310 WBR524310 WLN524310 WVJ524310 B589846 IX589846 ST589846 ACP589846 AML589846 AWH589846 BGD589846 BPZ589846 BZV589846 CJR589846 CTN589846 DDJ589846 DNF589846 DXB589846 EGX589846 EQT589846 FAP589846 FKL589846 FUH589846 GED589846 GNZ589846 GXV589846 HHR589846 HRN589846 IBJ589846 ILF589846 IVB589846 JEX589846 JOT589846 JYP589846 KIL589846 KSH589846 LCD589846 LLZ589846 LVV589846 MFR589846 MPN589846 MZJ589846 NJF589846 NTB589846 OCX589846 OMT589846 OWP589846 PGL589846 PQH589846 QAD589846 QJZ589846 QTV589846 RDR589846 RNN589846 RXJ589846 SHF589846 SRB589846 TAX589846 TKT589846 TUP589846 UEL589846 UOH589846 UYD589846 VHZ589846 VRV589846 WBR589846 WLN589846 WVJ589846 B655382 IX655382 ST655382 ACP655382 AML655382 AWH655382 BGD655382 BPZ655382 BZV655382 CJR655382 CTN655382 DDJ655382 DNF655382 DXB655382 EGX655382 EQT655382 FAP655382 FKL655382 FUH655382 GED655382 GNZ655382 GXV655382 HHR655382 HRN655382 IBJ655382 ILF655382 IVB655382 JEX655382 JOT655382 JYP655382 KIL655382 KSH655382 LCD655382 LLZ655382 LVV655382 MFR655382 MPN655382 MZJ655382 NJF655382 NTB655382 OCX655382 OMT655382 OWP655382 PGL655382 PQH655382 QAD655382 QJZ655382 QTV655382 RDR655382 RNN655382 RXJ655382 SHF655382 SRB655382 TAX655382 TKT655382 TUP655382 UEL655382 UOH655382 UYD655382 VHZ655382 VRV655382 WBR655382 WLN655382 WVJ655382 B720918 IX720918 ST720918 ACP720918 AML720918 AWH720918 BGD720918 BPZ720918 BZV720918 CJR720918 CTN720918 DDJ720918 DNF720918 DXB720918 EGX720918 EQT720918 FAP720918 FKL720918 FUH720918 GED720918 GNZ720918 GXV720918 HHR720918 HRN720918 IBJ720918 ILF720918 IVB720918 JEX720918 JOT720918 JYP720918 KIL720918 KSH720918 LCD720918 LLZ720918 LVV720918 MFR720918 MPN720918 MZJ720918 NJF720918 NTB720918 OCX720918 OMT720918 OWP720918 PGL720918 PQH720918 QAD720918 QJZ720918 QTV720918 RDR720918 RNN720918 RXJ720918 SHF720918 SRB720918 TAX720918 TKT720918 TUP720918 UEL720918 UOH720918 UYD720918 VHZ720918 VRV720918 WBR720918 WLN720918 WVJ720918 B786454 IX786454 ST786454 ACP786454 AML786454 AWH786454 BGD786454 BPZ786454 BZV786454 CJR786454 CTN786454 DDJ786454 DNF786454 DXB786454 EGX786454 EQT786454 FAP786454 FKL786454 FUH786454 GED786454 GNZ786454 GXV786454 HHR786454 HRN786454 IBJ786454 ILF786454 IVB786454 JEX786454 JOT786454 JYP786454 KIL786454 KSH786454 LCD786454 LLZ786454 LVV786454 MFR786454 MPN786454 MZJ786454 NJF786454 NTB786454 OCX786454 OMT786454 OWP786454 PGL786454 PQH786454 QAD786454 QJZ786454 QTV786454 RDR786454 RNN786454 RXJ786454 SHF786454 SRB786454 TAX786454 TKT786454 TUP786454 UEL786454 UOH786454 UYD786454 VHZ786454 VRV786454 WBR786454 WLN786454 WVJ786454 B851990 IX851990 ST851990 ACP851990 AML851990 AWH851990 BGD851990 BPZ851990 BZV851990 CJR851990 CTN851990 DDJ851990 DNF851990 DXB851990 EGX851990 EQT851990 FAP851990 FKL851990 FUH851990 GED851990 GNZ851990 GXV851990 HHR851990 HRN851990 IBJ851990 ILF851990 IVB851990 JEX851990 JOT851990 JYP851990 KIL851990 KSH851990 LCD851990 LLZ851990 LVV851990 MFR851990 MPN851990 MZJ851990 NJF851990 NTB851990 OCX851990 OMT851990 OWP851990 PGL851990 PQH851990 QAD851990 QJZ851990 QTV851990 RDR851990 RNN851990 RXJ851990 SHF851990 SRB851990 TAX851990 TKT851990 TUP851990 UEL851990 UOH851990 UYD851990 VHZ851990 VRV851990 WBR851990 WLN851990 WVJ851990 B917526 IX917526 ST917526 ACP917526 AML917526 AWH917526 BGD917526 BPZ917526 BZV917526 CJR917526 CTN917526 DDJ917526 DNF917526 DXB917526 EGX917526 EQT917526 FAP917526 FKL917526 FUH917526 GED917526 GNZ917526 GXV917526 HHR917526 HRN917526 IBJ917526 ILF917526 IVB917526 JEX917526 JOT917526 JYP917526 KIL917526 KSH917526 LCD917526 LLZ917526 LVV917526 MFR917526 MPN917526 MZJ917526 NJF917526 NTB917526 OCX917526 OMT917526 OWP917526 PGL917526 PQH917526 QAD917526 QJZ917526 QTV917526 RDR917526 RNN917526 RXJ917526 SHF917526 SRB917526 TAX917526 TKT917526 TUP917526 UEL917526 UOH917526 UYD917526 VHZ917526 VRV917526 WBR917526 WLN917526 WVJ917526 B983062 IX983062 ST983062 ACP983062 AML983062 AWH983062 BGD983062 BPZ983062 BZV983062 CJR983062 CTN983062 DDJ983062 DNF983062 DXB983062 EGX983062 EQT983062 FAP983062 FKL983062 FUH983062 GED983062 GNZ983062 GXV983062 HHR983062 HRN983062 IBJ983062 ILF983062 IVB983062 JEX983062 JOT983062 JYP983062 KIL983062 KSH983062 LCD983062 LLZ983062 LVV983062 MFR983062 MPN983062 MZJ983062 NJF983062 NTB983062 OCX983062 OMT983062 OWP983062 PGL983062 PQH983062 QAD983062 QJZ983062 QTV983062 RDR983062 RNN983062 RXJ983062 SHF983062 SRB983062 TAX983062 TKT983062 TUP983062 UEL983062 UOH983062 UYD983062 VHZ983062 VRV983062 WBR983062 WLN983062 WVJ983062 B28 IX28 ST28 ACP28 AML28 AWH28 BGD28 BPZ28 BZV28 CJR28 CTN28 DDJ28 DNF28 DXB28 EGX28 EQT28 FAP28 FKL28 FUH28 GED28 GNZ28 GXV28 HHR28 HRN28 IBJ28 ILF28 IVB28 JEX28 JOT28 JYP28 KIL28 KSH28 LCD28 LLZ28 LVV28 MFR28 MPN28 MZJ28 NJF28 NTB28 OCX28 OMT28 OWP28 PGL28 PQH28 QAD28 QJZ28 QTV28 RDR28 RNN28 RXJ28 SHF28 SRB28 TAX28 TKT28 TUP28 UEL28 UOH28 UYD28 VHZ28 VRV28 WBR28 WLN28 WVJ28 B65564 IX65564 ST65564 ACP65564 AML65564 AWH65564 BGD65564 BPZ65564 BZV65564 CJR65564 CTN65564 DDJ65564 DNF65564 DXB65564 EGX65564 EQT65564 FAP65564 FKL65564 FUH65564 GED65564 GNZ65564 GXV65564 HHR65564 HRN65564 IBJ65564 ILF65564 IVB65564 JEX65564 JOT65564 JYP65564 KIL65564 KSH65564 LCD65564 LLZ65564 LVV65564 MFR65564 MPN65564 MZJ65564 NJF65564 NTB65564 OCX65564 OMT65564 OWP65564 PGL65564 PQH65564 QAD65564 QJZ65564 QTV65564 RDR65564 RNN65564 RXJ65564 SHF65564 SRB65564 TAX65564 TKT65564 TUP65564 UEL65564 UOH65564 UYD65564 VHZ65564 VRV65564 WBR65564 WLN65564 WVJ65564 B131100 IX131100 ST131100 ACP131100 AML131100 AWH131100 BGD131100 BPZ131100 BZV131100 CJR131100 CTN131100 DDJ131100 DNF131100 DXB131100 EGX131100 EQT131100 FAP131100 FKL131100 FUH131100 GED131100 GNZ131100 GXV131100 HHR131100 HRN131100 IBJ131100 ILF131100 IVB131100 JEX131100 JOT131100 JYP131100 KIL131100 KSH131100 LCD131100 LLZ131100 LVV131100 MFR131100 MPN131100 MZJ131100 NJF131100 NTB131100 OCX131100 OMT131100 OWP131100 PGL131100 PQH131100 QAD131100 QJZ131100 QTV131100 RDR131100 RNN131100 RXJ131100 SHF131100 SRB131100 TAX131100 TKT131100 TUP131100 UEL131100 UOH131100 UYD131100 VHZ131100 VRV131100 WBR131100 WLN131100 WVJ131100 B196636 IX196636 ST196636 ACP196636 AML196636 AWH196636 BGD196636 BPZ196636 BZV196636 CJR196636 CTN196636 DDJ196636 DNF196636 DXB196636 EGX196636 EQT196636 FAP196636 FKL196636 FUH196636 GED196636 GNZ196636 GXV196636 HHR196636 HRN196636 IBJ196636 ILF196636 IVB196636 JEX196636 JOT196636 JYP196636 KIL196636 KSH196636 LCD196636 LLZ196636 LVV196636 MFR196636 MPN196636 MZJ196636 NJF196636 NTB196636 OCX196636 OMT196636 OWP196636 PGL196636 PQH196636 QAD196636 QJZ196636 QTV196636 RDR196636 RNN196636 RXJ196636 SHF196636 SRB196636 TAX196636 TKT196636 TUP196636 UEL196636 UOH196636 UYD196636 VHZ196636 VRV196636 WBR196636 WLN196636 WVJ196636 B262172 IX262172 ST262172 ACP262172 AML262172 AWH262172 BGD262172 BPZ262172 BZV262172 CJR262172 CTN262172 DDJ262172 DNF262172 DXB262172 EGX262172 EQT262172 FAP262172 FKL262172 FUH262172 GED262172 GNZ262172 GXV262172 HHR262172 HRN262172 IBJ262172 ILF262172 IVB262172 JEX262172 JOT262172 JYP262172 KIL262172 KSH262172 LCD262172 LLZ262172 LVV262172 MFR262172 MPN262172 MZJ262172 NJF262172 NTB262172 OCX262172 OMT262172 OWP262172 PGL262172 PQH262172 QAD262172 QJZ262172 QTV262172 RDR262172 RNN262172 RXJ262172 SHF262172 SRB262172 TAX262172 TKT262172 TUP262172 UEL262172 UOH262172 UYD262172 VHZ262172 VRV262172 WBR262172 WLN262172 WVJ262172 B327708 IX327708 ST327708 ACP327708 AML327708 AWH327708 BGD327708 BPZ327708 BZV327708 CJR327708 CTN327708 DDJ327708 DNF327708 DXB327708 EGX327708 EQT327708 FAP327708 FKL327708 FUH327708 GED327708 GNZ327708 GXV327708 HHR327708 HRN327708 IBJ327708 ILF327708 IVB327708 JEX327708 JOT327708 JYP327708 KIL327708 KSH327708 LCD327708 LLZ327708 LVV327708 MFR327708 MPN327708 MZJ327708 NJF327708 NTB327708 OCX327708 OMT327708 OWP327708 PGL327708 PQH327708 QAD327708 QJZ327708 QTV327708 RDR327708 RNN327708 RXJ327708 SHF327708 SRB327708 TAX327708 TKT327708 TUP327708 UEL327708 UOH327708 UYD327708 VHZ327708 VRV327708 WBR327708 WLN327708 WVJ327708 B393244 IX393244 ST393244 ACP393244 AML393244 AWH393244 BGD393244 BPZ393244 BZV393244 CJR393244 CTN393244 DDJ393244 DNF393244 DXB393244 EGX393244 EQT393244 FAP393244 FKL393244 FUH393244 GED393244 GNZ393244 GXV393244 HHR393244 HRN393244 IBJ393244 ILF393244 IVB393244 JEX393244 JOT393244 JYP393244 KIL393244 KSH393244 LCD393244 LLZ393244 LVV393244 MFR393244 MPN393244 MZJ393244 NJF393244 NTB393244 OCX393244 OMT393244 OWP393244 PGL393244 PQH393244 QAD393244 QJZ393244 QTV393244 RDR393244 RNN393244 RXJ393244 SHF393244 SRB393244 TAX393244 TKT393244 TUP393244 UEL393244 UOH393244 UYD393244 VHZ393244 VRV393244 WBR393244 WLN393244 WVJ393244 B458780 IX458780 ST458780 ACP458780 AML458780 AWH458780 BGD458780 BPZ458780 BZV458780 CJR458780 CTN458780 DDJ458780 DNF458780 DXB458780 EGX458780 EQT458780 FAP458780 FKL458780 FUH458780 GED458780 GNZ458780 GXV458780 HHR458780 HRN458780 IBJ458780 ILF458780 IVB458780 JEX458780 JOT458780 JYP458780 KIL458780 KSH458780 LCD458780 LLZ458780 LVV458780 MFR458780 MPN458780 MZJ458780 NJF458780 NTB458780 OCX458780 OMT458780 OWP458780 PGL458780 PQH458780 QAD458780 QJZ458780 QTV458780 RDR458780 RNN458780 RXJ458780 SHF458780 SRB458780 TAX458780 TKT458780 TUP458780 UEL458780 UOH458780 UYD458780 VHZ458780 VRV458780 WBR458780 WLN458780 WVJ458780 B524316 IX524316 ST524316 ACP524316 AML524316 AWH524316 BGD524316 BPZ524316 BZV524316 CJR524316 CTN524316 DDJ524316 DNF524316 DXB524316 EGX524316 EQT524316 FAP524316 FKL524316 FUH524316 GED524316 GNZ524316 GXV524316 HHR524316 HRN524316 IBJ524316 ILF524316 IVB524316 JEX524316 JOT524316 JYP524316 KIL524316 KSH524316 LCD524316 LLZ524316 LVV524316 MFR524316 MPN524316 MZJ524316 NJF524316 NTB524316 OCX524316 OMT524316 OWP524316 PGL524316 PQH524316 QAD524316 QJZ524316 QTV524316 RDR524316 RNN524316 RXJ524316 SHF524316 SRB524316 TAX524316 TKT524316 TUP524316 UEL524316 UOH524316 UYD524316 VHZ524316 VRV524316 WBR524316 WLN524316 WVJ524316 B589852 IX589852 ST589852 ACP589852 AML589852 AWH589852 BGD589852 BPZ589852 BZV589852 CJR589852 CTN589852 DDJ589852 DNF589852 DXB589852 EGX589852 EQT589852 FAP589852 FKL589852 FUH589852 GED589852 GNZ589852 GXV589852 HHR589852 HRN589852 IBJ589852 ILF589852 IVB589852 JEX589852 JOT589852 JYP589852 KIL589852 KSH589852 LCD589852 LLZ589852 LVV589852 MFR589852 MPN589852 MZJ589852 NJF589852 NTB589852 OCX589852 OMT589852 OWP589852 PGL589852 PQH589852 QAD589852 QJZ589852 QTV589852 RDR589852 RNN589852 RXJ589852 SHF589852 SRB589852 TAX589852 TKT589852 TUP589852 UEL589852 UOH589852 UYD589852 VHZ589852 VRV589852 WBR589852 WLN589852 WVJ589852 B655388 IX655388 ST655388 ACP655388 AML655388 AWH655388 BGD655388 BPZ655388 BZV655388 CJR655388 CTN655388 DDJ655388 DNF655388 DXB655388 EGX655388 EQT655388 FAP655388 FKL655388 FUH655388 GED655388 GNZ655388 GXV655388 HHR655388 HRN655388 IBJ655388 ILF655388 IVB655388 JEX655388 JOT655388 JYP655388 KIL655388 KSH655388 LCD655388 LLZ655388 LVV655388 MFR655388 MPN655388 MZJ655388 NJF655388 NTB655388 OCX655388 OMT655388 OWP655388 PGL655388 PQH655388 QAD655388 QJZ655388 QTV655388 RDR655388 RNN655388 RXJ655388 SHF655388 SRB655388 TAX655388 TKT655388 TUP655388 UEL655388 UOH655388 UYD655388 VHZ655388 VRV655388 WBR655388 WLN655388 WVJ655388 B720924 IX720924 ST720924 ACP720924 AML720924 AWH720924 BGD720924 BPZ720924 BZV720924 CJR720924 CTN720924 DDJ720924 DNF720924 DXB720924 EGX720924 EQT720924 FAP720924 FKL720924 FUH720924 GED720924 GNZ720924 GXV720924 HHR720924 HRN720924 IBJ720924 ILF720924 IVB720924 JEX720924 JOT720924 JYP720924 KIL720924 KSH720924 LCD720924 LLZ720924 LVV720924 MFR720924 MPN720924 MZJ720924 NJF720924 NTB720924 OCX720924 OMT720924 OWP720924 PGL720924 PQH720924 QAD720924 QJZ720924 QTV720924 RDR720924 RNN720924 RXJ720924 SHF720924 SRB720924 TAX720924 TKT720924 TUP720924 UEL720924 UOH720924 UYD720924 VHZ720924 VRV720924 WBR720924 WLN720924 WVJ720924 B786460 IX786460 ST786460 ACP786460 AML786460 AWH786460 BGD786460 BPZ786460 BZV786460 CJR786460 CTN786460 DDJ786460 DNF786460 DXB786460 EGX786460 EQT786460 FAP786460 FKL786460 FUH786460 GED786460 GNZ786460 GXV786460 HHR786460 HRN786460 IBJ786460 ILF786460 IVB786460 JEX786460 JOT786460 JYP786460 KIL786460 KSH786460 LCD786460 LLZ786460 LVV786460 MFR786460 MPN786460 MZJ786460 NJF786460 NTB786460 OCX786460 OMT786460 OWP786460 PGL786460 PQH786460 QAD786460 QJZ786460 QTV786460 RDR786460 RNN786460 RXJ786460 SHF786460 SRB786460 TAX786460 TKT786460 TUP786460 UEL786460 UOH786460 UYD786460 VHZ786460 VRV786460 WBR786460 WLN786460 WVJ786460 B851996 IX851996 ST851996 ACP851996 AML851996 AWH851996 BGD851996 BPZ851996 BZV851996 CJR851996 CTN851996 DDJ851996 DNF851996 DXB851996 EGX851996 EQT851996 FAP851996 FKL851996 FUH851996 GED851996 GNZ851996 GXV851996 HHR851996 HRN851996 IBJ851996 ILF851996 IVB851996 JEX851996 JOT851996 JYP851996 KIL851996 KSH851996 LCD851996 LLZ851996 LVV851996 MFR851996 MPN851996 MZJ851996 NJF851996 NTB851996 OCX851996 OMT851996 OWP851996 PGL851996 PQH851996 QAD851996 QJZ851996 QTV851996 RDR851996 RNN851996 RXJ851996 SHF851996 SRB851996 TAX851996 TKT851996 TUP851996 UEL851996 UOH851996 UYD851996 VHZ851996 VRV851996 WBR851996 WLN851996 WVJ851996 B917532 IX917532 ST917532 ACP917532 AML917532 AWH917532 BGD917532 BPZ917532 BZV917532 CJR917532 CTN917532 DDJ917532 DNF917532 DXB917532 EGX917532 EQT917532 FAP917532 FKL917532 FUH917532 GED917532 GNZ917532 GXV917532 HHR917532 HRN917532 IBJ917532 ILF917532 IVB917532 JEX917532 JOT917532 JYP917532 KIL917532 KSH917532 LCD917532 LLZ917532 LVV917532 MFR917532 MPN917532 MZJ917532 NJF917532 NTB917532 OCX917532 OMT917532 OWP917532 PGL917532 PQH917532 QAD917532 QJZ917532 QTV917532 RDR917532 RNN917532 RXJ917532 SHF917532 SRB917532 TAX917532 TKT917532 TUP917532 UEL917532 UOH917532 UYD917532 VHZ917532 VRV917532 WBR917532 WLN917532 WVJ917532 B983068 IX983068 ST983068 ACP983068 AML983068 AWH983068 BGD983068 BPZ983068 BZV983068 CJR983068 CTN983068 DDJ983068 DNF983068 DXB983068 EGX983068 EQT983068 FAP983068 FKL983068 FUH983068 GED983068 GNZ983068 GXV983068 HHR983068 HRN983068 IBJ983068 ILF983068 IVB983068 JEX983068 JOT983068 JYP983068 KIL983068 KSH983068 LCD983068 LLZ983068 LVV983068 MFR983068 MPN983068 MZJ983068 NJF983068 NTB983068 OCX983068 OMT983068 OWP983068 PGL983068 PQH983068 QAD983068 QJZ983068 QTV983068 RDR983068 RNN983068 RXJ983068 SHF983068 SRB983068 TAX983068 TKT983068 TUP983068 UEL983068 UOH983068 UYD983068 VHZ983068 VRV983068 WBR983068 WLN983068 WVJ983068 B30 IX30 ST30 ACP30 AML30 AWH30 BGD30 BPZ30 BZV30 CJR30 CTN30 DDJ30 DNF30 DXB30 EGX30 EQT30 FAP30 FKL30 FUH30 GED30 GNZ30 GXV30 HHR30 HRN30 IBJ30 ILF30 IVB30 JEX30 JOT30 JYP30 KIL30 KSH30 LCD30 LLZ30 LVV30 MFR30 MPN30 MZJ30 NJF30 NTB30 OCX30 OMT30 OWP30 PGL30 PQH30 QAD30 QJZ30 QTV30 RDR30 RNN30 RXJ30 SHF30 SRB30 TAX30 TKT30 TUP30 UEL30 UOH30 UYD30 VHZ30 VRV30 WBR30 WLN30 WVJ30 B65566 IX65566 ST65566 ACP65566 AML65566 AWH65566 BGD65566 BPZ65566 BZV65566 CJR65566 CTN65566 DDJ65566 DNF65566 DXB65566 EGX65566 EQT65566 FAP65566 FKL65566 FUH65566 GED65566 GNZ65566 GXV65566 HHR65566 HRN65566 IBJ65566 ILF65566 IVB65566 JEX65566 JOT65566 JYP65566 KIL65566 KSH65566 LCD65566 LLZ65566 LVV65566 MFR65566 MPN65566 MZJ65566 NJF65566 NTB65566 OCX65566 OMT65566 OWP65566 PGL65566 PQH65566 QAD65566 QJZ65566 QTV65566 RDR65566 RNN65566 RXJ65566 SHF65566 SRB65566 TAX65566 TKT65566 TUP65566 UEL65566 UOH65566 UYD65566 VHZ65566 VRV65566 WBR65566 WLN65566 WVJ65566 B131102 IX131102 ST131102 ACP131102 AML131102 AWH131102 BGD131102 BPZ131102 BZV131102 CJR131102 CTN131102 DDJ131102 DNF131102 DXB131102 EGX131102 EQT131102 FAP131102 FKL131102 FUH131102 GED131102 GNZ131102 GXV131102 HHR131102 HRN131102 IBJ131102 ILF131102 IVB131102 JEX131102 JOT131102 JYP131102 KIL131102 KSH131102 LCD131102 LLZ131102 LVV131102 MFR131102 MPN131102 MZJ131102 NJF131102 NTB131102 OCX131102 OMT131102 OWP131102 PGL131102 PQH131102 QAD131102 QJZ131102 QTV131102 RDR131102 RNN131102 RXJ131102 SHF131102 SRB131102 TAX131102 TKT131102 TUP131102 UEL131102 UOH131102 UYD131102 VHZ131102 VRV131102 WBR131102 WLN131102 WVJ131102 B196638 IX196638 ST196638 ACP196638 AML196638 AWH196638 BGD196638 BPZ196638 BZV196638 CJR196638 CTN196638 DDJ196638 DNF196638 DXB196638 EGX196638 EQT196638 FAP196638 FKL196638 FUH196638 GED196638 GNZ196638 GXV196638 HHR196638 HRN196638 IBJ196638 ILF196638 IVB196638 JEX196638 JOT196638 JYP196638 KIL196638 KSH196638 LCD196638 LLZ196638 LVV196638 MFR196638 MPN196638 MZJ196638 NJF196638 NTB196638 OCX196638 OMT196638 OWP196638 PGL196638 PQH196638 QAD196638 QJZ196638 QTV196638 RDR196638 RNN196638 RXJ196638 SHF196638 SRB196638 TAX196638 TKT196638 TUP196638 UEL196638 UOH196638 UYD196638 VHZ196638 VRV196638 WBR196638 WLN196638 WVJ196638 B262174 IX262174 ST262174 ACP262174 AML262174 AWH262174 BGD262174 BPZ262174 BZV262174 CJR262174 CTN262174 DDJ262174 DNF262174 DXB262174 EGX262174 EQT262174 FAP262174 FKL262174 FUH262174 GED262174 GNZ262174 GXV262174 HHR262174 HRN262174 IBJ262174 ILF262174 IVB262174 JEX262174 JOT262174 JYP262174 KIL262174 KSH262174 LCD262174 LLZ262174 LVV262174 MFR262174 MPN262174 MZJ262174 NJF262174 NTB262174 OCX262174 OMT262174 OWP262174 PGL262174 PQH262174 QAD262174 QJZ262174 QTV262174 RDR262174 RNN262174 RXJ262174 SHF262174 SRB262174 TAX262174 TKT262174 TUP262174 UEL262174 UOH262174 UYD262174 VHZ262174 VRV262174 WBR262174 WLN262174 WVJ262174 B327710 IX327710 ST327710 ACP327710 AML327710 AWH327710 BGD327710 BPZ327710 BZV327710 CJR327710 CTN327710 DDJ327710 DNF327710 DXB327710 EGX327710 EQT327710 FAP327710 FKL327710 FUH327710 GED327710 GNZ327710 GXV327710 HHR327710 HRN327710 IBJ327710 ILF327710 IVB327710 JEX327710 JOT327710 JYP327710 KIL327710 KSH327710 LCD327710 LLZ327710 LVV327710 MFR327710 MPN327710 MZJ327710 NJF327710 NTB327710 OCX327710 OMT327710 OWP327710 PGL327710 PQH327710 QAD327710 QJZ327710 QTV327710 RDR327710 RNN327710 RXJ327710 SHF327710 SRB327710 TAX327710 TKT327710 TUP327710 UEL327710 UOH327710 UYD327710 VHZ327710 VRV327710 WBR327710 WLN327710 WVJ327710 B393246 IX393246 ST393246 ACP393246 AML393246 AWH393246 BGD393246 BPZ393246 BZV393246 CJR393246 CTN393246 DDJ393246 DNF393246 DXB393246 EGX393246 EQT393246 FAP393246 FKL393246 FUH393246 GED393246 GNZ393246 GXV393246 HHR393246 HRN393246 IBJ393246 ILF393246 IVB393246 JEX393246 JOT393246 JYP393246 KIL393246 KSH393246 LCD393246 LLZ393246 LVV393246 MFR393246 MPN393246 MZJ393246 NJF393246 NTB393246 OCX393246 OMT393246 OWP393246 PGL393246 PQH393246 QAD393246 QJZ393246 QTV393246 RDR393246 RNN393246 RXJ393246 SHF393246 SRB393246 TAX393246 TKT393246 TUP393246 UEL393246 UOH393246 UYD393246 VHZ393246 VRV393246 WBR393246 WLN393246 WVJ393246 B458782 IX458782 ST458782 ACP458782 AML458782 AWH458782 BGD458782 BPZ458782 BZV458782 CJR458782 CTN458782 DDJ458782 DNF458782 DXB458782 EGX458782 EQT458782 FAP458782 FKL458782 FUH458782 GED458782 GNZ458782 GXV458782 HHR458782 HRN458782 IBJ458782 ILF458782 IVB458782 JEX458782 JOT458782 JYP458782 KIL458782 KSH458782 LCD458782 LLZ458782 LVV458782 MFR458782 MPN458782 MZJ458782 NJF458782 NTB458782 OCX458782 OMT458782 OWP458782 PGL458782 PQH458782 QAD458782 QJZ458782 QTV458782 RDR458782 RNN458782 RXJ458782 SHF458782 SRB458782 TAX458782 TKT458782 TUP458782 UEL458782 UOH458782 UYD458782 VHZ458782 VRV458782 WBR458782 WLN458782 WVJ458782 B524318 IX524318 ST524318 ACP524318 AML524318 AWH524318 BGD524318 BPZ524318 BZV524318 CJR524318 CTN524318 DDJ524318 DNF524318 DXB524318 EGX524318 EQT524318 FAP524318 FKL524318 FUH524318 GED524318 GNZ524318 GXV524318 HHR524318 HRN524318 IBJ524318 ILF524318 IVB524318 JEX524318 JOT524318 JYP524318 KIL524318 KSH524318 LCD524318 LLZ524318 LVV524318 MFR524318 MPN524318 MZJ524318 NJF524318 NTB524318 OCX524318 OMT524318 OWP524318 PGL524318 PQH524318 QAD524318 QJZ524318 QTV524318 RDR524318 RNN524318 RXJ524318 SHF524318 SRB524318 TAX524318 TKT524318 TUP524318 UEL524318 UOH524318 UYD524318 VHZ524318 VRV524318 WBR524318 WLN524318 WVJ524318 B589854 IX589854 ST589854 ACP589854 AML589854 AWH589854 BGD589854 BPZ589854 BZV589854 CJR589854 CTN589854 DDJ589854 DNF589854 DXB589854 EGX589854 EQT589854 FAP589854 FKL589854 FUH589854 GED589854 GNZ589854 GXV589854 HHR589854 HRN589854 IBJ589854 ILF589854 IVB589854 JEX589854 JOT589854 JYP589854 KIL589854 KSH589854 LCD589854 LLZ589854 LVV589854 MFR589854 MPN589854 MZJ589854 NJF589854 NTB589854 OCX589854 OMT589854 OWP589854 PGL589854 PQH589854 QAD589854 QJZ589854 QTV589854 RDR589854 RNN589854 RXJ589854 SHF589854 SRB589854 TAX589854 TKT589854 TUP589854 UEL589854 UOH589854 UYD589854 VHZ589854 VRV589854 WBR589854 WLN589854 WVJ589854 B655390 IX655390 ST655390 ACP655390 AML655390 AWH655390 BGD655390 BPZ655390 BZV655390 CJR655390 CTN655390 DDJ655390 DNF655390 DXB655390 EGX655390 EQT655390 FAP655390 FKL655390 FUH655390 GED655390 GNZ655390 GXV655390 HHR655390 HRN655390 IBJ655390 ILF655390 IVB655390 JEX655390 JOT655390 JYP655390 KIL655390 KSH655390 LCD655390 LLZ655390 LVV655390 MFR655390 MPN655390 MZJ655390 NJF655390 NTB655390 OCX655390 OMT655390 OWP655390 PGL655390 PQH655390 QAD655390 QJZ655390 QTV655390 RDR655390 RNN655390 RXJ655390 SHF655390 SRB655390 TAX655390 TKT655390 TUP655390 UEL655390 UOH655390 UYD655390 VHZ655390 VRV655390 WBR655390 WLN655390 WVJ655390 B720926 IX720926 ST720926 ACP720926 AML720926 AWH720926 BGD720926 BPZ720926 BZV720926 CJR720926 CTN720926 DDJ720926 DNF720926 DXB720926 EGX720926 EQT720926 FAP720926 FKL720926 FUH720926 GED720926 GNZ720926 GXV720926 HHR720926 HRN720926 IBJ720926 ILF720926 IVB720926 JEX720926 JOT720926 JYP720926 KIL720926 KSH720926 LCD720926 LLZ720926 LVV720926 MFR720926 MPN720926 MZJ720926 NJF720926 NTB720926 OCX720926 OMT720926 OWP720926 PGL720926 PQH720926 QAD720926 QJZ720926 QTV720926 RDR720926 RNN720926 RXJ720926 SHF720926 SRB720926 TAX720926 TKT720926 TUP720926 UEL720926 UOH720926 UYD720926 VHZ720926 VRV720926 WBR720926 WLN720926 WVJ720926 B786462 IX786462 ST786462 ACP786462 AML786462 AWH786462 BGD786462 BPZ786462 BZV786462 CJR786462 CTN786462 DDJ786462 DNF786462 DXB786462 EGX786462 EQT786462 FAP786462 FKL786462 FUH786462 GED786462 GNZ786462 GXV786462 HHR786462 HRN786462 IBJ786462 ILF786462 IVB786462 JEX786462 JOT786462 JYP786462 KIL786462 KSH786462 LCD786462 LLZ786462 LVV786462 MFR786462 MPN786462 MZJ786462 NJF786462 NTB786462 OCX786462 OMT786462 OWP786462 PGL786462 PQH786462 QAD786462 QJZ786462 QTV786462 RDR786462 RNN786462 RXJ786462 SHF786462 SRB786462 TAX786462 TKT786462 TUP786462 UEL786462 UOH786462 UYD786462 VHZ786462 VRV786462 WBR786462 WLN786462 WVJ786462 B851998 IX851998 ST851998 ACP851998 AML851998 AWH851998 BGD851998 BPZ851998 BZV851998 CJR851998 CTN851998 DDJ851998 DNF851998 DXB851998 EGX851998 EQT851998 FAP851998 FKL851998 FUH851998 GED851998 GNZ851998 GXV851998 HHR851998 HRN851998 IBJ851998 ILF851998 IVB851998 JEX851998 JOT851998 JYP851998 KIL851998 KSH851998 LCD851998 LLZ851998 LVV851998 MFR851998 MPN851998 MZJ851998 NJF851998 NTB851998 OCX851998 OMT851998 OWP851998 PGL851998 PQH851998 QAD851998 QJZ851998 QTV851998 RDR851998 RNN851998 RXJ851998 SHF851998 SRB851998 TAX851998 TKT851998 TUP851998 UEL851998 UOH851998 UYD851998 VHZ851998 VRV851998 WBR851998 WLN851998 WVJ851998 B917534 IX917534 ST917534 ACP917534 AML917534 AWH917534 BGD917534 BPZ917534 BZV917534 CJR917534 CTN917534 DDJ917534 DNF917534 DXB917534 EGX917534 EQT917534 FAP917534 FKL917534 FUH917534 GED917534 GNZ917534 GXV917534 HHR917534 HRN917534 IBJ917534 ILF917534 IVB917534 JEX917534 JOT917534 JYP917534 KIL917534 KSH917534 LCD917534 LLZ917534 LVV917534 MFR917534 MPN917534 MZJ917534 NJF917534 NTB917534 OCX917534 OMT917534 OWP917534 PGL917534 PQH917534 QAD917534 QJZ917534 QTV917534 RDR917534 RNN917534 RXJ917534 SHF917534 SRB917534 TAX917534 TKT917534 TUP917534 UEL917534 UOH917534 UYD917534 VHZ917534 VRV917534 WBR917534 WLN917534 WVJ917534 B983070 IX983070 ST983070 ACP983070 AML983070 AWH983070 BGD983070 BPZ983070 BZV983070 CJR983070 CTN983070 DDJ983070 DNF983070 DXB983070 EGX983070 EQT983070 FAP983070 FKL983070 FUH983070 GED983070 GNZ983070 GXV983070 HHR983070 HRN983070 IBJ983070 ILF983070 IVB983070 JEX983070 JOT983070 JYP983070 KIL983070 KSH983070 LCD983070 LLZ983070 LVV983070 MFR983070 MPN983070 MZJ983070 NJF983070 NTB983070 OCX983070 OMT983070 OWP983070 PGL983070 PQH983070 QAD983070 QJZ983070 QTV983070 RDR983070 RNN983070 RXJ983070 SHF983070 SRB983070 TAX983070 TKT983070 TUP983070 UEL983070 UOH983070 UYD983070 VHZ983070 VRV983070 WBR983070 WLN983070 WVJ983070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4:AH29"/>
  <sheetViews>
    <sheetView showGridLines="0" topLeftCell="H22" workbookViewId="0">
      <selection activeCell="U35" sqref="U35"/>
    </sheetView>
  </sheetViews>
  <sheetFormatPr defaultRowHeight="13.5"/>
  <cols>
    <col min="3" max="3" width="22" bestFit="1" customWidth="1"/>
    <col min="4" max="8" width="12.0625" bestFit="1" customWidth="1"/>
    <col min="9" max="17" width="9.75" bestFit="1" customWidth="1"/>
    <col min="18" max="28" width="12.0625" bestFit="1" customWidth="1"/>
    <col min="29" max="29" width="9.0625" bestFit="1" customWidth="1"/>
    <col min="30" max="30" width="13.5625" bestFit="1" customWidth="1"/>
    <col min="31" max="31" width="9.75" customWidth="1"/>
    <col min="34" max="34" width="9.8125" customWidth="1"/>
  </cols>
  <sheetData>
    <row r="4" spans="3:7" ht="13.9" thickBot="1">
      <c r="C4" s="432" t="s">
        <v>232</v>
      </c>
      <c r="D4" s="433" t="str">
        <f>IS!AC4</f>
        <v>FY17</v>
      </c>
      <c r="E4" s="433" t="str">
        <f>IS!AH4</f>
        <v>FY18</v>
      </c>
      <c r="F4" s="433" t="str">
        <f>IS!AM4</f>
        <v>FY19</v>
      </c>
      <c r="G4" s="433" t="str">
        <f>IS!AR4</f>
        <v>FY20</v>
      </c>
    </row>
    <row r="5" spans="3:7">
      <c r="C5" s="434" t="s">
        <v>233</v>
      </c>
      <c r="D5" s="1">
        <f>IS!AC5</f>
        <v>348563</v>
      </c>
      <c r="E5" s="1">
        <f>IS!AH5</f>
        <v>484581</v>
      </c>
      <c r="F5" s="1">
        <f>IS!AM5</f>
        <v>663657</v>
      </c>
      <c r="G5" s="1">
        <f>IS!AR5</f>
        <v>918463</v>
      </c>
    </row>
    <row r="6" spans="3:7">
      <c r="C6" s="435" t="s">
        <v>98</v>
      </c>
      <c r="D6" s="436">
        <f>IS!$AC$6</f>
        <v>0.52126549904638031</v>
      </c>
      <c r="E6" s="436">
        <f>E5/D5-1</f>
        <v>0.39022500953916506</v>
      </c>
      <c r="F6" s="436">
        <f>F5/E5-1</f>
        <v>0.36954812508125578</v>
      </c>
      <c r="G6" s="436">
        <f>G5/F5-1</f>
        <v>0.38394230754742287</v>
      </c>
    </row>
    <row r="7" spans="3:7">
      <c r="C7" s="434" t="s">
        <v>195</v>
      </c>
      <c r="D7" s="1">
        <f>IS!AC9</f>
        <v>32896</v>
      </c>
      <c r="E7" s="1">
        <f>IS!AH9</f>
        <v>33923</v>
      </c>
      <c r="F7" s="1">
        <f>IS!AM9</f>
        <v>37312</v>
      </c>
      <c r="G7" s="1">
        <f>IS!AR9</f>
        <v>55508</v>
      </c>
    </row>
    <row r="8" spans="3:7">
      <c r="C8" s="435" t="s">
        <v>98</v>
      </c>
      <c r="D8" s="436">
        <f>IS!$AC$10</f>
        <v>0.54050763323030804</v>
      </c>
      <c r="E8" s="436">
        <f>E7/D7-1</f>
        <v>3.1219601167315147E-2</v>
      </c>
      <c r="F8" s="436">
        <f>F7/E7-1</f>
        <v>9.9902720867847794E-2</v>
      </c>
      <c r="G8" s="436">
        <f>G7/F7-1</f>
        <v>0.48767152658662094</v>
      </c>
    </row>
    <row r="9" spans="3:7">
      <c r="C9" s="434" t="s">
        <v>1</v>
      </c>
      <c r="D9" s="148">
        <f>D5+D7</f>
        <v>381459</v>
      </c>
      <c r="E9" s="148">
        <f>E5+E7</f>
        <v>518504</v>
      </c>
      <c r="F9" s="148">
        <f>F5+F7</f>
        <v>700969</v>
      </c>
      <c r="G9" s="148">
        <f>G5+G7</f>
        <v>973971</v>
      </c>
    </row>
    <row r="10" spans="3:7">
      <c r="C10" s="435" t="s">
        <v>98</v>
      </c>
      <c r="D10" s="436">
        <f>IS!$AC$14</f>
        <v>0.52290592899261812</v>
      </c>
      <c r="E10" s="436">
        <f>E9/D9-1</f>
        <v>0.3592653469966629</v>
      </c>
      <c r="F10" s="436">
        <f>F9/E9-1</f>
        <v>0.35190663910018061</v>
      </c>
      <c r="G10" s="436">
        <f>G9/F9-1</f>
        <v>0.38946372806786034</v>
      </c>
    </row>
    <row r="11" spans="3:7">
      <c r="C11" s="5"/>
    </row>
    <row r="12" spans="3:7">
      <c r="C12" s="437" t="s">
        <v>234</v>
      </c>
    </row>
    <row r="13" spans="3:7">
      <c r="C13" s="5" t="s">
        <v>235</v>
      </c>
      <c r="D13" s="438">
        <f>IS!AC19</f>
        <v>0.81285162223184904</v>
      </c>
      <c r="E13" s="438">
        <f>IS!AH19</f>
        <v>0.84289520224688963</v>
      </c>
      <c r="F13" s="438">
        <f>IS!AM19</f>
        <v>0.85734950433733093</v>
      </c>
      <c r="G13" s="438">
        <f>IS!AR19</f>
        <v>0.84289949622358218</v>
      </c>
    </row>
    <row r="14" spans="3:7">
      <c r="C14" s="5" t="s">
        <v>236</v>
      </c>
      <c r="D14" s="438">
        <f>IS!AC21</f>
        <v>0.14600559338521402</v>
      </c>
      <c r="E14" s="438">
        <f>IS!AH21</f>
        <v>1.3560121451522565E-2</v>
      </c>
      <c r="F14" s="438">
        <f>IS!AM21</f>
        <v>-0.27497855917667241</v>
      </c>
      <c r="G14" s="438">
        <f>IS!AR21</f>
        <v>-0.11836131728759819</v>
      </c>
    </row>
    <row r="15" spans="3:7">
      <c r="C15" s="5" t="s">
        <v>181</v>
      </c>
      <c r="D15" s="438">
        <f>IS!AC24</f>
        <v>0.75534461108533291</v>
      </c>
      <c r="E15" s="438">
        <f>IS!AH24</f>
        <v>0.78863615324086223</v>
      </c>
      <c r="F15" s="438">
        <f>IS!AM24</f>
        <v>0.79707661822420106</v>
      </c>
      <c r="G15" s="438">
        <f>IS!AR24</f>
        <v>0.78811586792625243</v>
      </c>
    </row>
    <row r="16" spans="3:7">
      <c r="C16" s="5"/>
    </row>
    <row r="17" spans="3:34">
      <c r="C17" s="439" t="s">
        <v>237</v>
      </c>
      <c r="D17" s="440">
        <f>IS!AC35</f>
        <v>-70049</v>
      </c>
      <c r="E17" s="440">
        <f>IS!AH35</f>
        <v>-11863</v>
      </c>
      <c r="F17" s="440">
        <f>IS!AM35</f>
        <v>15182</v>
      </c>
      <c r="G17" s="440">
        <f>IS!AR35</f>
        <v>47332</v>
      </c>
    </row>
    <row r="18" spans="3:34">
      <c r="C18" s="439" t="s">
        <v>14</v>
      </c>
      <c r="D18" s="441">
        <f>IS!AC36</f>
        <v>-0.18363441418343779</v>
      </c>
      <c r="E18" s="441">
        <f>IS!AH36</f>
        <v>-2.2879283477080216E-2</v>
      </c>
      <c r="F18" s="441">
        <f>IS!AM36</f>
        <v>2.1658589752185903E-2</v>
      </c>
      <c r="G18" s="441">
        <f>IS!AR36</f>
        <v>4.8596929477366373E-2</v>
      </c>
    </row>
    <row r="19" spans="3:34">
      <c r="C19" s="5"/>
    </row>
    <row r="20" spans="3:34">
      <c r="C20" s="437" t="s">
        <v>238</v>
      </c>
    </row>
    <row r="21" spans="3:34">
      <c r="C21" s="5" t="s">
        <v>239</v>
      </c>
      <c r="D21" s="440">
        <f>CF!AC33</f>
        <v>-4790</v>
      </c>
      <c r="E21" s="440">
        <f>CF!AH33</f>
        <v>54979</v>
      </c>
      <c r="F21" s="440">
        <f>CF!AM33</f>
        <v>76085</v>
      </c>
      <c r="G21" s="440">
        <f>CF!AR33</f>
        <v>115696</v>
      </c>
    </row>
    <row r="22" spans="3:34">
      <c r="C22" s="5" t="s">
        <v>6</v>
      </c>
      <c r="D22" s="440">
        <f>CF!AC48</f>
        <v>-48120</v>
      </c>
      <c r="E22" s="440">
        <f>CF!AH48</f>
        <v>36050</v>
      </c>
      <c r="F22" s="440">
        <f>CF!AM48</f>
        <v>45672</v>
      </c>
      <c r="G22" s="440">
        <f>CF!AR48</f>
        <v>43650</v>
      </c>
    </row>
    <row r="23" spans="3:34">
      <c r="C23" s="19" t="s">
        <v>240</v>
      </c>
      <c r="D23" s="442">
        <f>CF!AC49</f>
        <v>-0.12614723993928575</v>
      </c>
      <c r="E23" s="442">
        <f>CF!AH49</f>
        <v>6.9526946754509128E-2</v>
      </c>
      <c r="F23" s="442">
        <f>CF!AM49</f>
        <v>6.5155520429576771E-2</v>
      </c>
      <c r="G23" s="442">
        <f>CF!AR49</f>
        <v>4.4816529444921871E-2</v>
      </c>
    </row>
    <row r="24" spans="3:34">
      <c r="V24" s="1167">
        <f>V25/R28-1</f>
        <v>4.2037085197589086E-2</v>
      </c>
      <c r="W24" s="1167">
        <f>W28/S28-1</f>
        <v>0.10284334587823785</v>
      </c>
    </row>
    <row r="25" spans="3:34">
      <c r="V25">
        <v>589000</v>
      </c>
      <c r="W25">
        <v>709713</v>
      </c>
    </row>
    <row r="26" spans="3:34">
      <c r="V26">
        <f>(2570000+2550000)/2</f>
        <v>2560000</v>
      </c>
    </row>
    <row r="27" spans="3:34">
      <c r="D27" s="1234" t="str">
        <f>IS!AI4</f>
        <v>1Q19</v>
      </c>
      <c r="E27" s="1234" t="str">
        <f>IS!AJ4</f>
        <v>2Q19</v>
      </c>
      <c r="F27" s="1234" t="str">
        <f>IS!AK4</f>
        <v>3Q19</v>
      </c>
      <c r="G27" s="1234" t="str">
        <f>IS!AL4</f>
        <v>4Q19</v>
      </c>
      <c r="H27" s="1234" t="str">
        <f>IS!AN4</f>
        <v>1Q20</v>
      </c>
      <c r="I27" s="1234" t="str">
        <f>IS!AO4</f>
        <v>2Q20</v>
      </c>
      <c r="J27" s="1234" t="str">
        <f>IS!AP4</f>
        <v>3Q20</v>
      </c>
      <c r="K27" s="1234" t="str">
        <f>IS!AQ4</f>
        <v>4Q20</v>
      </c>
      <c r="L27" s="1234" t="str">
        <f>IS!AS4</f>
        <v>1Q21</v>
      </c>
      <c r="M27" s="1234" t="str">
        <f>IS!AT4</f>
        <v>2Q21</v>
      </c>
      <c r="N27" s="1234" t="str">
        <f>IS!AU4</f>
        <v>3Q21</v>
      </c>
      <c r="O27" s="1234" t="str">
        <f>IS!AV4</f>
        <v>4Q21</v>
      </c>
      <c r="P27" s="1234" t="str">
        <f>IS!AX4</f>
        <v>1Q22</v>
      </c>
      <c r="Q27" s="1234" t="str">
        <f>IS!AY4</f>
        <v>2Q22</v>
      </c>
      <c r="R27" s="1234" t="str">
        <f>IS!AZ4</f>
        <v>3Q22</v>
      </c>
      <c r="S27" s="1234" t="str">
        <f>IS!BA4</f>
        <v>4Q22</v>
      </c>
      <c r="T27" s="1234" t="str">
        <f>IS!BC4</f>
        <v>1Q23</v>
      </c>
      <c r="U27" s="1234" t="str">
        <f>IS!BD4</f>
        <v>2Q23</v>
      </c>
      <c r="V27" s="1234" t="str">
        <f>IS!BE4</f>
        <v>3Q23</v>
      </c>
      <c r="W27" s="1234" t="str">
        <f>IS!BF4</f>
        <v>4Q23</v>
      </c>
      <c r="X27" s="1234" t="str">
        <f>IS!BH4</f>
        <v>1Q24</v>
      </c>
      <c r="Y27" s="1234" t="str">
        <f>IS!BI4</f>
        <v>2Q24</v>
      </c>
      <c r="Z27" s="1234" t="str">
        <f>IS!BJ4</f>
        <v>3Q24</v>
      </c>
      <c r="AA27" s="1234" t="str">
        <f>IS!BK4</f>
        <v>4Q24</v>
      </c>
      <c r="AB27" s="1234" t="str">
        <f>IS!BM4</f>
        <v>1Q25</v>
      </c>
      <c r="AC27" s="1234" t="str">
        <f>IS!BN4</f>
        <v>2Q25</v>
      </c>
      <c r="AD27" s="1234" t="str">
        <f>IS!BO4</f>
        <v>3Q25</v>
      </c>
      <c r="AE27" s="1234" t="str">
        <f>IS!BP4</f>
        <v>4Q25</v>
      </c>
      <c r="AF27" s="1234" t="str">
        <f>IS!BR4</f>
        <v>1Q26</v>
      </c>
      <c r="AG27" t="s">
        <v>635</v>
      </c>
      <c r="AH27" t="s">
        <v>637</v>
      </c>
    </row>
    <row r="28" spans="3:34">
      <c r="C28" t="s">
        <v>59</v>
      </c>
      <c r="D28" s="1219">
        <f>IS!AI116</f>
        <v>168876</v>
      </c>
      <c r="E28" s="1219">
        <f>IS!AJ116</f>
        <v>172162</v>
      </c>
      <c r="F28" s="1219">
        <f>IS!AK116</f>
        <v>197984</v>
      </c>
      <c r="G28" s="1219">
        <f>IS!AL116</f>
        <v>262352</v>
      </c>
      <c r="H28" s="1219">
        <f>IS!AN116</f>
        <v>214955</v>
      </c>
      <c r="I28" s="1219">
        <f>IS!AO116</f>
        <v>252364</v>
      </c>
      <c r="J28" s="1219">
        <f>IS!AP116</f>
        <v>269399</v>
      </c>
      <c r="K28" s="1219">
        <f>IS!AQ116</f>
        <v>366921</v>
      </c>
      <c r="L28" s="1219">
        <f>IS!AS116</f>
        <v>342052</v>
      </c>
      <c r="M28" s="1219">
        <f>IS!AT116</f>
        <v>405695</v>
      </c>
      <c r="N28" s="1219">
        <f>IS!AU116</f>
        <v>440411</v>
      </c>
      <c r="O28" s="1219">
        <f>IS!AV116</f>
        <v>534934</v>
      </c>
      <c r="P28" s="1219">
        <f>IS!AX116</f>
        <v>527391</v>
      </c>
      <c r="Q28" s="1219">
        <f>IS!AY116</f>
        <v>595371</v>
      </c>
      <c r="R28" s="1219">
        <f>IS!AZ116</f>
        <v>565239</v>
      </c>
      <c r="S28" s="1219">
        <f>IS!BA116</f>
        <v>670126</v>
      </c>
      <c r="T28" s="1219">
        <f>IS!BC116</f>
        <v>613563</v>
      </c>
      <c r="U28" s="1219">
        <f>IS!BD116</f>
        <v>647724</v>
      </c>
      <c r="V28" s="1219">
        <f>IS!BE108</f>
        <v>659405</v>
      </c>
      <c r="W28" s="1219">
        <f>IS!BF108</f>
        <v>739044</v>
      </c>
      <c r="X28" s="1219">
        <f>IS!BH108</f>
        <v>674763</v>
      </c>
      <c r="Y28" s="1219">
        <f>IS!BI108</f>
        <v>711194</v>
      </c>
      <c r="Z28" s="1219">
        <f>IS!BJ108</f>
        <v>691806</v>
      </c>
      <c r="AA28" s="1219">
        <f>IS!BK108</f>
        <v>833068</v>
      </c>
      <c r="AB28" s="1219">
        <f>IS!BM108</f>
        <v>709538</v>
      </c>
      <c r="AC28" s="1219">
        <f>IS!BN108</f>
        <v>724508</v>
      </c>
      <c r="AD28" s="1219">
        <f>IS!BO108</f>
        <v>752307</v>
      </c>
      <c r="AE28" s="1219">
        <f>IS!BP108</f>
        <v>923206</v>
      </c>
      <c r="AF28" s="1219">
        <f>IS!BR108</f>
        <v>739612</v>
      </c>
      <c r="AG28" s="1219">
        <f>IS!BS108</f>
        <v>818031</v>
      </c>
      <c r="AH28" s="1219">
        <f>IS!BT108</f>
        <v>829459</v>
      </c>
    </row>
    <row r="29" spans="3:34">
      <c r="C29" t="s">
        <v>581</v>
      </c>
      <c r="D29" s="511">
        <f>IS!AI117</f>
        <v>0.33420765718077972</v>
      </c>
      <c r="E29" s="511">
        <f>IS!AJ117</f>
        <v>0.32345773917054244</v>
      </c>
      <c r="F29" s="511">
        <f>IS!AK117</f>
        <v>0.39697861321027639</v>
      </c>
      <c r="G29" s="511">
        <f>IS!AL117</f>
        <v>0.30679418210798959</v>
      </c>
      <c r="H29" s="511">
        <f>IS!AN117</f>
        <v>0.27285700750846775</v>
      </c>
      <c r="I29" s="511">
        <f>IS!AO117</f>
        <v>0.465851930158804</v>
      </c>
      <c r="J29" s="511">
        <f>IS!AP117</f>
        <v>0.36071096654275103</v>
      </c>
      <c r="K29" s="511">
        <f>IS!AQ117</f>
        <v>0.3985828200280539</v>
      </c>
      <c r="L29" s="511">
        <f>IS!AS117</f>
        <v>0.59127259193784742</v>
      </c>
      <c r="M29" s="511">
        <f>IS!AT117</f>
        <v>0.60757873547732633</v>
      </c>
      <c r="N29" s="511">
        <f>IS!AU117</f>
        <v>0.63479077502143655</v>
      </c>
      <c r="O29" s="511">
        <f>IS!AV117</f>
        <v>0.45789965687436807</v>
      </c>
      <c r="P29" s="511">
        <f>IS!AX117</f>
        <v>0.54184451486908425</v>
      </c>
      <c r="Q29" s="511">
        <f>IS!AY117</f>
        <v>0.46753349190894644</v>
      </c>
      <c r="R29" s="511">
        <f>IS!AZ117</f>
        <v>0.28343524571366285</v>
      </c>
      <c r="S29" s="511">
        <f>IS!BA117</f>
        <v>0.25272650457813484</v>
      </c>
      <c r="T29" s="511">
        <f>IS!BC117</f>
        <v>0.16339300443124749</v>
      </c>
      <c r="U29" s="511">
        <f>IS!BD117</f>
        <v>8.7933406229057098E-2</v>
      </c>
      <c r="V29" s="511">
        <f t="shared" ref="V29:AH29" si="0">V28/R28-1</f>
        <v>0.16659501555978973</v>
      </c>
      <c r="W29" s="511">
        <f t="shared" si="0"/>
        <v>0.10284334587823785</v>
      </c>
      <c r="X29" s="511">
        <f t="shared" si="0"/>
        <v>9.9745258433119321E-2</v>
      </c>
      <c r="Y29" s="511">
        <f t="shared" si="0"/>
        <v>9.7989267033489647E-2</v>
      </c>
      <c r="Z29" s="511">
        <f t="shared" si="0"/>
        <v>4.9136721741570133E-2</v>
      </c>
      <c r="AA29" s="511">
        <f t="shared" si="0"/>
        <v>0.12722381887952539</v>
      </c>
      <c r="AB29" s="511">
        <f t="shared" si="0"/>
        <v>5.1536613596181224E-2</v>
      </c>
      <c r="AC29" s="511">
        <f t="shared" si="0"/>
        <v>1.8720630376521719E-2</v>
      </c>
      <c r="AD29" s="511">
        <f t="shared" si="0"/>
        <v>8.7453708120484697E-2</v>
      </c>
      <c r="AE29" s="511">
        <f t="shared" si="0"/>
        <v>0.10820005089620532</v>
      </c>
      <c r="AF29" s="511">
        <f t="shared" si="0"/>
        <v>4.2385326790108424E-2</v>
      </c>
      <c r="AG29" s="511">
        <f t="shared" si="0"/>
        <v>0.12908484102314954</v>
      </c>
      <c r="AH29" s="511">
        <f t="shared" si="0"/>
        <v>0.10255387760581791</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E4BF-5722-4CBD-AD02-A27D67F5FAEB}">
  <dimension ref="A1:AI43"/>
  <sheetViews>
    <sheetView topLeftCell="A7" zoomScaleNormal="100" workbookViewId="0"/>
  </sheetViews>
  <sheetFormatPr defaultColWidth="8.5625" defaultRowHeight="14.25" outlineLevelCol="1"/>
  <cols>
    <col min="1" max="1" width="1.5625" style="695" customWidth="1"/>
    <col min="2" max="2" width="18.0625" style="695" customWidth="1" outlineLevel="1"/>
    <col min="3" max="3" width="8.5625" style="695" customWidth="1" outlineLevel="1"/>
    <col min="4" max="4" width="8.5625" style="695" customWidth="1"/>
    <col min="5" max="5" width="22.5625" style="696" bestFit="1" customWidth="1"/>
    <col min="6" max="9" width="8.5625" style="696" hidden="1" customWidth="1" outlineLevel="1"/>
    <col min="10" max="10" width="8.5625" style="696" collapsed="1"/>
    <col min="11" max="14" width="8.5625" style="696" hidden="1" customWidth="1" outlineLevel="1"/>
    <col min="15" max="15" width="8.5625" style="696" collapsed="1"/>
    <col min="16" max="19" width="8.5625" style="696" hidden="1" customWidth="1" outlineLevel="1"/>
    <col min="20" max="20" width="8.5625" style="696" collapsed="1"/>
    <col min="21" max="24" width="8.5625" style="696" hidden="1" customWidth="1" outlineLevel="1"/>
    <col min="25" max="25" width="8.5625" style="696" collapsed="1"/>
    <col min="26" max="26" width="9.5" style="696" customWidth="1"/>
    <col min="27" max="16384" width="8.5625" style="696"/>
  </cols>
  <sheetData>
    <row r="1" spans="1:35" ht="10.5" customHeight="1">
      <c r="E1" s="695"/>
      <c r="F1" s="695"/>
      <c r="G1" s="695"/>
      <c r="H1" s="695"/>
      <c r="I1" s="695"/>
      <c r="J1" s="695"/>
      <c r="K1" s="695"/>
      <c r="L1" s="695"/>
      <c r="M1" s="695"/>
      <c r="N1" s="695"/>
      <c r="O1" s="695"/>
      <c r="P1" s="695"/>
      <c r="Q1" s="695"/>
      <c r="R1" s="695"/>
      <c r="S1" s="695"/>
      <c r="T1" s="695"/>
      <c r="U1" s="695"/>
      <c r="V1" s="695"/>
      <c r="W1" s="695"/>
      <c r="X1" s="695"/>
      <c r="Y1" s="695"/>
      <c r="Z1" s="695"/>
      <c r="AA1" s="695"/>
      <c r="AB1" s="695"/>
      <c r="AC1" s="695"/>
      <c r="AD1" s="695"/>
      <c r="AE1" s="695"/>
      <c r="AF1" s="695"/>
      <c r="AG1" s="695"/>
      <c r="AH1" s="695"/>
    </row>
    <row r="2" spans="1:35" ht="14.55" customHeight="1">
      <c r="E2" s="695"/>
      <c r="F2" s="695"/>
      <c r="G2" s="695"/>
      <c r="H2" s="695"/>
      <c r="I2" s="695"/>
      <c r="J2" s="695"/>
      <c r="K2" s="695"/>
      <c r="L2" s="695"/>
      <c r="M2" s="695"/>
      <c r="N2" s="695"/>
      <c r="O2" s="695"/>
      <c r="P2" s="695"/>
      <c r="Q2" s="695"/>
      <c r="R2" s="695"/>
      <c r="S2" s="695"/>
      <c r="T2" s="695"/>
      <c r="U2" s="695"/>
      <c r="V2" s="695"/>
      <c r="W2" s="695"/>
      <c r="X2" s="695"/>
      <c r="Y2" s="695"/>
      <c r="Z2" s="695" t="s">
        <v>551</v>
      </c>
      <c r="AA2" s="695"/>
      <c r="AB2" s="695"/>
      <c r="AC2" s="695"/>
      <c r="AD2" s="695"/>
      <c r="AE2" s="695"/>
      <c r="AF2" s="695"/>
      <c r="AG2" s="695"/>
      <c r="AH2" s="695"/>
      <c r="AI2" s="695"/>
    </row>
    <row r="3" spans="1:35" ht="14.55" customHeight="1">
      <c r="B3" s="697" t="s">
        <v>418</v>
      </c>
      <c r="C3" s="795" t="s">
        <v>465</v>
      </c>
      <c r="E3" s="697" t="s">
        <v>419</v>
      </c>
      <c r="F3" s="698"/>
      <c r="G3" s="698"/>
      <c r="H3" s="698"/>
      <c r="I3" s="698"/>
      <c r="J3" s="698"/>
      <c r="K3" s="698"/>
      <c r="L3" s="698"/>
      <c r="M3" s="698"/>
      <c r="N3" s="698"/>
      <c r="O3" s="698"/>
      <c r="P3" s="698"/>
      <c r="Q3" s="698"/>
      <c r="R3" s="698"/>
      <c r="S3" s="698"/>
      <c r="T3" s="698"/>
      <c r="U3" s="698"/>
      <c r="V3" s="698"/>
      <c r="W3" s="698"/>
      <c r="X3" s="698"/>
      <c r="Y3" s="698"/>
      <c r="Z3" s="699"/>
      <c r="AA3" s="695"/>
      <c r="AB3" s="695"/>
      <c r="AC3" s="695"/>
      <c r="AD3" s="695"/>
      <c r="AE3" s="695"/>
      <c r="AF3" s="695"/>
      <c r="AG3" s="695"/>
      <c r="AH3" s="695"/>
      <c r="AI3" s="695"/>
    </row>
    <row r="4" spans="1:35" s="695" customFormat="1" ht="5.55" customHeight="1">
      <c r="B4" s="700"/>
      <c r="C4" s="701"/>
      <c r="E4" s="702"/>
      <c r="Z4" s="701"/>
    </row>
    <row r="5" spans="1:35" ht="14.55" customHeight="1">
      <c r="B5" s="700" t="s">
        <v>209</v>
      </c>
      <c r="C5" s="703" t="e">
        <f ca="1">_xll.FDSZ(C3,"P_PRICE(NOW)")</f>
        <v>#NAME?</v>
      </c>
      <c r="E5" s="704" t="s">
        <v>420</v>
      </c>
      <c r="F5" s="705"/>
      <c r="G5" s="705"/>
      <c r="H5" s="705"/>
      <c r="I5" s="705"/>
      <c r="J5" s="705">
        <v>44196</v>
      </c>
      <c r="K5" s="705"/>
      <c r="L5" s="705"/>
      <c r="M5" s="705"/>
      <c r="N5" s="705"/>
      <c r="O5" s="705">
        <f>J5+365</f>
        <v>44561</v>
      </c>
      <c r="P5" s="705"/>
      <c r="Q5" s="705"/>
      <c r="R5" s="705"/>
      <c r="S5" s="705"/>
      <c r="T5" s="706">
        <f>O5+365</f>
        <v>44926</v>
      </c>
      <c r="U5" s="707"/>
      <c r="V5" s="707"/>
      <c r="W5" s="707"/>
      <c r="X5" s="707"/>
      <c r="Y5" s="706">
        <f>T5+365</f>
        <v>45291</v>
      </c>
      <c r="Z5" s="708" t="s">
        <v>421</v>
      </c>
      <c r="AA5" s="695"/>
      <c r="AB5" s="695"/>
      <c r="AC5" s="695"/>
      <c r="AD5" s="695"/>
      <c r="AE5" s="695"/>
      <c r="AF5" s="695"/>
      <c r="AG5" s="695"/>
      <c r="AH5" s="695"/>
      <c r="AI5" s="695"/>
    </row>
    <row r="6" spans="1:35" ht="14.55" customHeight="1">
      <c r="B6" s="700" t="s">
        <v>422</v>
      </c>
      <c r="C6" s="709">
        <v>1000</v>
      </c>
      <c r="E6" s="700" t="s">
        <v>56</v>
      </c>
      <c r="F6" s="710"/>
      <c r="G6" s="710"/>
      <c r="H6" s="710"/>
      <c r="I6" s="710"/>
      <c r="J6" s="710">
        <f>IS!AR13/$C$6</f>
        <v>973.971</v>
      </c>
      <c r="K6" s="710"/>
      <c r="L6" s="710"/>
      <c r="M6" s="710"/>
      <c r="N6" s="710"/>
      <c r="O6" s="710">
        <f>IS!AW13/$C$6</f>
        <v>1453.047</v>
      </c>
      <c r="P6" s="710"/>
      <c r="Q6" s="710"/>
      <c r="R6" s="710"/>
      <c r="S6" s="710"/>
      <c r="T6" s="710">
        <f>IS!BB13/$C$6</f>
        <v>2107.2130000000002</v>
      </c>
      <c r="U6" s="695"/>
      <c r="V6" s="695"/>
      <c r="W6" s="695"/>
      <c r="X6" s="695"/>
      <c r="Y6" s="710">
        <f>IS!BG13/$C$6</f>
        <v>2515.915</v>
      </c>
      <c r="Z6" s="701"/>
      <c r="AA6" s="695"/>
      <c r="AB6" s="695"/>
      <c r="AC6" s="695"/>
      <c r="AD6" s="695"/>
      <c r="AE6" s="695"/>
      <c r="AF6" s="695"/>
      <c r="AG6" s="695"/>
      <c r="AH6" s="695"/>
      <c r="AI6" s="695"/>
    </row>
    <row r="7" spans="1:35">
      <c r="B7" s="712" t="s">
        <v>423</v>
      </c>
      <c r="C7" s="713">
        <f>IF($B$7="Bear ",C13,IF($B$7="Base",C14,IF($B$7="Bull",C15,"Check")))</f>
        <v>13</v>
      </c>
      <c r="E7" s="700" t="s">
        <v>424</v>
      </c>
      <c r="F7" s="710"/>
      <c r="G7" s="710"/>
      <c r="H7" s="710"/>
      <c r="I7" s="710"/>
      <c r="J7" s="710">
        <f>IS!AR23/$C$6</f>
        <v>767.60199999999998</v>
      </c>
      <c r="K7" s="710"/>
      <c r="L7" s="710"/>
      <c r="M7" s="710"/>
      <c r="N7" s="710"/>
      <c r="O7" s="710">
        <f>IS!AW23/$C$6</f>
        <v>1148.6030000000001</v>
      </c>
      <c r="P7" s="710"/>
      <c r="Q7" s="710"/>
      <c r="R7" s="710"/>
      <c r="S7" s="710"/>
      <c r="T7" s="710">
        <f>IS!BB23/$C$6</f>
        <v>1718.453</v>
      </c>
      <c r="U7" s="695"/>
      <c r="V7" s="695"/>
      <c r="W7" s="695"/>
      <c r="X7" s="695"/>
      <c r="Y7" s="710">
        <f>IS!BG23/$C$6</f>
        <v>2065.3879999999999</v>
      </c>
      <c r="Z7" s="701"/>
      <c r="AA7" s="695"/>
      <c r="AB7" s="695"/>
      <c r="AC7" s="695"/>
      <c r="AD7" s="695"/>
      <c r="AE7" s="695"/>
      <c r="AF7" s="695"/>
      <c r="AG7" s="695"/>
      <c r="AH7" s="695"/>
      <c r="AI7" s="695"/>
    </row>
    <row r="8" spans="1:35">
      <c r="B8" s="700" t="s">
        <v>425</v>
      </c>
      <c r="C8" s="714">
        <f>Z25</f>
        <v>159.99455273698266</v>
      </c>
      <c r="E8" s="700" t="s">
        <v>426</v>
      </c>
      <c r="F8" s="710"/>
      <c r="G8" s="710"/>
      <c r="H8" s="710"/>
      <c r="I8" s="710"/>
      <c r="J8" s="710">
        <f>IS!AR35/$C$6</f>
        <v>47.332000000000001</v>
      </c>
      <c r="K8" s="710"/>
      <c r="L8" s="710"/>
      <c r="M8" s="710"/>
      <c r="N8" s="710"/>
      <c r="O8" s="710">
        <f>IS!AW35/$C$6</f>
        <v>180.64400000000001</v>
      </c>
      <c r="P8" s="710"/>
      <c r="Q8" s="710"/>
      <c r="R8" s="710"/>
      <c r="S8" s="710"/>
      <c r="T8" s="710">
        <f>IS!BB35/$C$6</f>
        <v>418.93900000000002</v>
      </c>
      <c r="U8" s="695"/>
      <c r="V8" s="695"/>
      <c r="W8" s="695"/>
      <c r="X8" s="695"/>
      <c r="Y8" s="710">
        <f>IS!BG35/$C$6</f>
        <v>516.89</v>
      </c>
      <c r="Z8" s="701"/>
      <c r="AA8" s="695"/>
      <c r="AB8" s="695"/>
      <c r="AC8" s="695"/>
      <c r="AD8" s="695"/>
      <c r="AE8" s="695"/>
      <c r="AF8" s="695"/>
      <c r="AG8" s="695"/>
      <c r="AH8" s="695"/>
      <c r="AI8" s="695"/>
    </row>
    <row r="9" spans="1:35">
      <c r="B9" s="715" t="s">
        <v>427</v>
      </c>
      <c r="C9" s="716" t="e">
        <f ca="1">C8/C5-1</f>
        <v>#NAME?</v>
      </c>
      <c r="E9" s="700" t="s">
        <v>428</v>
      </c>
      <c r="F9" s="710"/>
      <c r="G9" s="710"/>
      <c r="H9" s="710"/>
      <c r="I9" s="710"/>
      <c r="J9" s="710">
        <f>IS!AR57/$C$6</f>
        <v>77.929000000000002</v>
      </c>
      <c r="K9" s="710"/>
      <c r="L9" s="710"/>
      <c r="M9" s="710"/>
      <c r="N9" s="710"/>
      <c r="O9" s="710">
        <f>IS!AW57/$C$6</f>
        <v>153.14099999999999</v>
      </c>
      <c r="P9" s="710"/>
      <c r="Q9" s="710"/>
      <c r="R9" s="710"/>
      <c r="S9" s="710"/>
      <c r="T9" s="710">
        <f>IS!BB57/$C$6</f>
        <v>500.85199999999998</v>
      </c>
      <c r="U9" s="695"/>
      <c r="V9" s="695"/>
      <c r="W9" s="695"/>
      <c r="X9" s="695"/>
      <c r="Y9" s="710">
        <f>IS!BG57/$C$6</f>
        <v>603.14499999999998</v>
      </c>
      <c r="Z9" s="701"/>
      <c r="AA9" s="695"/>
      <c r="AB9" s="695"/>
      <c r="AC9" s="695"/>
      <c r="AD9" s="695"/>
      <c r="AE9" s="695"/>
      <c r="AF9" s="695"/>
      <c r="AG9" s="695"/>
      <c r="AH9" s="695"/>
      <c r="AI9" s="695"/>
    </row>
    <row r="10" spans="1:35" s="721" customFormat="1" ht="14.55" customHeight="1">
      <c r="A10" s="717"/>
      <c r="B10" s="717"/>
      <c r="C10" s="717"/>
      <c r="D10" s="717"/>
      <c r="E10" s="718" t="s">
        <v>75</v>
      </c>
      <c r="F10" s="719"/>
      <c r="G10" s="719"/>
      <c r="H10" s="719"/>
      <c r="I10" s="719"/>
      <c r="J10" s="796">
        <f>IS!AR74</f>
        <v>0.30861210785251664</v>
      </c>
      <c r="K10" s="719"/>
      <c r="L10" s="719"/>
      <c r="M10" s="719"/>
      <c r="N10" s="719"/>
      <c r="O10" s="796">
        <f>IS!AW74</f>
        <v>0.89495468248279109</v>
      </c>
      <c r="P10" s="719"/>
      <c r="Q10" s="719"/>
      <c r="R10" s="719"/>
      <c r="S10" s="719"/>
      <c r="T10" s="796">
        <f>IS!BB74</f>
        <v>1.9760687215279256</v>
      </c>
      <c r="U10" s="717"/>
      <c r="V10" s="717"/>
      <c r="W10" s="717"/>
      <c r="X10" s="717"/>
      <c r="Y10" s="796">
        <f>IS!BG74</f>
        <v>2.0349497586594212</v>
      </c>
      <c r="Z10" s="720"/>
      <c r="AA10" s="717"/>
      <c r="AB10" s="717"/>
      <c r="AC10" s="717"/>
      <c r="AD10" s="717"/>
      <c r="AE10" s="717"/>
      <c r="AF10" s="717"/>
      <c r="AG10" s="717"/>
      <c r="AH10" s="717"/>
      <c r="AI10" s="717"/>
    </row>
    <row r="11" spans="1:35" s="721" customFormat="1" ht="20.25" customHeight="1">
      <c r="A11" s="717"/>
      <c r="B11" s="717"/>
      <c r="C11" s="717"/>
      <c r="D11" s="717"/>
      <c r="E11" s="718" t="s">
        <v>110</v>
      </c>
      <c r="F11" s="722"/>
      <c r="G11" s="722"/>
      <c r="H11" s="722"/>
      <c r="I11" s="722"/>
      <c r="J11" s="722">
        <f>CF!AR48/$C$6</f>
        <v>43.65</v>
      </c>
      <c r="K11" s="722"/>
      <c r="L11" s="722"/>
      <c r="M11" s="722"/>
      <c r="N11" s="722"/>
      <c r="O11" s="722">
        <f>CF!AW48/$C$6</f>
        <v>214.559</v>
      </c>
      <c r="P11" s="722"/>
      <c r="Q11" s="722"/>
      <c r="R11" s="722"/>
      <c r="S11" s="722"/>
      <c r="T11" s="722">
        <f>CF!BB48/$C$6</f>
        <v>445.07400000000001</v>
      </c>
      <c r="U11" s="717"/>
      <c r="V11" s="717"/>
      <c r="W11" s="717"/>
      <c r="X11" s="717"/>
      <c r="Y11" s="722">
        <f>CF!BG48/$C$6</f>
        <v>429.10500000000002</v>
      </c>
      <c r="Z11" s="720"/>
      <c r="AA11" s="717"/>
      <c r="AB11" s="717"/>
      <c r="AC11" s="717"/>
      <c r="AD11" s="717"/>
      <c r="AE11" s="717"/>
      <c r="AF11" s="717"/>
      <c r="AG11" s="717"/>
      <c r="AH11" s="717"/>
      <c r="AI11" s="717"/>
    </row>
    <row r="12" spans="1:35">
      <c r="B12" s="697" t="s">
        <v>429</v>
      </c>
      <c r="C12" s="699"/>
      <c r="E12" s="704" t="s">
        <v>430</v>
      </c>
      <c r="F12" s="707"/>
      <c r="G12" s="707"/>
      <c r="H12" s="707"/>
      <c r="I12" s="707"/>
      <c r="J12" s="707"/>
      <c r="K12" s="707"/>
      <c r="L12" s="707"/>
      <c r="M12" s="707"/>
      <c r="N12" s="707"/>
      <c r="O12" s="707"/>
      <c r="P12" s="707"/>
      <c r="Q12" s="707"/>
      <c r="R12" s="707"/>
      <c r="S12" s="707"/>
      <c r="T12" s="707"/>
      <c r="U12" s="707"/>
      <c r="V12" s="707"/>
      <c r="W12" s="707"/>
      <c r="X12" s="707"/>
      <c r="Y12" s="707"/>
      <c r="Z12" s="723"/>
      <c r="AA12" s="695"/>
      <c r="AB12" s="695"/>
      <c r="AC12" s="695"/>
      <c r="AD12" s="695"/>
      <c r="AE12" s="695"/>
      <c r="AF12" s="695"/>
      <c r="AG12" s="695"/>
      <c r="AH12" s="695"/>
      <c r="AI12" s="695"/>
    </row>
    <row r="13" spans="1:35">
      <c r="B13" s="724" t="s">
        <v>431</v>
      </c>
      <c r="C13" s="725">
        <v>10</v>
      </c>
      <c r="E13" s="700" t="s">
        <v>432</v>
      </c>
      <c r="F13" s="726"/>
      <c r="G13" s="726"/>
      <c r="H13" s="726"/>
      <c r="I13" s="726"/>
      <c r="J13" s="726" t="e">
        <f ca="1">J24/J6</f>
        <v>#NAME?</v>
      </c>
      <c r="K13" s="726"/>
      <c r="L13" s="726"/>
      <c r="M13" s="726"/>
      <c r="N13" s="726"/>
      <c r="O13" s="726" t="e">
        <f ca="1">O24/O6</f>
        <v>#NAME?</v>
      </c>
      <c r="P13" s="726"/>
      <c r="Q13" s="726"/>
      <c r="R13" s="726"/>
      <c r="S13" s="726"/>
      <c r="T13" s="726" t="e">
        <f ca="1">T24/T6</f>
        <v>#NAME?</v>
      </c>
      <c r="U13" s="726"/>
      <c r="V13" s="726"/>
      <c r="W13" s="726"/>
      <c r="X13" s="726"/>
      <c r="Y13" s="726" t="e">
        <f ca="1">Y24/Y6</f>
        <v>#NAME?</v>
      </c>
      <c r="Z13" s="727">
        <f>C14</f>
        <v>13</v>
      </c>
      <c r="AA13" s="695"/>
      <c r="AB13" s="695"/>
      <c r="AC13" s="695"/>
      <c r="AD13" s="695"/>
      <c r="AE13" s="695"/>
      <c r="AF13" s="695"/>
      <c r="AG13" s="695"/>
      <c r="AH13" s="695"/>
      <c r="AI13" s="695"/>
    </row>
    <row r="14" spans="1:35">
      <c r="B14" s="700" t="s">
        <v>423</v>
      </c>
      <c r="C14" s="728">
        <v>13</v>
      </c>
      <c r="E14" s="700" t="s">
        <v>433</v>
      </c>
      <c r="F14" s="726"/>
      <c r="G14" s="726"/>
      <c r="H14" s="726"/>
      <c r="I14" s="726"/>
      <c r="J14" s="726" t="e">
        <f ca="1">J24/J7</f>
        <v>#NAME?</v>
      </c>
      <c r="K14" s="726"/>
      <c r="L14" s="726"/>
      <c r="M14" s="726"/>
      <c r="N14" s="726"/>
      <c r="O14" s="726" t="e">
        <f ca="1">O24/O7</f>
        <v>#NAME?</v>
      </c>
      <c r="P14" s="726"/>
      <c r="Q14" s="726"/>
      <c r="R14" s="726"/>
      <c r="S14" s="726"/>
      <c r="T14" s="726" t="e">
        <f ca="1">T24/T7</f>
        <v>#NAME?</v>
      </c>
      <c r="U14" s="726"/>
      <c r="V14" s="726"/>
      <c r="W14" s="726"/>
      <c r="X14" s="726"/>
      <c r="Y14" s="726" t="e">
        <f ca="1">Y24/Y7</f>
        <v>#NAME?</v>
      </c>
      <c r="Z14" s="729">
        <f>Z24/T7</f>
        <v>19.03275504188942</v>
      </c>
      <c r="AA14" s="695"/>
      <c r="AB14" s="695"/>
      <c r="AC14" s="695"/>
      <c r="AD14" s="695"/>
      <c r="AE14" s="695"/>
      <c r="AF14" s="695"/>
      <c r="AG14" s="695"/>
      <c r="AH14" s="695"/>
      <c r="AI14" s="695"/>
    </row>
    <row r="15" spans="1:35">
      <c r="B15" s="715" t="s">
        <v>434</v>
      </c>
      <c r="C15" s="730">
        <v>15</v>
      </c>
      <c r="E15" s="700" t="s">
        <v>435</v>
      </c>
      <c r="F15" s="726"/>
      <c r="G15" s="726"/>
      <c r="H15" s="726"/>
      <c r="I15" s="726"/>
      <c r="J15" s="726" t="e">
        <f ca="1">IF(J8&gt;0, J24/J8, "NM ")</f>
        <v>#NAME?</v>
      </c>
      <c r="K15" s="726"/>
      <c r="L15" s="726"/>
      <c r="M15" s="726"/>
      <c r="N15" s="726"/>
      <c r="O15" s="726" t="e">
        <f ca="1">IF(O8&gt;0, O24/O8, "NM ")</f>
        <v>#NAME?</v>
      </c>
      <c r="P15" s="726"/>
      <c r="Q15" s="726"/>
      <c r="R15" s="726"/>
      <c r="S15" s="726"/>
      <c r="T15" s="726" t="e">
        <f ca="1">IF(T8&gt;0, T24/T8, "NM ")</f>
        <v>#NAME?</v>
      </c>
      <c r="U15" s="726"/>
      <c r="V15" s="726"/>
      <c r="W15" s="726"/>
      <c r="X15" s="726"/>
      <c r="Y15" s="726" t="e">
        <f ca="1">IF(Y8&gt;0, Y24/Y8, "NM ")</f>
        <v>#NAME?</v>
      </c>
      <c r="Z15" s="729">
        <f>Z24/T8</f>
        <v>78.070781187714672</v>
      </c>
      <c r="AA15" s="695"/>
      <c r="AB15" s="695"/>
      <c r="AC15" s="695"/>
      <c r="AD15" s="695"/>
      <c r="AE15" s="695"/>
      <c r="AF15" s="695"/>
      <c r="AG15" s="695"/>
      <c r="AH15" s="695"/>
      <c r="AI15" s="695"/>
    </row>
    <row r="16" spans="1:35">
      <c r="E16" s="700" t="s">
        <v>436</v>
      </c>
      <c r="F16" s="726"/>
      <c r="G16" s="726"/>
      <c r="H16" s="726"/>
      <c r="I16" s="726"/>
      <c r="J16" s="726" t="e">
        <f ca="1">IF(J9&gt;0, J24/J9, "NM ")</f>
        <v>#NAME?</v>
      </c>
      <c r="K16" s="726"/>
      <c r="L16" s="726"/>
      <c r="M16" s="726"/>
      <c r="N16" s="726"/>
      <c r="O16" s="726" t="e">
        <f ca="1">IF(O9&gt;0, O24/O9, "NM ")</f>
        <v>#NAME?</v>
      </c>
      <c r="P16" s="726"/>
      <c r="Q16" s="726"/>
      <c r="R16" s="726"/>
      <c r="S16" s="726"/>
      <c r="T16" s="726" t="e">
        <f ca="1">IF(T9&gt;0, T24/T9, "NM ")</f>
        <v>#NAME?</v>
      </c>
      <c r="U16" s="726"/>
      <c r="V16" s="726"/>
      <c r="W16" s="726"/>
      <c r="X16" s="726"/>
      <c r="Y16" s="726" t="e">
        <f ca="1">IF(Y9&gt;0, Y24/Y9, "NM ")</f>
        <v>#NAME?</v>
      </c>
      <c r="Z16" s="729">
        <f>Z24/T9</f>
        <v>65.302514515265997</v>
      </c>
      <c r="AA16" s="695"/>
      <c r="AB16" s="695"/>
      <c r="AC16" s="695"/>
      <c r="AD16" s="695"/>
      <c r="AE16" s="695"/>
      <c r="AF16" s="695"/>
      <c r="AG16" s="695"/>
      <c r="AH16" s="695"/>
      <c r="AI16" s="695"/>
    </row>
    <row r="17" spans="1:35" s="721" customFormat="1" ht="14.55" customHeight="1">
      <c r="A17" s="717"/>
      <c r="B17" s="717"/>
      <c r="C17" s="717"/>
      <c r="D17" s="717"/>
      <c r="E17" s="718" t="s">
        <v>437</v>
      </c>
      <c r="F17" s="731"/>
      <c r="G17" s="731"/>
      <c r="H17" s="731"/>
      <c r="I17" s="731"/>
      <c r="J17" s="731" t="e">
        <f ca="1">IF(J10&gt;0, $C$5/J10, "NM ")</f>
        <v>#NAME?</v>
      </c>
      <c r="K17" s="731"/>
      <c r="L17" s="731"/>
      <c r="M17" s="731"/>
      <c r="N17" s="731"/>
      <c r="O17" s="731" t="e">
        <f ca="1">IF(O10&gt;0, $C$5/O10, "NM ")</f>
        <v>#NAME?</v>
      </c>
      <c r="P17" s="731"/>
      <c r="Q17" s="731"/>
      <c r="R17" s="731"/>
      <c r="S17" s="731"/>
      <c r="T17" s="731" t="e">
        <f ca="1">IF(T10&gt;0, $C$5/T10, "NM ")</f>
        <v>#NAME?</v>
      </c>
      <c r="U17" s="731"/>
      <c r="V17" s="731"/>
      <c r="W17" s="731"/>
      <c r="X17" s="731"/>
      <c r="Y17" s="731" t="e">
        <f ca="1">IF(Y10&gt;0, $C$5/Y10, "NM ")</f>
        <v>#NAME?</v>
      </c>
      <c r="Z17" s="732">
        <f>Z25/T10</f>
        <v>80.966087360196923</v>
      </c>
      <c r="AA17" s="717"/>
      <c r="AB17" s="717"/>
      <c r="AC17" s="717"/>
      <c r="AD17" s="717"/>
      <c r="AE17" s="717"/>
      <c r="AF17" s="717"/>
      <c r="AG17" s="717"/>
      <c r="AH17" s="717"/>
      <c r="AI17" s="717"/>
    </row>
    <row r="18" spans="1:35" s="721" customFormat="1" ht="20.25" customHeight="1">
      <c r="A18" s="717"/>
      <c r="B18" s="717"/>
      <c r="C18" s="717"/>
      <c r="D18" s="717"/>
      <c r="E18" s="718" t="s">
        <v>45</v>
      </c>
      <c r="F18" s="731"/>
      <c r="G18" s="731"/>
      <c r="H18" s="731"/>
      <c r="I18" s="731"/>
      <c r="J18" s="731" t="e">
        <f ca="1">IF(J11&gt;0, J24/J11, "NM ")</f>
        <v>#NAME?</v>
      </c>
      <c r="K18" s="731"/>
      <c r="L18" s="731"/>
      <c r="M18" s="731"/>
      <c r="N18" s="731"/>
      <c r="O18" s="731" t="e">
        <f ca="1">IF(O11&gt;0, O24/O11, "NM ")</f>
        <v>#NAME?</v>
      </c>
      <c r="P18" s="731"/>
      <c r="Q18" s="731"/>
      <c r="R18" s="731"/>
      <c r="S18" s="731"/>
      <c r="T18" s="731" t="e">
        <f ca="1">IF(T11&gt;0, T24/T11, "NM ")</f>
        <v>#NAME?</v>
      </c>
      <c r="U18" s="731"/>
      <c r="V18" s="731"/>
      <c r="W18" s="731"/>
      <c r="X18" s="731"/>
      <c r="Y18" s="731" t="e">
        <f ca="1">IF(Y11&gt;0, Y24/Y11, "NM ")</f>
        <v>#NAME?</v>
      </c>
      <c r="Z18" s="732">
        <f>Z24/T11</f>
        <v>73.486420235736077</v>
      </c>
      <c r="AA18" s="717"/>
      <c r="AB18" s="717"/>
      <c r="AC18" s="717"/>
      <c r="AD18" s="717"/>
      <c r="AE18" s="717"/>
      <c r="AF18" s="717"/>
      <c r="AG18" s="717"/>
      <c r="AH18" s="717"/>
      <c r="AI18" s="717"/>
    </row>
    <row r="19" spans="1:35">
      <c r="B19" s="697" t="s">
        <v>438</v>
      </c>
      <c r="C19" s="699"/>
      <c r="E19" s="704" t="s">
        <v>439</v>
      </c>
      <c r="F19" s="707"/>
      <c r="G19" s="707"/>
      <c r="H19" s="707"/>
      <c r="I19" s="707"/>
      <c r="J19" s="707"/>
      <c r="K19" s="707"/>
      <c r="L19" s="707"/>
      <c r="M19" s="707"/>
      <c r="N19" s="707"/>
      <c r="O19" s="707"/>
      <c r="P19" s="707"/>
      <c r="Q19" s="707"/>
      <c r="R19" s="707"/>
      <c r="S19" s="707"/>
      <c r="T19" s="707"/>
      <c r="U19" s="707"/>
      <c r="V19" s="707"/>
      <c r="W19" s="707"/>
      <c r="X19" s="707"/>
      <c r="Y19" s="707"/>
      <c r="Z19" s="723"/>
      <c r="AA19" s="695"/>
      <c r="AB19" s="695"/>
      <c r="AC19" s="695"/>
      <c r="AD19" s="695"/>
      <c r="AE19" s="695"/>
      <c r="AF19" s="695"/>
      <c r="AG19" s="695"/>
      <c r="AH19" s="695"/>
      <c r="AI19" s="695"/>
    </row>
    <row r="20" spans="1:35">
      <c r="B20" s="700" t="s">
        <v>19</v>
      </c>
      <c r="C20" s="733">
        <f>IS!BC84/V!$C$6</f>
        <v>967.61500000000001</v>
      </c>
      <c r="E20" s="700" t="s">
        <v>19</v>
      </c>
      <c r="F20" s="710"/>
      <c r="G20" s="710"/>
      <c r="H20" s="710"/>
      <c r="I20" s="710"/>
      <c r="J20" s="711">
        <f>(BS!AR6+BS!AR7)/V!$C$6</f>
        <v>656.14200000000005</v>
      </c>
      <c r="K20" s="710"/>
      <c r="L20" s="710"/>
      <c r="M20" s="710"/>
      <c r="N20" s="710"/>
      <c r="O20" s="711">
        <f>(BS!AW6+BS!AW7)/V!$C$6</f>
        <v>773.505</v>
      </c>
      <c r="P20" s="710"/>
      <c r="Q20" s="710"/>
      <c r="R20" s="710"/>
      <c r="S20" s="710"/>
      <c r="T20" s="711">
        <f>(BS!BB6+BS!BB7)/V!$C$6</f>
        <v>802.822</v>
      </c>
      <c r="U20" s="695"/>
      <c r="V20" s="695"/>
      <c r="W20" s="695"/>
      <c r="X20" s="695"/>
      <c r="Y20" s="711">
        <f>(BS!BG6+BS!BG7)/V!$C$6</f>
        <v>1031.6659999999999</v>
      </c>
      <c r="Z20" s="734">
        <f>C20</f>
        <v>967.61500000000001</v>
      </c>
      <c r="AA20" s="695"/>
      <c r="AB20" s="695"/>
      <c r="AC20" s="695"/>
      <c r="AD20" s="695"/>
      <c r="AE20" s="695"/>
      <c r="AF20" s="695"/>
      <c r="AG20" s="695"/>
      <c r="AH20" s="695"/>
      <c r="AI20" s="695"/>
    </row>
    <row r="21" spans="1:35">
      <c r="B21" s="700" t="s">
        <v>211</v>
      </c>
      <c r="C21" s="735">
        <f>IS!BC85/V!$C$6</f>
        <v>719.63199999999995</v>
      </c>
      <c r="E21" s="700" t="s">
        <v>211</v>
      </c>
      <c r="F21" s="710"/>
      <c r="G21" s="710"/>
      <c r="H21" s="710"/>
      <c r="I21" s="710"/>
      <c r="J21" s="736">
        <f>(BS!AR27+BS!AR33)/V!$C$6</f>
        <v>465.32100000000003</v>
      </c>
      <c r="K21" s="737"/>
      <c r="L21" s="737"/>
      <c r="M21" s="737"/>
      <c r="N21" s="737"/>
      <c r="O21" s="736">
        <f>(BS!AW27+BS!AW33)/V!$C$6</f>
        <v>713.68799999999999</v>
      </c>
      <c r="P21" s="737"/>
      <c r="Q21" s="737"/>
      <c r="R21" s="737"/>
      <c r="S21" s="737"/>
      <c r="T21" s="736">
        <f>(BS!BB27+BS!BB33)/V!$C$6</f>
        <v>718.48699999999997</v>
      </c>
      <c r="U21" s="738"/>
      <c r="V21" s="738"/>
      <c r="W21" s="738"/>
      <c r="X21" s="738"/>
      <c r="Y21" s="736">
        <f>(BS!BG27+BS!BG33)/V!$C$6</f>
        <v>722.88699999999994</v>
      </c>
      <c r="Z21" s="734">
        <f>C21</f>
        <v>719.63199999999995</v>
      </c>
      <c r="AA21" s="695"/>
      <c r="AB21" s="695"/>
      <c r="AC21" s="695"/>
      <c r="AD21" s="695"/>
      <c r="AE21" s="695"/>
      <c r="AF21" s="695"/>
      <c r="AG21" s="695"/>
      <c r="AH21" s="695"/>
      <c r="AI21" s="695"/>
    </row>
    <row r="22" spans="1:35" ht="14.55" customHeight="1">
      <c r="B22" s="700" t="s">
        <v>440</v>
      </c>
      <c r="C22" s="739">
        <f>IS!BC80/V!$C$6</f>
        <v>205.97499999999999</v>
      </c>
      <c r="E22" s="700" t="s">
        <v>440</v>
      </c>
      <c r="F22" s="740"/>
      <c r="G22" s="740"/>
      <c r="H22" s="740"/>
      <c r="I22" s="740"/>
      <c r="J22" s="741">
        <f>IS!AR80/V!$C$6</f>
        <v>190.76050000000001</v>
      </c>
      <c r="K22" s="740"/>
      <c r="L22" s="740"/>
      <c r="M22" s="740"/>
      <c r="N22" s="740"/>
      <c r="O22" s="741">
        <f>IS!AW80/V!$C$6</f>
        <v>203.67400000000001</v>
      </c>
      <c r="P22" s="740"/>
      <c r="Q22" s="740"/>
      <c r="R22" s="740"/>
      <c r="S22" s="740"/>
      <c r="T22" s="741">
        <f>IS!BB80/V!$C$6</f>
        <v>207.82425000000001</v>
      </c>
      <c r="U22" s="740"/>
      <c r="V22" s="740"/>
      <c r="W22" s="740"/>
      <c r="X22" s="740"/>
      <c r="Y22" s="741">
        <f>IS!BG80/V!$C$6</f>
        <v>205.88124999999999</v>
      </c>
      <c r="Z22" s="742">
        <f>C22</f>
        <v>205.97499999999999</v>
      </c>
      <c r="AA22" s="695"/>
      <c r="AB22" s="695"/>
      <c r="AC22" s="695"/>
      <c r="AD22" s="695"/>
      <c r="AE22" s="695"/>
      <c r="AF22" s="695"/>
      <c r="AG22" s="695"/>
      <c r="AH22" s="695"/>
      <c r="AI22" s="695"/>
    </row>
    <row r="23" spans="1:35" ht="14.55" customHeight="1">
      <c r="B23" s="700" t="s">
        <v>441</v>
      </c>
      <c r="C23" s="733" t="e">
        <f ca="1">C22*C5</f>
        <v>#NAME?</v>
      </c>
      <c r="E23" s="700" t="s">
        <v>442</v>
      </c>
      <c r="F23" s="711"/>
      <c r="G23" s="711"/>
      <c r="H23" s="711"/>
      <c r="I23" s="711"/>
      <c r="J23" s="711" t="e">
        <f ca="1">J22*$C$5</f>
        <v>#NAME?</v>
      </c>
      <c r="K23" s="711"/>
      <c r="L23" s="711"/>
      <c r="M23" s="711"/>
      <c r="N23" s="711"/>
      <c r="O23" s="711" t="e">
        <f ca="1">O22*$C$5</f>
        <v>#NAME?</v>
      </c>
      <c r="P23" s="711"/>
      <c r="Q23" s="711"/>
      <c r="R23" s="711"/>
      <c r="S23" s="711"/>
      <c r="T23" s="711" t="e">
        <f ca="1">T22*$C$5</f>
        <v>#NAME?</v>
      </c>
      <c r="U23" s="711"/>
      <c r="V23" s="711"/>
      <c r="W23" s="711"/>
      <c r="X23" s="711"/>
      <c r="Y23" s="711" t="e">
        <f ca="1">Y22*$C$5</f>
        <v>#NAME?</v>
      </c>
      <c r="Z23" s="733">
        <f>Z24+Z20-Z21</f>
        <v>32954.878000000004</v>
      </c>
      <c r="AA23" s="695"/>
      <c r="AB23" s="695"/>
      <c r="AC23" s="695"/>
      <c r="AD23" s="695"/>
      <c r="AE23" s="695"/>
      <c r="AF23" s="695"/>
      <c r="AG23" s="695"/>
      <c r="AH23" s="695"/>
      <c r="AI23" s="695"/>
    </row>
    <row r="24" spans="1:35" ht="14.55" customHeight="1">
      <c r="B24" s="715" t="s">
        <v>443</v>
      </c>
      <c r="C24" s="743" t="e">
        <f ca="1">C23-C20</f>
        <v>#NAME?</v>
      </c>
      <c r="E24" s="718" t="s">
        <v>444</v>
      </c>
      <c r="F24" s="744"/>
      <c r="G24" s="744"/>
      <c r="H24" s="744"/>
      <c r="I24" s="744"/>
      <c r="J24" s="744" t="e">
        <f ca="1">J23-J20+J21</f>
        <v>#NAME?</v>
      </c>
      <c r="K24" s="744"/>
      <c r="L24" s="744"/>
      <c r="M24" s="744"/>
      <c r="N24" s="744"/>
      <c r="O24" s="744" t="e">
        <f ca="1">O23-O20+O21</f>
        <v>#NAME?</v>
      </c>
      <c r="P24" s="744"/>
      <c r="Q24" s="744"/>
      <c r="R24" s="744"/>
      <c r="S24" s="744"/>
      <c r="T24" s="744" t="e">
        <f ca="1">T23-T20+T21</f>
        <v>#NAME?</v>
      </c>
      <c r="U24" s="744"/>
      <c r="V24" s="744"/>
      <c r="W24" s="744"/>
      <c r="X24" s="744"/>
      <c r="Y24" s="744" t="e">
        <f ca="1">Y23-Y20+Y21</f>
        <v>#NAME?</v>
      </c>
      <c r="Z24" s="745">
        <f>Z13*Y6</f>
        <v>32706.895</v>
      </c>
      <c r="AA24" s="695"/>
      <c r="AB24" s="695"/>
      <c r="AC24" s="695"/>
      <c r="AD24" s="695"/>
      <c r="AE24" s="695"/>
      <c r="AF24" s="695"/>
      <c r="AG24" s="695"/>
      <c r="AH24" s="695"/>
      <c r="AI24" s="695"/>
    </row>
    <row r="25" spans="1:35" ht="14.65" thickBot="1">
      <c r="E25" s="746" t="s">
        <v>210</v>
      </c>
      <c r="F25" s="747"/>
      <c r="G25" s="747"/>
      <c r="H25" s="747"/>
      <c r="I25" s="747"/>
      <c r="J25" s="747"/>
      <c r="K25" s="747"/>
      <c r="L25" s="747"/>
      <c r="M25" s="747"/>
      <c r="N25" s="747"/>
      <c r="O25" s="747"/>
      <c r="P25" s="747"/>
      <c r="Q25" s="747"/>
      <c r="R25" s="747"/>
      <c r="S25" s="747"/>
      <c r="T25" s="747"/>
      <c r="U25" s="747"/>
      <c r="V25" s="747"/>
      <c r="W25" s="747"/>
      <c r="X25" s="747"/>
      <c r="Y25" s="747"/>
      <c r="Z25" s="748">
        <f>Z23/Z22</f>
        <v>159.99455273698266</v>
      </c>
      <c r="AA25" s="695"/>
      <c r="AB25" s="695"/>
      <c r="AC25" s="695"/>
      <c r="AD25" s="695"/>
      <c r="AE25" s="695"/>
      <c r="AF25" s="695"/>
      <c r="AG25" s="695"/>
      <c r="AH25" s="695"/>
      <c r="AI25" s="695"/>
    </row>
    <row r="26" spans="1:35">
      <c r="E26" s="695"/>
      <c r="F26" s="711"/>
      <c r="G26" s="711"/>
      <c r="H26" s="711"/>
      <c r="I26" s="711"/>
      <c r="J26" s="711"/>
      <c r="K26" s="711"/>
      <c r="L26" s="711"/>
      <c r="M26" s="711"/>
      <c r="N26" s="711"/>
      <c r="O26" s="711"/>
      <c r="P26" s="711"/>
      <c r="Q26" s="711"/>
      <c r="R26" s="711"/>
      <c r="S26" s="711"/>
      <c r="T26" s="711"/>
      <c r="U26" s="711"/>
      <c r="V26" s="711"/>
      <c r="W26" s="711"/>
      <c r="X26" s="711"/>
      <c r="Y26" s="711"/>
      <c r="Z26" s="695"/>
      <c r="AA26" s="695"/>
      <c r="AB26" s="695"/>
      <c r="AC26" s="695"/>
      <c r="AD26" s="695"/>
      <c r="AE26" s="695"/>
      <c r="AF26" s="695"/>
      <c r="AG26" s="695"/>
      <c r="AH26" s="695"/>
      <c r="AI26" s="695"/>
    </row>
    <row r="27" spans="1:35">
      <c r="E27" s="695"/>
      <c r="F27" s="711"/>
      <c r="G27" s="711"/>
      <c r="H27" s="711"/>
      <c r="I27" s="711"/>
      <c r="J27" s="711"/>
      <c r="K27" s="711"/>
      <c r="L27" s="711"/>
      <c r="M27" s="711"/>
      <c r="N27" s="711"/>
      <c r="O27" s="711"/>
      <c r="P27" s="711"/>
      <c r="Q27" s="711"/>
      <c r="R27" s="711"/>
      <c r="S27" s="711"/>
      <c r="T27" s="711"/>
      <c r="U27" s="711"/>
      <c r="V27" s="711"/>
      <c r="W27" s="711"/>
      <c r="X27" s="711"/>
      <c r="Y27" s="711"/>
      <c r="Z27" s="695"/>
      <c r="AA27" s="695"/>
      <c r="AB27" s="695"/>
      <c r="AC27" s="695"/>
      <c r="AD27" s="695"/>
      <c r="AE27" s="695"/>
      <c r="AF27" s="695"/>
      <c r="AG27" s="695"/>
      <c r="AH27" s="695"/>
      <c r="AI27" s="695"/>
    </row>
    <row r="28" spans="1:35">
      <c r="B28" s="696"/>
      <c r="C28" s="696"/>
      <c r="E28" s="695" t="s">
        <v>56</v>
      </c>
      <c r="F28" s="695"/>
      <c r="G28" s="695"/>
      <c r="H28" s="695"/>
      <c r="I28" s="695"/>
      <c r="J28" s="711">
        <f>J6</f>
        <v>973.971</v>
      </c>
      <c r="K28" s="711"/>
      <c r="L28" s="711"/>
      <c r="M28" s="711"/>
      <c r="N28" s="711"/>
      <c r="O28" s="711">
        <f>O6</f>
        <v>1453.047</v>
      </c>
      <c r="P28" s="711"/>
      <c r="Q28" s="711"/>
      <c r="R28" s="711"/>
      <c r="S28" s="711"/>
      <c r="T28" s="711">
        <f>T6</f>
        <v>2107.2130000000002</v>
      </c>
      <c r="U28" s="711"/>
      <c r="V28" s="711"/>
      <c r="W28" s="711"/>
      <c r="X28" s="711"/>
      <c r="Y28" s="711">
        <f>Y6</f>
        <v>2515.915</v>
      </c>
      <c r="Z28" s="695"/>
      <c r="AA28" s="695"/>
      <c r="AB28" s="695"/>
      <c r="AC28" s="695"/>
      <c r="AD28" s="695"/>
      <c r="AE28" s="695"/>
      <c r="AF28" s="695"/>
      <c r="AG28" s="695"/>
      <c r="AH28" s="695"/>
      <c r="AI28" s="695"/>
    </row>
    <row r="29" spans="1:35">
      <c r="B29" s="696"/>
      <c r="C29" s="696"/>
      <c r="E29" s="696" t="s">
        <v>445</v>
      </c>
      <c r="F29" s="695"/>
      <c r="G29" s="695"/>
      <c r="H29" s="695"/>
      <c r="I29" s="695"/>
      <c r="J29" s="749" t="e">
        <f ca="1">$C$24/J28</f>
        <v>#NAME?</v>
      </c>
      <c r="K29" s="695"/>
      <c r="L29" s="695"/>
      <c r="M29" s="695"/>
      <c r="N29" s="695"/>
      <c r="O29" s="749" t="e">
        <f ca="1">$C$24/O28</f>
        <v>#NAME?</v>
      </c>
      <c r="P29" s="695"/>
      <c r="Q29" s="695"/>
      <c r="R29" s="695"/>
      <c r="S29" s="695"/>
      <c r="T29" s="749" t="e">
        <f ca="1">$C$24/T28</f>
        <v>#NAME?</v>
      </c>
      <c r="U29" s="695"/>
      <c r="V29" s="695"/>
      <c r="W29" s="695"/>
      <c r="X29" s="695"/>
      <c r="Y29" s="749" t="e">
        <f ca="1">$C$24/Y28</f>
        <v>#NAME?</v>
      </c>
      <c r="Z29" s="695"/>
      <c r="AA29" s="695"/>
      <c r="AB29" s="695"/>
      <c r="AC29" s="695"/>
      <c r="AD29" s="695"/>
      <c r="AE29" s="695"/>
      <c r="AF29" s="695"/>
      <c r="AG29" s="695"/>
      <c r="AH29" s="695"/>
      <c r="AI29" s="695"/>
    </row>
    <row r="30" spans="1:35">
      <c r="B30" s="696"/>
      <c r="C30" s="696"/>
      <c r="E30" s="695"/>
      <c r="F30" s="695"/>
      <c r="G30" s="695"/>
      <c r="H30" s="695"/>
      <c r="I30" s="695"/>
      <c r="J30" s="695"/>
      <c r="K30" s="695"/>
      <c r="L30" s="695"/>
      <c r="M30" s="695"/>
      <c r="N30" s="695"/>
      <c r="O30" s="695"/>
      <c r="P30" s="695"/>
      <c r="Q30" s="695"/>
      <c r="R30" s="695"/>
      <c r="S30" s="695"/>
      <c r="T30" s="695"/>
      <c r="U30" s="695"/>
      <c r="V30" s="695"/>
      <c r="W30" s="695"/>
      <c r="X30" s="695"/>
      <c r="Y30" s="695"/>
      <c r="Z30" s="695"/>
      <c r="AA30" s="695"/>
      <c r="AB30" s="695"/>
      <c r="AC30" s="695"/>
      <c r="AD30" s="695"/>
      <c r="AE30" s="695"/>
      <c r="AF30" s="695"/>
      <c r="AG30" s="695"/>
      <c r="AH30" s="695"/>
      <c r="AI30" s="695"/>
    </row>
    <row r="31" spans="1:35">
      <c r="E31" s="695"/>
      <c r="F31" s="695"/>
      <c r="G31" s="695"/>
      <c r="H31" s="695"/>
      <c r="I31" s="695"/>
      <c r="J31" s="695"/>
      <c r="K31" s="695"/>
      <c r="L31" s="695"/>
      <c r="M31" s="695"/>
      <c r="N31" s="695"/>
      <c r="O31" s="695"/>
      <c r="P31" s="695"/>
      <c r="Q31" s="695"/>
      <c r="R31" s="695"/>
      <c r="S31" s="695"/>
      <c r="T31" s="695"/>
      <c r="U31" s="695"/>
      <c r="V31" s="695"/>
      <c r="W31" s="695"/>
      <c r="X31" s="695"/>
      <c r="Y31" s="695"/>
      <c r="Z31" s="695"/>
      <c r="AA31" s="695"/>
      <c r="AB31" s="695"/>
      <c r="AC31" s="695"/>
      <c r="AD31" s="695"/>
      <c r="AE31" s="695"/>
      <c r="AF31" s="695"/>
      <c r="AG31" s="695"/>
      <c r="AH31" s="695"/>
      <c r="AI31" s="695"/>
    </row>
    <row r="32" spans="1:35">
      <c r="E32" s="695"/>
      <c r="F32" s="695"/>
      <c r="G32" s="695"/>
      <c r="H32" s="695"/>
      <c r="I32" s="695"/>
      <c r="J32" s="695"/>
      <c r="K32" s="695"/>
      <c r="L32" s="695"/>
      <c r="M32" s="695"/>
      <c r="N32" s="695"/>
      <c r="O32" s="695"/>
      <c r="P32" s="695"/>
      <c r="Q32" s="695"/>
      <c r="R32" s="695"/>
      <c r="S32" s="695"/>
      <c r="T32" s="695"/>
      <c r="U32" s="695"/>
      <c r="V32" s="695"/>
      <c r="W32" s="695"/>
      <c r="X32" s="695"/>
      <c r="Y32" s="695"/>
      <c r="Z32" s="695"/>
      <c r="AA32" s="695"/>
      <c r="AB32" s="695"/>
      <c r="AC32" s="695"/>
      <c r="AD32" s="695"/>
      <c r="AE32" s="695"/>
      <c r="AF32" s="695"/>
      <c r="AG32" s="695"/>
      <c r="AH32" s="695"/>
      <c r="AI32" s="695"/>
    </row>
    <row r="33" spans="5:35">
      <c r="E33" s="695"/>
      <c r="F33" s="695"/>
      <c r="G33" s="695"/>
      <c r="H33" s="695"/>
      <c r="I33" s="695"/>
      <c r="J33" s="695"/>
      <c r="K33" s="695"/>
      <c r="L33" s="695"/>
      <c r="M33" s="695"/>
      <c r="N33" s="695"/>
      <c r="O33" s="695"/>
      <c r="P33" s="695"/>
      <c r="Q33" s="695"/>
      <c r="R33" s="695"/>
      <c r="S33" s="695"/>
      <c r="T33" s="695"/>
      <c r="U33" s="695"/>
      <c r="V33" s="695"/>
      <c r="W33" s="695"/>
      <c r="X33" s="695"/>
      <c r="Y33" s="695"/>
      <c r="Z33" s="695"/>
      <c r="AA33" s="695"/>
      <c r="AB33" s="695"/>
      <c r="AC33" s="695"/>
      <c r="AD33" s="695"/>
      <c r="AE33" s="695"/>
      <c r="AF33" s="695"/>
      <c r="AG33" s="695"/>
      <c r="AH33" s="695"/>
      <c r="AI33" s="695"/>
    </row>
    <row r="34" spans="5:35">
      <c r="E34" s="695"/>
      <c r="F34" s="695"/>
      <c r="G34" s="695"/>
      <c r="H34" s="695"/>
      <c r="I34" s="695"/>
      <c r="J34" s="695"/>
      <c r="K34" s="695"/>
      <c r="L34" s="695"/>
      <c r="M34" s="695"/>
      <c r="N34" s="695"/>
      <c r="O34" s="695"/>
      <c r="P34" s="695"/>
      <c r="Q34" s="695"/>
      <c r="R34" s="695"/>
      <c r="S34" s="695"/>
      <c r="T34" s="695"/>
      <c r="U34" s="695"/>
      <c r="V34" s="695"/>
      <c r="W34" s="695"/>
      <c r="X34" s="695"/>
      <c r="Y34" s="695"/>
      <c r="Z34" s="695"/>
      <c r="AA34" s="695"/>
      <c r="AB34" s="695"/>
      <c r="AC34" s="695"/>
      <c r="AD34" s="695"/>
      <c r="AE34" s="695"/>
      <c r="AF34" s="695"/>
      <c r="AG34" s="695"/>
      <c r="AH34" s="695"/>
      <c r="AI34" s="695"/>
    </row>
    <row r="35" spans="5:35">
      <c r="E35" s="695"/>
      <c r="F35" s="695"/>
      <c r="G35" s="695"/>
      <c r="H35" s="695"/>
      <c r="I35" s="695"/>
      <c r="J35" s="695"/>
      <c r="K35" s="695"/>
      <c r="L35" s="695"/>
      <c r="M35" s="695"/>
      <c r="N35" s="695"/>
      <c r="O35" s="695"/>
      <c r="P35" s="695"/>
      <c r="Q35" s="695"/>
      <c r="R35" s="695"/>
      <c r="S35" s="695"/>
      <c r="T35" s="695"/>
      <c r="U35" s="695"/>
      <c r="V35" s="695"/>
      <c r="W35" s="695"/>
      <c r="X35" s="695"/>
      <c r="Y35" s="695"/>
      <c r="Z35" s="695"/>
      <c r="AA35" s="695"/>
      <c r="AB35" s="695"/>
      <c r="AC35" s="695"/>
      <c r="AD35" s="695"/>
      <c r="AE35" s="695"/>
      <c r="AF35" s="695"/>
      <c r="AG35" s="695"/>
      <c r="AH35" s="695"/>
      <c r="AI35" s="695"/>
    </row>
    <row r="36" spans="5:35">
      <c r="E36" s="695"/>
      <c r="F36" s="695"/>
      <c r="G36" s="695"/>
      <c r="H36" s="695"/>
      <c r="I36" s="695"/>
      <c r="J36" s="695"/>
      <c r="K36" s="695"/>
      <c r="L36" s="695"/>
      <c r="M36" s="695"/>
      <c r="N36" s="695"/>
      <c r="O36" s="695"/>
      <c r="P36" s="695"/>
      <c r="Q36" s="695"/>
      <c r="R36" s="695"/>
      <c r="S36" s="695"/>
      <c r="T36" s="695"/>
      <c r="U36" s="695"/>
      <c r="V36" s="695"/>
      <c r="W36" s="695"/>
      <c r="X36" s="695"/>
      <c r="Y36" s="695"/>
      <c r="Z36" s="695"/>
      <c r="AA36" s="695"/>
      <c r="AB36" s="695"/>
      <c r="AC36" s="695"/>
      <c r="AD36" s="695"/>
      <c r="AE36" s="695"/>
      <c r="AF36" s="695"/>
      <c r="AG36" s="695"/>
      <c r="AH36" s="695"/>
      <c r="AI36" s="695"/>
    </row>
    <row r="37" spans="5:35">
      <c r="E37" s="695"/>
      <c r="F37" s="695"/>
      <c r="G37" s="695"/>
      <c r="H37" s="695"/>
      <c r="I37" s="695"/>
      <c r="J37" s="695"/>
      <c r="K37" s="695"/>
      <c r="L37" s="695"/>
      <c r="M37" s="695"/>
      <c r="N37" s="695"/>
      <c r="O37" s="695"/>
      <c r="P37" s="695"/>
      <c r="Q37" s="695"/>
      <c r="R37" s="695"/>
      <c r="S37" s="695"/>
      <c r="T37" s="695"/>
      <c r="U37" s="695"/>
      <c r="V37" s="695"/>
      <c r="W37" s="695"/>
      <c r="X37" s="695"/>
      <c r="Y37" s="695"/>
      <c r="Z37" s="695"/>
      <c r="AA37" s="695"/>
      <c r="AB37" s="695"/>
      <c r="AC37" s="695"/>
      <c r="AD37" s="695"/>
      <c r="AE37" s="695"/>
      <c r="AF37" s="695"/>
      <c r="AG37" s="695"/>
      <c r="AH37" s="695"/>
      <c r="AI37" s="695"/>
    </row>
    <row r="38" spans="5:35">
      <c r="E38" s="695"/>
      <c r="F38" s="695"/>
      <c r="G38" s="695"/>
      <c r="H38" s="695"/>
      <c r="I38" s="695"/>
      <c r="J38" s="695"/>
      <c r="K38" s="695"/>
      <c r="L38" s="695"/>
      <c r="M38" s="695"/>
      <c r="N38" s="695"/>
      <c r="O38" s="695"/>
      <c r="P38" s="695"/>
      <c r="Q38" s="695"/>
      <c r="R38" s="695"/>
      <c r="S38" s="695"/>
      <c r="T38" s="695"/>
      <c r="U38" s="695"/>
      <c r="V38" s="695"/>
      <c r="W38" s="695"/>
      <c r="X38" s="695"/>
      <c r="Y38" s="695"/>
      <c r="Z38" s="695"/>
      <c r="AA38" s="695"/>
      <c r="AB38" s="695"/>
      <c r="AC38" s="695"/>
      <c r="AD38" s="695"/>
      <c r="AE38" s="695"/>
      <c r="AF38" s="695"/>
      <c r="AG38" s="695"/>
      <c r="AH38" s="695"/>
      <c r="AI38" s="695"/>
    </row>
    <row r="39" spans="5:35">
      <c r="E39" s="695"/>
      <c r="F39" s="695"/>
      <c r="G39" s="695"/>
      <c r="H39" s="695"/>
      <c r="I39" s="695"/>
      <c r="J39" s="695"/>
      <c r="K39" s="695"/>
      <c r="L39" s="695"/>
      <c r="M39" s="695"/>
      <c r="N39" s="695"/>
      <c r="O39" s="695"/>
      <c r="P39" s="695"/>
      <c r="Q39" s="695"/>
      <c r="R39" s="695"/>
      <c r="S39" s="695"/>
      <c r="T39" s="695"/>
      <c r="U39" s="695"/>
      <c r="V39" s="695"/>
      <c r="W39" s="695"/>
      <c r="X39" s="695"/>
      <c r="Y39" s="695"/>
      <c r="Z39" s="695"/>
      <c r="AA39" s="695"/>
      <c r="AB39" s="695"/>
      <c r="AC39" s="695"/>
      <c r="AD39" s="695"/>
      <c r="AE39" s="695"/>
      <c r="AF39" s="695"/>
      <c r="AG39" s="695"/>
      <c r="AH39" s="695"/>
      <c r="AI39" s="695"/>
    </row>
    <row r="40" spans="5:35">
      <c r="E40" s="695"/>
      <c r="F40" s="695"/>
      <c r="G40" s="695"/>
      <c r="H40" s="695"/>
      <c r="I40" s="695"/>
      <c r="J40" s="695"/>
      <c r="K40" s="695"/>
      <c r="L40" s="695"/>
      <c r="M40" s="695"/>
      <c r="N40" s="695"/>
      <c r="O40" s="695"/>
      <c r="P40" s="695"/>
      <c r="Q40" s="695"/>
      <c r="R40" s="695"/>
      <c r="S40" s="695"/>
      <c r="T40" s="695"/>
      <c r="U40" s="695"/>
      <c r="V40" s="695"/>
      <c r="W40" s="695"/>
      <c r="X40" s="695"/>
      <c r="Y40" s="695"/>
      <c r="Z40" s="695"/>
      <c r="AA40" s="695"/>
      <c r="AB40" s="695"/>
      <c r="AC40" s="695"/>
      <c r="AD40" s="695"/>
      <c r="AE40" s="695"/>
      <c r="AF40" s="695"/>
      <c r="AG40" s="695"/>
      <c r="AH40" s="695"/>
      <c r="AI40" s="695"/>
    </row>
    <row r="41" spans="5:35">
      <c r="E41" s="695"/>
      <c r="F41" s="695"/>
      <c r="G41" s="695"/>
      <c r="H41" s="695"/>
      <c r="I41" s="695"/>
      <c r="J41" s="695"/>
      <c r="K41" s="695"/>
      <c r="L41" s="695"/>
      <c r="M41" s="695"/>
      <c r="N41" s="695"/>
      <c r="O41" s="695"/>
      <c r="P41" s="695"/>
      <c r="Q41" s="695"/>
      <c r="R41" s="695"/>
      <c r="S41" s="695"/>
      <c r="T41" s="695"/>
      <c r="U41" s="695"/>
      <c r="V41" s="695"/>
      <c r="W41" s="695"/>
      <c r="X41" s="695"/>
      <c r="Y41" s="695"/>
      <c r="Z41" s="695"/>
      <c r="AA41" s="695"/>
      <c r="AB41" s="695"/>
      <c r="AC41" s="695"/>
      <c r="AD41" s="695"/>
      <c r="AE41" s="695"/>
      <c r="AF41" s="695"/>
      <c r="AG41" s="695"/>
      <c r="AH41" s="695"/>
      <c r="AI41" s="695"/>
    </row>
    <row r="42" spans="5:35">
      <c r="E42" s="695"/>
      <c r="F42" s="695"/>
      <c r="G42" s="695"/>
      <c r="H42" s="695"/>
      <c r="I42" s="695"/>
      <c r="J42" s="695"/>
      <c r="K42" s="695"/>
      <c r="L42" s="695"/>
      <c r="M42" s="695"/>
      <c r="N42" s="695"/>
      <c r="O42" s="695"/>
      <c r="P42" s="695"/>
      <c r="Q42" s="695"/>
      <c r="R42" s="695"/>
      <c r="S42" s="695"/>
      <c r="T42" s="695"/>
      <c r="U42" s="695"/>
      <c r="V42" s="695"/>
      <c r="W42" s="695"/>
      <c r="X42" s="695"/>
      <c r="Y42" s="695"/>
      <c r="Z42" s="695"/>
      <c r="AA42" s="695"/>
      <c r="AB42" s="695"/>
      <c r="AC42" s="695"/>
      <c r="AD42" s="695"/>
      <c r="AE42" s="695"/>
      <c r="AF42" s="695"/>
      <c r="AG42" s="695"/>
      <c r="AH42" s="695"/>
      <c r="AI42" s="695"/>
    </row>
    <row r="43" spans="5:35">
      <c r="E43" s="695"/>
      <c r="F43" s="695"/>
      <c r="G43" s="695"/>
      <c r="H43" s="695"/>
      <c r="I43" s="695"/>
      <c r="J43" s="695"/>
      <c r="K43" s="695"/>
      <c r="L43" s="695"/>
      <c r="M43" s="695"/>
      <c r="N43" s="695"/>
      <c r="O43" s="695"/>
      <c r="P43" s="695"/>
      <c r="Q43" s="695"/>
      <c r="R43" s="695"/>
      <c r="S43" s="695"/>
      <c r="T43" s="695"/>
      <c r="U43" s="695"/>
      <c r="V43" s="695"/>
      <c r="W43" s="695"/>
      <c r="X43" s="695"/>
      <c r="Y43" s="695"/>
      <c r="Z43" s="695"/>
      <c r="AA43" s="695"/>
      <c r="AB43" s="695"/>
      <c r="AC43" s="695"/>
      <c r="AD43" s="695"/>
      <c r="AE43" s="695"/>
      <c r="AF43" s="695"/>
      <c r="AG43" s="695"/>
      <c r="AH43" s="695"/>
      <c r="AI43" s="695"/>
    </row>
  </sheetData>
  <dataValidations disablePrompts="1" count="1">
    <dataValidation type="list" allowBlank="1" showInputMessage="1" showErrorMessage="1" sqref="B7" xr:uid="{983CA696-F609-4FA5-B572-7C009970569A}">
      <formula1>$B$13:$B$15</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FAE4-98FB-49CE-9A69-DA644AC584FC}">
  <dimension ref="A1:AH47"/>
  <sheetViews>
    <sheetView zoomScaleNormal="100" workbookViewId="0">
      <selection activeCell="K13" sqref="K13"/>
    </sheetView>
  </sheetViews>
  <sheetFormatPr defaultColWidth="8.5625" defaultRowHeight="12.75"/>
  <cols>
    <col min="1" max="1" width="1.5625" style="277" customWidth="1"/>
    <col min="2" max="2" width="12.5625" style="277" bestFit="1" customWidth="1"/>
    <col min="3" max="4" width="6.0625" style="277" customWidth="1"/>
    <col min="5" max="9" width="8.5625" style="277"/>
    <col min="10" max="10" width="5.5625" style="277" customWidth="1"/>
    <col min="11" max="11" width="8.5625" style="277" bestFit="1" customWidth="1"/>
    <col min="12" max="14" width="7.5625" style="277" customWidth="1"/>
    <col min="15" max="15" width="5.5625" style="277" customWidth="1"/>
    <col min="16" max="16" width="15.5" style="277" bestFit="1" customWidth="1"/>
    <col min="17" max="17" width="8.5625" style="277"/>
    <col min="18" max="18" width="5.5625" style="277" customWidth="1"/>
    <col min="19" max="19" width="20.5" style="277" bestFit="1" customWidth="1"/>
    <col min="20" max="20" width="11.0625" style="277" bestFit="1" customWidth="1"/>
    <col min="21" max="22" width="8.5625" style="277"/>
    <col min="23" max="23" width="15.0625" style="277" bestFit="1" customWidth="1"/>
    <col min="24" max="24" width="8.5625" style="277"/>
    <col min="25" max="25" width="1.5625" style="277" customWidth="1"/>
    <col min="26" max="27" width="7" style="277" customWidth="1"/>
    <col min="28" max="28" width="8.5625" style="277"/>
    <col min="29" max="29" width="6.0625" style="277" customWidth="1"/>
    <col min="30" max="34" width="7.8125" style="277" customWidth="1"/>
    <col min="35" max="16384" width="8.5625" style="277"/>
  </cols>
  <sheetData>
    <row r="1" spans="1:34" ht="10.5" customHeight="1"/>
    <row r="2" spans="1:34" s="81" customFormat="1" ht="13.15">
      <c r="A2" s="750"/>
      <c r="B2" s="751" t="s">
        <v>446</v>
      </c>
      <c r="C2" s="750"/>
      <c r="D2" s="750"/>
      <c r="E2" s="750"/>
      <c r="F2" s="750"/>
      <c r="G2" s="750"/>
      <c r="H2" s="750"/>
      <c r="I2" s="750"/>
      <c r="J2" s="750"/>
      <c r="K2" s="1267" t="s">
        <v>447</v>
      </c>
      <c r="L2" s="1267"/>
      <c r="M2" s="1267"/>
      <c r="N2" s="1267"/>
      <c r="O2" s="1267"/>
      <c r="P2" s="1267"/>
      <c r="Q2" s="1267"/>
      <c r="R2" s="750"/>
      <c r="S2" s="750"/>
      <c r="T2" s="750"/>
      <c r="U2" s="750"/>
    </row>
    <row r="3" spans="1:34">
      <c r="K3" s="752"/>
      <c r="L3" s="752"/>
      <c r="M3" s="752"/>
      <c r="N3" s="752"/>
      <c r="O3" s="752"/>
      <c r="P3" s="752"/>
      <c r="Q3" s="752"/>
    </row>
    <row r="4" spans="1:34" ht="18" customHeight="1">
      <c r="C4" s="753"/>
      <c r="D4" s="1262" t="s">
        <v>468</v>
      </c>
      <c r="E4" s="1262"/>
      <c r="F4" s="1262"/>
      <c r="G4" s="1262"/>
      <c r="H4" s="1262"/>
      <c r="I4" s="1263"/>
    </row>
    <row r="5" spans="1:34" ht="18" customHeight="1">
      <c r="C5" s="1268" t="s">
        <v>448</v>
      </c>
      <c r="D5" s="754">
        <f>Q32</f>
        <v>349.54723055225151</v>
      </c>
      <c r="E5" s="755">
        <v>0.25</v>
      </c>
      <c r="F5" s="756">
        <f>E5+0.025</f>
        <v>0.27500000000000002</v>
      </c>
      <c r="G5" s="756">
        <f>F5+0.025</f>
        <v>0.30000000000000004</v>
      </c>
      <c r="H5" s="756">
        <f>G5+0.025</f>
        <v>0.32500000000000007</v>
      </c>
      <c r="I5" s="757">
        <f>H5+0.025</f>
        <v>0.35000000000000009</v>
      </c>
    </row>
    <row r="6" spans="1:34">
      <c r="C6" s="1268"/>
      <c r="D6" s="758">
        <v>20</v>
      </c>
      <c r="E6" s="759">
        <f t="dataTable" ref="E6:I10" dt2D="1" dtr="1" r1="Q26" r2="Q27"/>
        <v>221.6565202087632</v>
      </c>
      <c r="F6" s="760">
        <v>230.56280416312657</v>
      </c>
      <c r="G6" s="760">
        <v>239.64545017599224</v>
      </c>
      <c r="H6" s="760">
        <v>248.90445824736025</v>
      </c>
      <c r="I6" s="761">
        <v>258.33982837723028</v>
      </c>
    </row>
    <row r="7" spans="1:34" ht="13.15">
      <c r="C7" s="1268"/>
      <c r="D7" s="762">
        <f>D6+2.5</f>
        <v>22.5</v>
      </c>
      <c r="E7" s="763">
        <v>249.2130918497391</v>
      </c>
      <c r="F7" s="764">
        <v>259.23266129839783</v>
      </c>
      <c r="G7" s="764">
        <v>269.45063806287175</v>
      </c>
      <c r="H7" s="764">
        <v>279.86702214316068</v>
      </c>
      <c r="I7" s="765">
        <v>290.48181353926452</v>
      </c>
      <c r="AC7" s="766"/>
      <c r="AD7" s="1261"/>
      <c r="AE7" s="1261"/>
      <c r="AF7" s="1261"/>
      <c r="AG7" s="1261"/>
      <c r="AH7" s="1261"/>
    </row>
    <row r="8" spans="1:34">
      <c r="C8" s="1268"/>
      <c r="D8" s="762">
        <f>D7+2.5</f>
        <v>25</v>
      </c>
      <c r="E8" s="763">
        <v>276.76966349071495</v>
      </c>
      <c r="F8" s="764">
        <v>287.90251843366906</v>
      </c>
      <c r="G8" s="764">
        <v>299.25582594975117</v>
      </c>
      <c r="H8" s="764">
        <v>310.82958603896117</v>
      </c>
      <c r="I8" s="765">
        <v>322.62379870129877</v>
      </c>
      <c r="Y8" s="767"/>
      <c r="AB8" s="752"/>
    </row>
    <row r="9" spans="1:34">
      <c r="C9" s="1268"/>
      <c r="D9" s="762">
        <f>D8+2.5</f>
        <v>27.5</v>
      </c>
      <c r="E9" s="763">
        <v>304.32623513169079</v>
      </c>
      <c r="F9" s="764">
        <v>316.57237556894034</v>
      </c>
      <c r="G9" s="764">
        <v>329.06101383663065</v>
      </c>
      <c r="H9" s="764">
        <v>341.79214993476165</v>
      </c>
      <c r="I9" s="765">
        <v>354.76578386333296</v>
      </c>
      <c r="Y9" s="768"/>
      <c r="AB9" s="769"/>
    </row>
    <row r="10" spans="1:34">
      <c r="C10" s="1269"/>
      <c r="D10" s="770">
        <f>D9+2.5</f>
        <v>30</v>
      </c>
      <c r="E10" s="771">
        <v>331.88280677266658</v>
      </c>
      <c r="F10" s="772">
        <v>345.24223270421163</v>
      </c>
      <c r="G10" s="772">
        <v>358.86620172351013</v>
      </c>
      <c r="H10" s="772">
        <v>372.75471383056214</v>
      </c>
      <c r="I10" s="773">
        <v>386.9077690253672</v>
      </c>
      <c r="Y10" s="767"/>
      <c r="AB10" s="769"/>
    </row>
    <row r="11" spans="1:34">
      <c r="Y11" s="774"/>
      <c r="AB11" s="769"/>
    </row>
    <row r="12" spans="1:34">
      <c r="Y12" s="774"/>
      <c r="AB12" s="769"/>
    </row>
    <row r="13" spans="1:34" ht="18" customHeight="1">
      <c r="C13" s="775"/>
      <c r="D13" s="1262" t="s">
        <v>468</v>
      </c>
      <c r="E13" s="1262"/>
      <c r="F13" s="1262"/>
      <c r="G13" s="1262"/>
      <c r="H13" s="1262"/>
      <c r="I13" s="1263"/>
      <c r="Y13" s="767"/>
    </row>
    <row r="14" spans="1:34" ht="18" customHeight="1">
      <c r="C14" s="1264" t="s">
        <v>448</v>
      </c>
      <c r="D14" s="776"/>
      <c r="E14" s="777">
        <f>E5</f>
        <v>0.25</v>
      </c>
      <c r="F14" s="777">
        <f>F5</f>
        <v>0.27500000000000002</v>
      </c>
      <c r="G14" s="777">
        <f>G5</f>
        <v>0.30000000000000004</v>
      </c>
      <c r="H14" s="777">
        <f>H5</f>
        <v>0.32500000000000007</v>
      </c>
      <c r="I14" s="778">
        <f>I5</f>
        <v>0.35000000000000009</v>
      </c>
      <c r="Y14" s="767"/>
      <c r="Z14" s="767"/>
      <c r="AA14" s="767"/>
    </row>
    <row r="15" spans="1:34" ht="13.15">
      <c r="C15" s="1264"/>
      <c r="D15" s="779">
        <f>D6</f>
        <v>20</v>
      </c>
      <c r="E15" s="780" t="e">
        <f t="shared" ref="E15:I19" ca="1" si="0">E6/$T$25-1</f>
        <v>#NAME?</v>
      </c>
      <c r="F15" s="780" t="e">
        <f t="shared" ca="1" si="0"/>
        <v>#NAME?</v>
      </c>
      <c r="G15" s="780" t="e">
        <f t="shared" ca="1" si="0"/>
        <v>#NAME?</v>
      </c>
      <c r="H15" s="780" t="e">
        <f t="shared" ca="1" si="0"/>
        <v>#NAME?</v>
      </c>
      <c r="I15" s="781" t="e">
        <f t="shared" ca="1" si="0"/>
        <v>#NAME?</v>
      </c>
      <c r="Y15" s="782"/>
      <c r="Z15" s="782"/>
      <c r="AA15" s="782"/>
    </row>
    <row r="16" spans="1:34">
      <c r="C16" s="1264"/>
      <c r="D16" s="779">
        <f>D7</f>
        <v>22.5</v>
      </c>
      <c r="E16" s="780" t="e">
        <f t="shared" ca="1" si="0"/>
        <v>#NAME?</v>
      </c>
      <c r="F16" s="780" t="e">
        <f t="shared" ca="1" si="0"/>
        <v>#NAME?</v>
      </c>
      <c r="G16" s="780" t="e">
        <f t="shared" ca="1" si="0"/>
        <v>#NAME?</v>
      </c>
      <c r="H16" s="780" t="e">
        <f t="shared" ca="1" si="0"/>
        <v>#NAME?</v>
      </c>
      <c r="I16" s="781" t="e">
        <f t="shared" ca="1" si="0"/>
        <v>#NAME?</v>
      </c>
    </row>
    <row r="17" spans="1:28">
      <c r="C17" s="1264"/>
      <c r="D17" s="779">
        <f>D8</f>
        <v>25</v>
      </c>
      <c r="E17" s="780" t="e">
        <f t="shared" ca="1" si="0"/>
        <v>#NAME?</v>
      </c>
      <c r="F17" s="780" t="e">
        <f t="shared" ca="1" si="0"/>
        <v>#NAME?</v>
      </c>
      <c r="G17" s="780" t="e">
        <f t="shared" ca="1" si="0"/>
        <v>#NAME?</v>
      </c>
      <c r="H17" s="780" t="e">
        <f t="shared" ca="1" si="0"/>
        <v>#NAME?</v>
      </c>
      <c r="I17" s="781" t="e">
        <f t="shared" ca="1" si="0"/>
        <v>#NAME?</v>
      </c>
    </row>
    <row r="18" spans="1:28">
      <c r="C18" s="1264"/>
      <c r="D18" s="779">
        <f>D9</f>
        <v>27.5</v>
      </c>
      <c r="E18" s="780" t="e">
        <f t="shared" ca="1" si="0"/>
        <v>#NAME?</v>
      </c>
      <c r="F18" s="780" t="e">
        <f t="shared" ca="1" si="0"/>
        <v>#NAME?</v>
      </c>
      <c r="G18" s="780" t="e">
        <f t="shared" ca="1" si="0"/>
        <v>#NAME?</v>
      </c>
      <c r="H18" s="780" t="e">
        <f t="shared" ca="1" si="0"/>
        <v>#NAME?</v>
      </c>
      <c r="I18" s="781" t="e">
        <f t="shared" ca="1" si="0"/>
        <v>#NAME?</v>
      </c>
      <c r="Z18" s="783"/>
      <c r="AA18" s="784"/>
    </row>
    <row r="19" spans="1:28">
      <c r="C19" s="1265"/>
      <c r="D19" s="785">
        <f>D10</f>
        <v>30</v>
      </c>
      <c r="E19" s="786" t="e">
        <f t="shared" ca="1" si="0"/>
        <v>#NAME?</v>
      </c>
      <c r="F19" s="786" t="e">
        <f t="shared" ca="1" si="0"/>
        <v>#NAME?</v>
      </c>
      <c r="G19" s="786" t="e">
        <f t="shared" ca="1" si="0"/>
        <v>#NAME?</v>
      </c>
      <c r="H19" s="786" t="e">
        <f t="shared" ca="1" si="0"/>
        <v>#NAME?</v>
      </c>
      <c r="I19" s="787" t="e">
        <f t="shared" ca="1" si="0"/>
        <v>#NAME?</v>
      </c>
      <c r="Z19" s="788"/>
      <c r="AA19" s="784"/>
    </row>
    <row r="20" spans="1:28">
      <c r="Z20" s="788"/>
      <c r="AA20" s="784"/>
    </row>
    <row r="21" spans="1:28">
      <c r="Z21" s="788"/>
      <c r="AA21" s="784"/>
    </row>
    <row r="22" spans="1:28" ht="13.15">
      <c r="A22" s="750"/>
      <c r="B22" s="751" t="s">
        <v>449</v>
      </c>
      <c r="C22" s="750"/>
      <c r="D22" s="750"/>
      <c r="E22" s="750"/>
      <c r="F22" s="750"/>
      <c r="G22" s="750"/>
      <c r="H22" s="750"/>
      <c r="I22" s="750"/>
      <c r="J22" s="750"/>
      <c r="K22" s="750"/>
      <c r="L22" s="750"/>
      <c r="M22" s="750"/>
      <c r="N22" s="750"/>
      <c r="O22" s="750"/>
      <c r="P22" s="750"/>
      <c r="Q22" s="750"/>
      <c r="R22" s="750"/>
      <c r="S22" s="750"/>
      <c r="T22" s="750"/>
      <c r="U22" s="750"/>
      <c r="Z22" s="788"/>
      <c r="AA22" s="784"/>
      <c r="AB22" s="752"/>
    </row>
    <row r="23" spans="1:28" ht="13.15">
      <c r="B23" s="766"/>
      <c r="Z23" s="788"/>
      <c r="AA23" s="784"/>
      <c r="AB23" s="752"/>
    </row>
    <row r="24" spans="1:28" ht="13.15">
      <c r="K24" s="751" t="s">
        <v>423</v>
      </c>
      <c r="L24" s="789" t="s">
        <v>450</v>
      </c>
      <c r="M24" s="789" t="s">
        <v>372</v>
      </c>
      <c r="N24" s="789" t="s">
        <v>372</v>
      </c>
      <c r="P24" s="1266" t="s">
        <v>451</v>
      </c>
      <c r="Q24" s="1266"/>
      <c r="S24" s="1266" t="s">
        <v>452</v>
      </c>
      <c r="T24" s="1266"/>
      <c r="AB24" s="769"/>
    </row>
    <row r="25" spans="1:28" ht="14.25" customHeight="1">
      <c r="K25" s="790" t="s">
        <v>56</v>
      </c>
      <c r="L25" s="797">
        <f>V!O6</f>
        <v>1453.047</v>
      </c>
      <c r="M25" s="793">
        <f>L25*(1+M26)</f>
        <v>1947.0829800000001</v>
      </c>
      <c r="N25" s="793">
        <f>M25*(1+N26)</f>
        <v>2609.0911932000004</v>
      </c>
      <c r="P25" s="277" t="s">
        <v>56</v>
      </c>
      <c r="Q25" s="791">
        <f>N25</f>
        <v>2609.0911932000004</v>
      </c>
      <c r="S25" s="277" t="s">
        <v>209</v>
      </c>
      <c r="T25" s="801" t="e">
        <f ca="1">V!C5</f>
        <v>#NAME?</v>
      </c>
      <c r="AB25" s="769"/>
    </row>
    <row r="26" spans="1:28" ht="14.25" customHeight="1">
      <c r="K26" s="798" t="s">
        <v>453</v>
      </c>
      <c r="L26" s="794"/>
      <c r="M26" s="799">
        <f>Q26</f>
        <v>0.34</v>
      </c>
      <c r="N26" s="799">
        <f>M26</f>
        <v>0.34</v>
      </c>
      <c r="P26" s="277" t="s">
        <v>54</v>
      </c>
      <c r="Q26" s="792">
        <v>0.34</v>
      </c>
      <c r="S26" s="277" t="s">
        <v>454</v>
      </c>
      <c r="T26" s="797">
        <f>V!C22</f>
        <v>205.97499999999999</v>
      </c>
      <c r="AB26" s="769"/>
    </row>
    <row r="27" spans="1:28" ht="14.25" customHeight="1">
      <c r="P27" s="277" t="s">
        <v>455</v>
      </c>
      <c r="Q27" s="768">
        <v>27.5</v>
      </c>
      <c r="S27" s="277" t="s">
        <v>456</v>
      </c>
      <c r="T27" s="797">
        <f>V!C20</f>
        <v>967.61500000000001</v>
      </c>
      <c r="AB27" s="769"/>
    </row>
    <row r="28" spans="1:28" ht="14.25" customHeight="1">
      <c r="K28" s="277" t="s">
        <v>467</v>
      </c>
      <c r="L28" s="797">
        <f>V!O6</f>
        <v>1453.047</v>
      </c>
      <c r="M28" s="797">
        <f>V!T6</f>
        <v>2107.2130000000002</v>
      </c>
      <c r="N28" s="797">
        <f>V!Y6</f>
        <v>2515.915</v>
      </c>
      <c r="P28" s="277" t="s">
        <v>444</v>
      </c>
      <c r="Q28" s="791">
        <f>Q27*N25</f>
        <v>71750.007813000004</v>
      </c>
      <c r="S28" s="277" t="s">
        <v>457</v>
      </c>
      <c r="T28" s="797">
        <f>V!C21</f>
        <v>719.63199999999995</v>
      </c>
    </row>
    <row r="29" spans="1:28" ht="14.25" customHeight="1">
      <c r="K29" s="798" t="s">
        <v>453</v>
      </c>
      <c r="L29" s="794"/>
      <c r="M29" s="799">
        <f>M28/L28-1</f>
        <v>0.45020291841901883</v>
      </c>
      <c r="N29" s="799">
        <f>N28/M28-1</f>
        <v>0.19395381482555374</v>
      </c>
      <c r="P29" s="277" t="s">
        <v>458</v>
      </c>
      <c r="Q29" s="793">
        <f>(V!C20-V!C21)</f>
        <v>247.98300000000006</v>
      </c>
      <c r="S29" s="277" t="s">
        <v>459</v>
      </c>
      <c r="T29" s="791" t="e">
        <f ca="1">T25*T26</f>
        <v>#NAME?</v>
      </c>
    </row>
    <row r="30" spans="1:28" ht="14.25" customHeight="1">
      <c r="P30" s="277" t="s">
        <v>460</v>
      </c>
      <c r="Q30" s="793">
        <f>Q28+Q29</f>
        <v>71997.990812999997</v>
      </c>
      <c r="S30" s="277" t="s">
        <v>443</v>
      </c>
      <c r="T30" s="791" t="e">
        <f ca="1">T29-T27</f>
        <v>#NAME?</v>
      </c>
    </row>
    <row r="31" spans="1:28" ht="14.25" customHeight="1">
      <c r="P31" s="277" t="s">
        <v>461</v>
      </c>
      <c r="Q31" s="793">
        <f>V!C22</f>
        <v>205.97499999999999</v>
      </c>
      <c r="S31" s="277" t="s">
        <v>462</v>
      </c>
      <c r="T31" s="749" t="e">
        <f ca="1">T30/M28</f>
        <v>#NAME?</v>
      </c>
    </row>
    <row r="32" spans="1:28" ht="14.25" customHeight="1">
      <c r="P32" s="277" t="s">
        <v>463</v>
      </c>
      <c r="Q32" s="800">
        <f>Q30/Q31</f>
        <v>349.54723055225151</v>
      </c>
      <c r="S32" s="277" t="s">
        <v>464</v>
      </c>
      <c r="T32" s="749" t="e">
        <f ca="1">T30/N28</f>
        <v>#NAME?</v>
      </c>
    </row>
    <row r="33" spans="11:24" ht="14.25" customHeight="1"/>
    <row r="34" spans="11:24" ht="14.25" customHeight="1"/>
    <row r="35" spans="11:24" ht="14.25" customHeight="1"/>
    <row r="36" spans="11:24" s="794" customFormat="1" ht="14.25" customHeight="1">
      <c r="K36" s="277"/>
      <c r="L36" s="277"/>
      <c r="M36" s="277"/>
      <c r="N36" s="277"/>
      <c r="O36" s="277"/>
      <c r="P36" s="277"/>
      <c r="Q36" s="277"/>
      <c r="R36" s="277"/>
      <c r="S36" s="277"/>
      <c r="T36" s="277"/>
      <c r="W36" s="277"/>
      <c r="X36" s="277"/>
    </row>
    <row r="37" spans="11:24" ht="14.25" customHeight="1">
      <c r="W37" s="794"/>
      <c r="X37" s="794"/>
    </row>
    <row r="38" spans="11:24" ht="14.25" customHeight="1"/>
    <row r="39" spans="11:24" ht="14.25" customHeight="1"/>
    <row r="40" spans="11:24" ht="14.25" customHeight="1"/>
    <row r="41" spans="11:24" ht="14.25" customHeight="1"/>
    <row r="42" spans="11:24" ht="14.25" customHeight="1"/>
    <row r="43" spans="11:24" ht="14.25" customHeight="1"/>
    <row r="44" spans="11:24" ht="14.25" customHeight="1"/>
    <row r="45" spans="11:24" ht="14.25" customHeight="1"/>
    <row r="46" spans="11:24" ht="14.25" customHeight="1"/>
    <row r="47" spans="11:24" ht="14.25" customHeight="1"/>
  </sheetData>
  <mergeCells count="8">
    <mergeCell ref="K2:Q2"/>
    <mergeCell ref="D4:I4"/>
    <mergeCell ref="C5:C10"/>
    <mergeCell ref="AD7:AH7"/>
    <mergeCell ref="D13:I13"/>
    <mergeCell ref="C14:C19"/>
    <mergeCell ref="P24:Q24"/>
    <mergeCell ref="S24:T2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1:R122"/>
  <sheetViews>
    <sheetView showGridLines="0" zoomScaleNormal="100" workbookViewId="0">
      <selection activeCell="B20" sqref="B20"/>
    </sheetView>
  </sheetViews>
  <sheetFormatPr defaultRowHeight="13.5"/>
  <cols>
    <col min="2" max="2" width="21.0625" bestFit="1" customWidth="1"/>
    <col min="3" max="8" width="14.3125" customWidth="1"/>
    <col min="9" max="10" width="6.0625" bestFit="1" customWidth="1"/>
    <col min="11" max="11" width="17.0625" bestFit="1" customWidth="1"/>
    <col min="12" max="13" width="6.0625" bestFit="1" customWidth="1"/>
  </cols>
  <sheetData>
    <row r="1" spans="2:18">
      <c r="C1" t="s">
        <v>165</v>
      </c>
      <c r="D1" t="s">
        <v>179</v>
      </c>
      <c r="E1" t="s">
        <v>183</v>
      </c>
      <c r="F1" t="s">
        <v>184</v>
      </c>
      <c r="G1" t="s">
        <v>185</v>
      </c>
      <c r="H1" t="s">
        <v>186</v>
      </c>
      <c r="I1" t="s">
        <v>187</v>
      </c>
      <c r="J1" t="s">
        <v>189</v>
      </c>
      <c r="K1" t="s">
        <v>207</v>
      </c>
      <c r="L1" t="s">
        <v>208</v>
      </c>
      <c r="M1" t="s">
        <v>212</v>
      </c>
      <c r="N1" t="s">
        <v>226</v>
      </c>
      <c r="O1" t="s">
        <v>227</v>
      </c>
      <c r="P1" t="s">
        <v>241</v>
      </c>
      <c r="Q1" t="s">
        <v>245</v>
      </c>
      <c r="R1" t="s">
        <v>246</v>
      </c>
    </row>
    <row r="2" spans="2:18">
      <c r="B2" t="s">
        <v>224</v>
      </c>
      <c r="C2" s="419" t="e">
        <f>Metrics!#REF!</f>
        <v>#REF!</v>
      </c>
      <c r="D2" s="419" t="e">
        <f>Metrics!#REF!</f>
        <v>#REF!</v>
      </c>
      <c r="E2" s="419" t="e">
        <f>Metrics!#REF!</f>
        <v>#REF!</v>
      </c>
      <c r="F2" s="419" t="e">
        <f>Metrics!#REF!</f>
        <v>#REF!</v>
      </c>
      <c r="G2" s="419" t="e">
        <f>Metrics!#REF!</f>
        <v>#REF!</v>
      </c>
      <c r="H2" s="419">
        <f>Metrics!C5</f>
        <v>315000</v>
      </c>
      <c r="I2" s="419">
        <f>Metrics!D5</f>
        <v>335000</v>
      </c>
      <c r="J2" s="419">
        <f>Metrics!E5</f>
        <v>354000</v>
      </c>
      <c r="K2" s="419">
        <f>Metrics!F5</f>
        <v>373000</v>
      </c>
      <c r="L2" s="419">
        <f>Metrics!H5</f>
        <v>405000</v>
      </c>
      <c r="M2" s="419">
        <f>Metrics!I5</f>
        <v>429000</v>
      </c>
      <c r="Q2">
        <v>82186</v>
      </c>
      <c r="R2">
        <v>83139</v>
      </c>
    </row>
    <row r="3" spans="2:18">
      <c r="B3" t="s">
        <v>225</v>
      </c>
      <c r="G3" s="420" t="e">
        <f t="shared" ref="G3:R3" si="0">G2/C2-1</f>
        <v>#REF!</v>
      </c>
      <c r="H3" s="420" t="e">
        <f t="shared" si="0"/>
        <v>#REF!</v>
      </c>
      <c r="I3" s="420" t="e">
        <f t="shared" si="0"/>
        <v>#REF!</v>
      </c>
      <c r="J3" s="420" t="e">
        <f t="shared" si="0"/>
        <v>#REF!</v>
      </c>
      <c r="K3" s="420" t="e">
        <f t="shared" si="0"/>
        <v>#REF!</v>
      </c>
      <c r="L3" s="420">
        <f t="shared" si="0"/>
        <v>0.28571428571428581</v>
      </c>
      <c r="M3" s="420">
        <f t="shared" si="0"/>
        <v>0.28059701492537314</v>
      </c>
      <c r="N3" s="420">
        <f t="shared" si="0"/>
        <v>-1</v>
      </c>
      <c r="O3" s="420">
        <f t="shared" si="0"/>
        <v>-1</v>
      </c>
      <c r="P3" s="420">
        <f t="shared" si="0"/>
        <v>-1</v>
      </c>
      <c r="Q3" s="420">
        <f t="shared" si="0"/>
        <v>-0.80842424242424249</v>
      </c>
      <c r="R3" s="420" t="e">
        <f t="shared" si="0"/>
        <v>#DIV/0!</v>
      </c>
    </row>
    <row r="6" spans="2:18">
      <c r="B6" t="s">
        <v>250</v>
      </c>
      <c r="Q6">
        <v>7673</v>
      </c>
      <c r="R6">
        <v>8421</v>
      </c>
    </row>
    <row r="7" spans="2:18">
      <c r="B7" t="s">
        <v>251</v>
      </c>
      <c r="Q7">
        <v>635</v>
      </c>
      <c r="R7">
        <v>770</v>
      </c>
    </row>
    <row r="8" spans="2:18">
      <c r="B8" t="s">
        <v>252</v>
      </c>
      <c r="Q8">
        <v>226</v>
      </c>
      <c r="R8">
        <v>279</v>
      </c>
    </row>
    <row r="11" spans="2:18">
      <c r="R11">
        <f>R6-Q6</f>
        <v>748</v>
      </c>
    </row>
    <row r="12" spans="2:18">
      <c r="R12">
        <f>R7-Q7</f>
        <v>135</v>
      </c>
    </row>
    <row r="13" spans="2:18">
      <c r="R13">
        <f>R8-Q8</f>
        <v>53</v>
      </c>
    </row>
    <row r="15" spans="2:18">
      <c r="G15" s="35"/>
      <c r="H15" s="35"/>
    </row>
    <row r="17" spans="2:8">
      <c r="G17" s="35"/>
      <c r="H17" s="148"/>
    </row>
    <row r="22" spans="2:8">
      <c r="G22" s="51"/>
    </row>
    <row r="27" spans="2:8" ht="13.9" thickBot="1"/>
    <row r="28" spans="2:8">
      <c r="B28" s="427"/>
      <c r="C28" s="425" t="s">
        <v>196</v>
      </c>
      <c r="D28" s="425" t="s">
        <v>206</v>
      </c>
      <c r="E28" s="425" t="s">
        <v>228</v>
      </c>
      <c r="F28" s="425" t="s">
        <v>248</v>
      </c>
      <c r="G28" s="489" t="s">
        <v>371</v>
      </c>
      <c r="H28" s="426" t="s">
        <v>372</v>
      </c>
    </row>
    <row r="29" spans="2:8" ht="13.9">
      <c r="B29" s="514" t="s">
        <v>229</v>
      </c>
      <c r="C29" s="515">
        <f>CF!AC33</f>
        <v>-4790</v>
      </c>
      <c r="D29" s="515">
        <f>CF!AH33</f>
        <v>54979</v>
      </c>
      <c r="E29" s="515">
        <f>CF!AM33</f>
        <v>76085</v>
      </c>
      <c r="F29" s="515">
        <f>CF!AR33</f>
        <v>115696</v>
      </c>
      <c r="G29" s="516">
        <f>CF!AW33</f>
        <v>296954</v>
      </c>
      <c r="H29" s="517">
        <f>CF!BB33</f>
        <v>506470</v>
      </c>
    </row>
    <row r="30" spans="2:8" s="424" customFormat="1" ht="11.25">
      <c r="B30" s="428" t="s">
        <v>230</v>
      </c>
      <c r="C30" s="490">
        <f>C29/IS!AC13</f>
        <v>-1.2557050692210697E-2</v>
      </c>
      <c r="D30" s="490">
        <f>D29/IS!AH13</f>
        <v>0.10603389752055915</v>
      </c>
      <c r="E30" s="490">
        <f>E29/IS!AM13</f>
        <v>0.10854260316790043</v>
      </c>
      <c r="F30" s="490">
        <f>F29/IS!AR13</f>
        <v>0.11878793105749555</v>
      </c>
      <c r="G30" s="491">
        <f>G29/IS!AW13</f>
        <v>0.20436641072174541</v>
      </c>
      <c r="H30" s="492">
        <f>H29/IS!BB13</f>
        <v>0.24035064324299443</v>
      </c>
    </row>
    <row r="31" spans="2:8" ht="13.9">
      <c r="B31" s="514" t="s">
        <v>110</v>
      </c>
      <c r="C31" s="515">
        <f>CF!AC48</f>
        <v>-48120</v>
      </c>
      <c r="D31" s="515">
        <f>CF!AH48</f>
        <v>36050</v>
      </c>
      <c r="E31" s="515">
        <f>CF!AM48</f>
        <v>45672</v>
      </c>
      <c r="F31" s="515">
        <f>CF!AR48</f>
        <v>43650</v>
      </c>
      <c r="G31" s="516">
        <f>CF!AW48</f>
        <v>214559</v>
      </c>
      <c r="H31" s="517">
        <f>CF!BB48</f>
        <v>445074</v>
      </c>
    </row>
    <row r="32" spans="2:8" s="424" customFormat="1" ht="11.65" thickBot="1">
      <c r="B32" s="429" t="s">
        <v>231</v>
      </c>
      <c r="C32" s="493">
        <f>C31/IS!AC13</f>
        <v>-0.12614723993928575</v>
      </c>
      <c r="D32" s="493">
        <f>D31/IS!AH13</f>
        <v>6.9526946754509128E-2</v>
      </c>
      <c r="E32" s="493">
        <f>E31/IS!AM13</f>
        <v>6.5155520429576771E-2</v>
      </c>
      <c r="F32" s="493">
        <f>F31/IS!AR13</f>
        <v>4.4816529444921871E-2</v>
      </c>
      <c r="G32" s="494">
        <f>G31/IS!AW13</f>
        <v>0.14766143146092314</v>
      </c>
      <c r="H32" s="495">
        <f>H31/IS!BB13</f>
        <v>0.21121452838417379</v>
      </c>
    </row>
    <row r="40" spans="2:17">
      <c r="B40" t="s">
        <v>334</v>
      </c>
    </row>
    <row r="41" spans="2:17">
      <c r="D41" t="s">
        <v>369</v>
      </c>
      <c r="E41" t="s">
        <v>368</v>
      </c>
    </row>
    <row r="42" spans="2:17">
      <c r="D42" t="s">
        <v>335</v>
      </c>
      <c r="F42" t="s">
        <v>336</v>
      </c>
    </row>
    <row r="43" spans="2:17" ht="54">
      <c r="B43" s="474" t="s">
        <v>348</v>
      </c>
      <c r="C43" s="474" t="s">
        <v>337</v>
      </c>
      <c r="D43" s="474" t="s">
        <v>338</v>
      </c>
      <c r="E43" s="475" t="s">
        <v>339</v>
      </c>
      <c r="F43" s="474" t="s">
        <v>340</v>
      </c>
      <c r="G43" s="496" t="s">
        <v>370</v>
      </c>
    </row>
    <row r="44" spans="2:17">
      <c r="B44" s="487" t="s">
        <v>349</v>
      </c>
      <c r="C44" s="487" t="s">
        <v>352</v>
      </c>
      <c r="D44" s="487" t="s">
        <v>350</v>
      </c>
      <c r="E44" s="488" t="s">
        <v>351</v>
      </c>
      <c r="F44" s="487"/>
      <c r="G44" s="53"/>
    </row>
    <row r="45" spans="2:17">
      <c r="B45" s="485" t="s">
        <v>364</v>
      </c>
      <c r="C45" s="474" t="s">
        <v>341</v>
      </c>
      <c r="D45" s="474" t="s">
        <v>342</v>
      </c>
      <c r="E45" s="474" t="s">
        <v>343</v>
      </c>
      <c r="F45" s="474" t="s">
        <v>344</v>
      </c>
      <c r="G45" s="53"/>
      <c r="K45" s="35"/>
    </row>
    <row r="46" spans="2:17">
      <c r="B46" s="474" t="s">
        <v>345</v>
      </c>
      <c r="C46" s="476">
        <v>120</v>
      </c>
      <c r="D46" s="476">
        <f>300*10</f>
        <v>3000</v>
      </c>
      <c r="E46" s="477">
        <f>480*100</f>
        <v>48000</v>
      </c>
      <c r="F46" s="476">
        <v>350000</v>
      </c>
      <c r="G46" s="53"/>
      <c r="K46" s="148"/>
    </row>
    <row r="47" spans="2:17" ht="13.9" thickBot="1">
      <c r="B47" s="474" t="s">
        <v>346</v>
      </c>
      <c r="C47" s="478">
        <v>4679060</v>
      </c>
      <c r="D47" s="474">
        <v>1255925</v>
      </c>
      <c r="E47" s="478">
        <v>19124</v>
      </c>
      <c r="F47" s="476">
        <v>587</v>
      </c>
      <c r="G47" s="53"/>
      <c r="K47" s="148"/>
    </row>
    <row r="48" spans="2:17" ht="13.9" thickBot="1">
      <c r="B48" s="474" t="s">
        <v>347</v>
      </c>
      <c r="C48" s="477">
        <f>C47*C46</f>
        <v>561487200</v>
      </c>
      <c r="D48" s="477">
        <f>D47*D46</f>
        <v>3767775000</v>
      </c>
      <c r="E48" s="477">
        <f>E47*E46</f>
        <v>917952000</v>
      </c>
      <c r="F48" s="479">
        <f>F47*F46</f>
        <v>205450000</v>
      </c>
      <c r="G48" s="497">
        <f>SUM(C48:F48)</f>
        <v>5452664200</v>
      </c>
      <c r="K48" s="504" t="s">
        <v>377</v>
      </c>
      <c r="L48">
        <v>19.3</v>
      </c>
      <c r="O48" t="s">
        <v>378</v>
      </c>
      <c r="P48" s="512">
        <v>10.23</v>
      </c>
      <c r="Q48" s="512"/>
    </row>
    <row r="49" spans="2:17">
      <c r="C49" s="483"/>
      <c r="D49" s="483"/>
      <c r="E49" s="483"/>
      <c r="F49" s="483"/>
      <c r="G49" s="498"/>
      <c r="K49" s="474" t="s">
        <v>375</v>
      </c>
      <c r="L49" s="474">
        <v>5.45</v>
      </c>
      <c r="O49" t="s">
        <v>375</v>
      </c>
      <c r="P49" s="512">
        <v>10.23</v>
      </c>
      <c r="Q49" s="512">
        <v>5.45</v>
      </c>
    </row>
    <row r="50" spans="2:17">
      <c r="B50" s="484" t="s">
        <v>363</v>
      </c>
      <c r="C50" t="s">
        <v>352</v>
      </c>
      <c r="D50" t="s">
        <v>338</v>
      </c>
      <c r="E50" t="s">
        <v>353</v>
      </c>
      <c r="G50" s="53"/>
      <c r="K50" s="474" t="s">
        <v>376</v>
      </c>
      <c r="L50" s="474">
        <v>10.23</v>
      </c>
      <c r="O50" t="s">
        <v>357</v>
      </c>
      <c r="P50" s="512">
        <f>10.23+5.45</f>
        <v>15.68</v>
      </c>
      <c r="Q50" s="512">
        <v>3.22</v>
      </c>
    </row>
    <row r="51" spans="2:17" ht="13.9" thickBot="1">
      <c r="B51" s="474" t="s">
        <v>356</v>
      </c>
      <c r="C51" s="474">
        <v>22600000</v>
      </c>
      <c r="D51" s="474">
        <v>1691385</v>
      </c>
      <c r="E51" s="474">
        <v>47810</v>
      </c>
      <c r="F51" s="474">
        <v>414</v>
      </c>
      <c r="G51" s="53"/>
      <c r="K51" s="474" t="s">
        <v>354</v>
      </c>
      <c r="L51" s="474">
        <v>0.12</v>
      </c>
      <c r="O51" t="s">
        <v>379</v>
      </c>
      <c r="P51" s="512">
        <f>15.68+3.22</f>
        <v>18.899999999999999</v>
      </c>
      <c r="Q51" s="512">
        <v>0.27700000000000002</v>
      </c>
    </row>
    <row r="52" spans="2:17" ht="13.9" thickBot="1">
      <c r="B52" s="474" t="s">
        <v>347</v>
      </c>
      <c r="C52" s="476">
        <f>C51*C46</f>
        <v>2712000000</v>
      </c>
      <c r="D52" s="476">
        <f>D51*D46</f>
        <v>5074155000</v>
      </c>
      <c r="E52" s="476">
        <f>E51*E46</f>
        <v>2294880000</v>
      </c>
      <c r="F52" s="476">
        <f>F51*F46</f>
        <v>144900000</v>
      </c>
      <c r="G52" s="497">
        <f>SUM(C52:F52)</f>
        <v>10225935000</v>
      </c>
      <c r="K52" s="474" t="s">
        <v>355</v>
      </c>
      <c r="L52" s="474">
        <v>0.27700000000000002</v>
      </c>
      <c r="O52" t="s">
        <v>380</v>
      </c>
      <c r="P52" s="512">
        <f>18.9+0.2777</f>
        <v>19.177699999999998</v>
      </c>
      <c r="Q52" s="512">
        <v>0.12</v>
      </c>
    </row>
    <row r="53" spans="2:17">
      <c r="C53" s="482"/>
      <c r="D53" s="482"/>
      <c r="E53" s="482"/>
      <c r="F53" s="482"/>
      <c r="G53" s="498"/>
      <c r="K53" s="474" t="s">
        <v>357</v>
      </c>
      <c r="L53" s="474">
        <v>3.22</v>
      </c>
      <c r="O53" t="s">
        <v>381</v>
      </c>
      <c r="P53" s="512">
        <v>19.3</v>
      </c>
      <c r="Q53" s="512"/>
    </row>
    <row r="54" spans="2:17">
      <c r="B54">
        <v>2019</v>
      </c>
      <c r="C54" s="480" t="s">
        <v>358</v>
      </c>
      <c r="D54" s="481" t="s">
        <v>360</v>
      </c>
      <c r="E54" t="s">
        <v>359</v>
      </c>
      <c r="G54" s="53"/>
    </row>
    <row r="55" spans="2:17" ht="13.9" thickBot="1">
      <c r="B55" s="474" t="s">
        <v>354</v>
      </c>
      <c r="C55" s="474">
        <v>123471</v>
      </c>
      <c r="D55" s="474">
        <v>34938</v>
      </c>
      <c r="E55" s="474"/>
      <c r="F55" s="474">
        <v>0</v>
      </c>
      <c r="G55" s="53"/>
    </row>
    <row r="56" spans="2:17" ht="13.9" thickBot="1">
      <c r="B56" s="474" t="s">
        <v>347</v>
      </c>
      <c r="C56" s="476">
        <f>C55*C46</f>
        <v>14816520</v>
      </c>
      <c r="D56" s="476">
        <f>D55*D46</f>
        <v>104814000</v>
      </c>
      <c r="E56" s="474"/>
      <c r="F56" s="474"/>
      <c r="G56" s="497">
        <f>SUM(C56:F56)</f>
        <v>119630520</v>
      </c>
    </row>
    <row r="57" spans="2:17">
      <c r="G57" s="53"/>
    </row>
    <row r="58" spans="2:17">
      <c r="B58" s="484" t="s">
        <v>363</v>
      </c>
      <c r="C58" s="480" t="s">
        <v>361</v>
      </c>
      <c r="D58" t="s">
        <v>362</v>
      </c>
      <c r="G58" s="53"/>
    </row>
    <row r="59" spans="2:17" ht="13.9" thickBot="1">
      <c r="B59" s="474" t="s">
        <v>355</v>
      </c>
      <c r="C59" s="478">
        <v>812084</v>
      </c>
      <c r="D59" s="474">
        <f>52249+3915</f>
        <v>56164</v>
      </c>
      <c r="E59" s="474"/>
      <c r="F59" s="474">
        <v>32</v>
      </c>
      <c r="G59" s="53"/>
    </row>
    <row r="60" spans="2:17" ht="13.9" thickBot="1">
      <c r="B60" s="474" t="s">
        <v>347</v>
      </c>
      <c r="C60" s="474">
        <f>C59*C46</f>
        <v>97450080</v>
      </c>
      <c r="D60" s="474">
        <f>D59*D46</f>
        <v>168492000</v>
      </c>
      <c r="E60" s="474"/>
      <c r="F60" s="476">
        <f>F59*F46</f>
        <v>11200000</v>
      </c>
      <c r="G60" s="497">
        <f>SUM(C60:F60)</f>
        <v>277142080</v>
      </c>
    </row>
    <row r="61" spans="2:17">
      <c r="C61" t="s">
        <v>361</v>
      </c>
      <c r="D61" t="s">
        <v>365</v>
      </c>
      <c r="E61" t="s">
        <v>366</v>
      </c>
      <c r="G61" s="53"/>
    </row>
    <row r="62" spans="2:17" ht="13.9" thickBot="1">
      <c r="B62" s="474" t="s">
        <v>357</v>
      </c>
      <c r="C62" s="486">
        <v>5900000</v>
      </c>
      <c r="D62" s="474">
        <f>378218+39301</f>
        <v>417519</v>
      </c>
      <c r="E62" s="474">
        <f>26201</f>
        <v>26201</v>
      </c>
      <c r="F62" s="474">
        <v>15</v>
      </c>
      <c r="G62" s="53"/>
    </row>
    <row r="63" spans="2:17" ht="13.9" thickBot="1">
      <c r="B63" s="474" t="s">
        <v>347</v>
      </c>
      <c r="C63" s="476">
        <f>C62*C46</f>
        <v>708000000</v>
      </c>
      <c r="D63" s="476">
        <f>D62*D46</f>
        <v>1252557000</v>
      </c>
      <c r="E63" s="476">
        <f>E62*E46</f>
        <v>1257648000</v>
      </c>
      <c r="F63" s="476">
        <f>F62*F46</f>
        <v>5250000</v>
      </c>
      <c r="G63" s="497">
        <f>SUM(C63:F63)</f>
        <v>3223455000</v>
      </c>
    </row>
    <row r="64" spans="2:17">
      <c r="G64" s="53"/>
    </row>
    <row r="65" spans="2:8">
      <c r="F65" t="s">
        <v>367</v>
      </c>
      <c r="G65" s="498">
        <f>G63+G60+G56+G52+G48</f>
        <v>19298826800</v>
      </c>
      <c r="H65" s="498">
        <f>G63+G60+G56+G52+G48</f>
        <v>19298826800</v>
      </c>
    </row>
    <row r="69" spans="2:8" ht="13.9" thickBot="1"/>
    <row r="70" spans="2:8">
      <c r="C70" s="499" t="s">
        <v>196</v>
      </c>
      <c r="D70" s="499" t="s">
        <v>206</v>
      </c>
      <c r="E70" s="499" t="s">
        <v>228</v>
      </c>
      <c r="F70" s="499" t="s">
        <v>248</v>
      </c>
      <c r="G70" s="500" t="s">
        <v>371</v>
      </c>
      <c r="H70" s="501" t="s">
        <v>372</v>
      </c>
    </row>
    <row r="71" spans="2:8">
      <c r="B71" s="502" t="s">
        <v>373</v>
      </c>
      <c r="C71" s="477">
        <f>IS!AC13</f>
        <v>381459</v>
      </c>
      <c r="D71" s="477">
        <f>IS!AH13</f>
        <v>518504</v>
      </c>
      <c r="E71" s="477">
        <f>IS!AM13</f>
        <v>700969</v>
      </c>
      <c r="F71" s="477">
        <f>IS!AR13</f>
        <v>973971</v>
      </c>
      <c r="G71" s="477">
        <f>IS!AW13</f>
        <v>1453047</v>
      </c>
      <c r="H71" s="477">
        <f>IS!BB13</f>
        <v>2107213</v>
      </c>
    </row>
    <row r="72" spans="2:8">
      <c r="B72" s="502" t="s">
        <v>374</v>
      </c>
      <c r="C72" s="503">
        <f>IS!AC36</f>
        <v>-0.18363441418343779</v>
      </c>
      <c r="D72" s="503">
        <f>IS!AH36</f>
        <v>-2.2879283477080216E-2</v>
      </c>
      <c r="E72" s="503">
        <f>IS!AM36</f>
        <v>2.1658589752185903E-2</v>
      </c>
      <c r="F72" s="503">
        <f>IS!AR36</f>
        <v>4.8596929477366373E-2</v>
      </c>
      <c r="G72" s="503">
        <f>IS!AW36</f>
        <v>0.12432082375862584</v>
      </c>
      <c r="H72" s="503">
        <f>IS!BB36</f>
        <v>0.19881189039741118</v>
      </c>
    </row>
    <row r="98" spans="1:15">
      <c r="A98" t="s">
        <v>382</v>
      </c>
      <c r="C98" t="str">
        <f>Metrics!D4</f>
        <v>2Q18</v>
      </c>
      <c r="D98" t="str">
        <f>Metrics!E4</f>
        <v>3Q18</v>
      </c>
      <c r="E98" t="str">
        <f>Metrics!F4</f>
        <v>4Q18</v>
      </c>
      <c r="F98" t="str">
        <f>Metrics!H4</f>
        <v>1Q19</v>
      </c>
      <c r="G98" t="str">
        <f>Metrics!I4</f>
        <v>2Q19</v>
      </c>
      <c r="H98" t="str">
        <f>Metrics!J4</f>
        <v>3Q19</v>
      </c>
      <c r="I98" t="str">
        <f>Metrics!K4</f>
        <v>4Q19</v>
      </c>
      <c r="J98" t="str">
        <f>Metrics!M4</f>
        <v>1Q20</v>
      </c>
      <c r="K98" t="str">
        <f>Metrics!N4</f>
        <v>2Q20</v>
      </c>
      <c r="L98" t="str">
        <f>Metrics!O4</f>
        <v>3Q20</v>
      </c>
      <c r="M98" t="str">
        <f>Metrics!P4</f>
        <v>4Q20</v>
      </c>
      <c r="N98" t="str">
        <f>Metrics!R4</f>
        <v>1Q21</v>
      </c>
      <c r="O98" t="str">
        <f>Metrics!S4</f>
        <v>2Q21</v>
      </c>
    </row>
    <row r="99" spans="1:15">
      <c r="A99" t="s">
        <v>383</v>
      </c>
      <c r="C99">
        <f>Metrics!D8</f>
        <v>20000</v>
      </c>
      <c r="D99">
        <f>Metrics!E8</f>
        <v>19000</v>
      </c>
      <c r="E99">
        <f>Metrics!F8</f>
        <v>19000</v>
      </c>
      <c r="F99">
        <f>Metrics!H8</f>
        <v>32000</v>
      </c>
      <c r="G99">
        <f>Metrics!I8</f>
        <v>24000</v>
      </c>
      <c r="H99">
        <f>Metrics!J8</f>
        <v>25000</v>
      </c>
      <c r="I99">
        <f>Metrics!K8</f>
        <v>23000</v>
      </c>
      <c r="J99">
        <f>Metrics!M8</f>
        <v>31000</v>
      </c>
      <c r="K99">
        <f>Metrics!N8</f>
        <v>29000</v>
      </c>
      <c r="L99">
        <f>Metrics!O8</f>
        <v>25000</v>
      </c>
      <c r="M99">
        <f>Metrics!P8</f>
        <v>27000</v>
      </c>
      <c r="N99">
        <f>Metrics!R8</f>
        <v>72000</v>
      </c>
      <c r="O99">
        <f>Metrics!S8</f>
        <v>88000</v>
      </c>
    </row>
    <row r="100" spans="1:15">
      <c r="A100" t="s">
        <v>384</v>
      </c>
      <c r="C100">
        <f>Metrics!D15</f>
        <v>3000</v>
      </c>
      <c r="D100">
        <f>Metrics!E15</f>
        <v>3000</v>
      </c>
      <c r="E100">
        <f>Metrics!F15</f>
        <v>3000</v>
      </c>
      <c r="F100">
        <f>Metrics!H15</f>
        <v>3000</v>
      </c>
      <c r="G100">
        <f>Metrics!I15</f>
        <v>4000</v>
      </c>
      <c r="H100">
        <f>Metrics!J15</f>
        <v>4000</v>
      </c>
      <c r="I100">
        <f>Metrics!K15</f>
        <v>3000</v>
      </c>
      <c r="J100">
        <f>Metrics!M15</f>
        <v>4000</v>
      </c>
      <c r="K100">
        <f>Metrics!N15</f>
        <v>4000</v>
      </c>
      <c r="L100">
        <f>Metrics!O15</f>
        <v>5000</v>
      </c>
      <c r="M100">
        <f>Metrics!P15</f>
        <v>6000</v>
      </c>
      <c r="N100">
        <f>Metrics!R15</f>
        <v>14000</v>
      </c>
      <c r="O100">
        <f>Metrics!S15</f>
        <v>10000</v>
      </c>
    </row>
    <row r="102" spans="1:15">
      <c r="A102" t="s">
        <v>398</v>
      </c>
      <c r="C102" s="518">
        <f>Metrics!D24</f>
        <v>0</v>
      </c>
      <c r="D102" s="518">
        <f>Metrics!E24</f>
        <v>0</v>
      </c>
      <c r="E102" s="518">
        <f>Metrics!F24</f>
        <v>1.1499999999999999</v>
      </c>
      <c r="F102" s="518">
        <f>Metrics!H24</f>
        <v>1.1399999999999999</v>
      </c>
      <c r="G102" s="518">
        <f>Metrics!I24</f>
        <v>1.1499999999999999</v>
      </c>
      <c r="H102" s="518">
        <f>Metrics!J24</f>
        <v>1.1399999999999999</v>
      </c>
      <c r="I102" s="518">
        <f>Metrics!K24</f>
        <v>1.1200000000000001</v>
      </c>
      <c r="J102" s="518">
        <f>Metrics!M24</f>
        <v>1.1200000000000001</v>
      </c>
      <c r="K102" s="518">
        <f>Metrics!N24</f>
        <v>1.1299999999999999</v>
      </c>
      <c r="L102" s="518">
        <f>Metrics!O24</f>
        <v>1.17</v>
      </c>
      <c r="M102" s="518">
        <f>Metrics!P24</f>
        <v>1.17</v>
      </c>
      <c r="N102" s="518">
        <f>Metrics!R24</f>
        <v>1.19</v>
      </c>
      <c r="O102" s="518">
        <f>Metrics!S24</f>
        <v>1.2</v>
      </c>
    </row>
    <row r="121" spans="1:15">
      <c r="A121" t="s">
        <v>386</v>
      </c>
      <c r="F121">
        <f>Metrics!H18</f>
        <v>215</v>
      </c>
      <c r="G121">
        <f>Metrics!I18</f>
        <v>246</v>
      </c>
      <c r="H121">
        <f>Metrics!J18</f>
        <v>285</v>
      </c>
      <c r="I121">
        <f>Metrics!K18</f>
        <v>310</v>
      </c>
      <c r="J121">
        <f>Metrics!M18</f>
        <v>324</v>
      </c>
      <c r="K121">
        <f>Metrics!N18</f>
        <v>370</v>
      </c>
      <c r="L121">
        <f>Metrics!O18</f>
        <v>401</v>
      </c>
      <c r="M121">
        <f>Metrics!P18</f>
        <v>437</v>
      </c>
      <c r="N121">
        <f>Metrics!R18</f>
        <v>473</v>
      </c>
      <c r="O121">
        <f>Metrics!S18</f>
        <v>520</v>
      </c>
    </row>
    <row r="122" spans="1:15">
      <c r="A122" t="s">
        <v>387</v>
      </c>
      <c r="J122" s="511">
        <f t="shared" ref="J122:O122" si="1">J121/F121-1</f>
        <v>0.50697674418604644</v>
      </c>
      <c r="K122" s="511">
        <f t="shared" si="1"/>
        <v>0.50406504065040658</v>
      </c>
      <c r="L122" s="511">
        <f t="shared" si="1"/>
        <v>0.40701754385964906</v>
      </c>
      <c r="M122" s="511">
        <f t="shared" si="1"/>
        <v>0.4096774193548387</v>
      </c>
      <c r="N122" s="511">
        <f t="shared" si="1"/>
        <v>0.45987654320987659</v>
      </c>
      <c r="O122" s="511">
        <f t="shared" si="1"/>
        <v>0.40540540540540548</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G12"/>
  <sheetViews>
    <sheetView showGridLines="0" topLeftCell="A4" workbookViewId="0"/>
  </sheetViews>
  <sheetFormatPr defaultRowHeight="13.5"/>
  <cols>
    <col min="2" max="2" width="12.5" customWidth="1"/>
    <col min="3" max="3" width="23.0625" customWidth="1"/>
    <col min="4" max="4" width="12.3125" customWidth="1"/>
    <col min="5" max="5" width="15" customWidth="1"/>
    <col min="6" max="6" width="11.5625" customWidth="1"/>
    <col min="7" max="7" width="36.5" customWidth="1"/>
  </cols>
  <sheetData>
    <row r="1" spans="2:7" ht="13.9" thickBot="1"/>
    <row r="2" spans="2:7" ht="27.4" thickBot="1">
      <c r="B2" s="508" t="s">
        <v>300</v>
      </c>
      <c r="C2" s="509" t="s">
        <v>301</v>
      </c>
      <c r="D2" s="509" t="s">
        <v>302</v>
      </c>
      <c r="E2" s="509" t="s">
        <v>303</v>
      </c>
      <c r="F2" s="509" t="s">
        <v>304</v>
      </c>
      <c r="G2" s="510" t="s">
        <v>305</v>
      </c>
    </row>
    <row r="3" spans="2:7" ht="40.9" thickBot="1">
      <c r="B3" s="463">
        <v>44019</v>
      </c>
      <c r="C3" s="464" t="s">
        <v>317</v>
      </c>
      <c r="D3" s="464" t="s">
        <v>318</v>
      </c>
      <c r="E3" s="464" t="s">
        <v>173</v>
      </c>
      <c r="F3" s="464" t="s">
        <v>173</v>
      </c>
      <c r="G3" s="465" t="s">
        <v>324</v>
      </c>
    </row>
    <row r="4" spans="2:7" ht="13.9" thickBot="1">
      <c r="B4" s="463">
        <v>43952</v>
      </c>
      <c r="C4" s="464" t="s">
        <v>306</v>
      </c>
      <c r="D4" s="464" t="s">
        <v>307</v>
      </c>
      <c r="E4" s="464" t="s">
        <v>173</v>
      </c>
      <c r="F4" s="464">
        <v>7.7</v>
      </c>
      <c r="G4" s="465" t="s">
        <v>316</v>
      </c>
    </row>
    <row r="5" spans="2:7" ht="27.4" thickBot="1">
      <c r="B5" s="463">
        <v>43347</v>
      </c>
      <c r="C5" s="464" t="s">
        <v>308</v>
      </c>
      <c r="D5" s="464" t="s">
        <v>309</v>
      </c>
      <c r="E5" s="464" t="s">
        <v>173</v>
      </c>
      <c r="F5" s="464" t="s">
        <v>173</v>
      </c>
      <c r="G5" s="465" t="s">
        <v>333</v>
      </c>
    </row>
    <row r="6" spans="2:7" ht="27.4" thickBot="1">
      <c r="B6" s="463">
        <v>43088</v>
      </c>
      <c r="C6" s="464" t="s">
        <v>310</v>
      </c>
      <c r="D6" s="466" t="s">
        <v>173</v>
      </c>
      <c r="E6" s="464" t="s">
        <v>173</v>
      </c>
      <c r="F6" s="464" t="s">
        <v>173</v>
      </c>
      <c r="G6" s="465" t="s">
        <v>326</v>
      </c>
    </row>
    <row r="7" spans="2:7" ht="13.9" thickBot="1">
      <c r="B7" s="463">
        <v>42277</v>
      </c>
      <c r="C7" s="464" t="s">
        <v>311</v>
      </c>
      <c r="D7" s="464" t="s">
        <v>312</v>
      </c>
      <c r="E7" s="464" t="s">
        <v>173</v>
      </c>
      <c r="F7" s="464" t="s">
        <v>173</v>
      </c>
      <c r="G7" s="465" t="s">
        <v>327</v>
      </c>
    </row>
    <row r="8" spans="2:7" ht="13.9" thickBot="1">
      <c r="B8" s="463">
        <v>42369</v>
      </c>
      <c r="C8" s="464" t="s">
        <v>329</v>
      </c>
      <c r="D8" s="464" t="s">
        <v>325</v>
      </c>
      <c r="E8" s="464" t="s">
        <v>173</v>
      </c>
      <c r="F8" s="464" t="s">
        <v>173</v>
      </c>
      <c r="G8" s="465" t="s">
        <v>328</v>
      </c>
    </row>
    <row r="9" spans="2:7" ht="13.9" thickBot="1">
      <c r="B9" s="471">
        <v>42074</v>
      </c>
      <c r="C9" s="472" t="s">
        <v>313</v>
      </c>
      <c r="D9" s="472" t="s">
        <v>173</v>
      </c>
      <c r="E9" s="472" t="s">
        <v>173</v>
      </c>
      <c r="F9" s="472" t="s">
        <v>173</v>
      </c>
      <c r="G9" s="473" t="s">
        <v>330</v>
      </c>
    </row>
    <row r="10" spans="2:7" ht="27.4" thickBot="1">
      <c r="B10" s="463">
        <v>41705</v>
      </c>
      <c r="C10" s="464" t="s">
        <v>314</v>
      </c>
      <c r="D10" s="466" t="s">
        <v>173</v>
      </c>
      <c r="E10" s="464" t="s">
        <v>173</v>
      </c>
      <c r="F10" s="464" t="s">
        <v>173</v>
      </c>
      <c r="G10" s="465" t="s">
        <v>331</v>
      </c>
    </row>
    <row r="11" spans="2:7" ht="27.4" thickBot="1">
      <c r="B11" s="463">
        <v>41409</v>
      </c>
      <c r="C11" s="464" t="s">
        <v>315</v>
      </c>
      <c r="D11" s="466" t="s">
        <v>173</v>
      </c>
      <c r="E11" s="464" t="s">
        <v>173</v>
      </c>
      <c r="F11" s="464" t="s">
        <v>173</v>
      </c>
      <c r="G11" s="465" t="s">
        <v>332</v>
      </c>
    </row>
    <row r="12" spans="2:7" ht="13.9" thickBot="1">
      <c r="B12" s="505"/>
      <c r="C12" s="506"/>
      <c r="D12" s="506"/>
      <c r="E12" s="506"/>
      <c r="F12" s="506"/>
      <c r="G12" s="507"/>
    </row>
  </sheetData>
  <pageMargins left="0.7" right="0.7" top="0.75" bottom="0.75" header="0.3" footer="0.3"/>
  <pageSetup scale="7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64897031"><![CDATA[{"CRM^P_PRICE(NOW)":266.4,"DOCU^P_PRICE(NOW)":88.12}]]></FdsFormulaCache>
</file>

<file path=customXml/itemProps1.xml><?xml version="1.0" encoding="utf-8"?>
<ds:datastoreItem xmlns:ds="http://schemas.openxmlformats.org/officeDocument/2006/customXml" ds:itemID="{064A6747-2F50-4D67-8E31-5BB796FA3E58}">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Comparison</vt:lpstr>
      <vt:lpstr>G CHG</vt:lpstr>
      <vt:lpstr>IS</vt:lpstr>
      <vt:lpstr>BS</vt:lpstr>
      <vt:lpstr>CF</vt:lpstr>
      <vt:lpstr>DCF</vt:lpstr>
      <vt:lpstr>Metrics</vt:lpstr>
      <vt:lpstr>BM Upload</vt:lpstr>
      <vt:lpstr>Charts</vt:lpstr>
      <vt:lpstr>V</vt:lpstr>
      <vt:lpstr>V Sensitivity</vt:lpstr>
      <vt:lpstr>IOC Charts</vt:lpstr>
      <vt:lpstr>M&amp;A</vt:lpstr>
      <vt:lpstr>BS!Print_Area</vt:lpstr>
      <vt:lpstr>CF!Print_Area</vt:lpstr>
      <vt:lpstr>Comparison!Print_Area</vt:lpstr>
      <vt:lpstr>'G CHG'!Print_Area</vt:lpstr>
      <vt:lpstr>IS!Print_Area</vt:lpstr>
      <vt:lpstr>'M&amp;A'!Print_Area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dc:creator>
  <cp:lastModifiedBy>Yuuji Anderson</cp:lastModifiedBy>
  <cp:lastPrinted>2025-12-05T07:40:24Z</cp:lastPrinted>
  <dcterms:created xsi:type="dcterms:W3CDTF">2013-09-19T12:47:26Z</dcterms:created>
  <dcterms:modified xsi:type="dcterms:W3CDTF">2026-03-11T10:43:23Z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y fmtid="{D5CDD505-2E9C-101B-9397-08002B2CF9AE}" pid="3" name="Id">
    <vt:lpwstr>6924aac2-6b63-4bb0-a171-23e11865a547</vt:lpwstr>
  </property>
</Properties>
</file>